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.xml" ContentType="application/vnd.openxmlformats-officedocument.drawingml.chartshapes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8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1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4.xml" ContentType="application/vnd.openxmlformats-officedocument.drawing+xml"/>
  <Override PartName="/xl/charts/chart22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3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4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5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6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1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2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3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4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5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6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7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38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lvwater-my.sharepoint.com/personal/johnsop_lvvwd_com/Documents/DCSD/"/>
    </mc:Choice>
  </mc:AlternateContent>
  <xr:revisionPtr revIDLastSave="2507" documentId="8_{07D6A31B-21C8-4EED-98C3-3C1E38A1B65D}" xr6:coauthVersionLast="47" xr6:coauthVersionMax="47" xr10:uidLastSave="{B9767419-0CC4-4580-BC48-47A7FAF806C7}"/>
  <bookViews>
    <workbookView xWindow="38280" yWindow="-120" windowWidth="38640" windowHeight="21120" activeTab="4" xr2:uid="{00000000-000D-0000-FFFF-FFFF00000000}"/>
  </bookViews>
  <sheets>
    <sheet name="FY2026-FY2015" sheetId="1" r:id="rId1"/>
    <sheet name="FY2023 &amp; 24" sheetId="19" r:id="rId2"/>
    <sheet name="PCFP Calcs" sheetId="15" r:id="rId3"/>
    <sheet name="DCSD  Budget Info." sheetId="16" r:id="rId4"/>
    <sheet name="Staff &amp; Student Ratios" sheetId="3" r:id="rId5"/>
    <sheet name="Dem Profile (NV Report)" sheetId="17" r:id="rId6"/>
    <sheet name="BLS Inflation Index" sheetId="2" r:id="rId7"/>
    <sheet name="Total Sources" sheetId="18" r:id="rId8"/>
    <sheet name="SpEd" sheetId="14" r:id="rId9"/>
    <sheet name="English Learner" sheetId="13" r:id="rId10"/>
    <sheet name="At-risk" sheetId="12" r:id="rId11"/>
    <sheet name="Staffing Comparisons" sheetId="4" r:id="rId12"/>
    <sheet name="NRS 387.303 Staff FY2023" sheetId="5" r:id="rId13"/>
    <sheet name="Negotiated Salary Increases" sheetId="6" r:id="rId14"/>
    <sheet name="SB 231" sheetId="7" r:id="rId15"/>
    <sheet name="Ending Fund Balance" sheetId="8" r:id="rId16"/>
    <sheet name="Legal Liabilities" sheetId="9" r:id="rId17"/>
    <sheet name="Health Contribution" sheetId="10" r:id="rId18"/>
    <sheet name="NVPERS" sheetId="11" r:id="rId19"/>
  </sheets>
  <externalReferences>
    <externalReference r:id="rId20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1" i="16" l="1"/>
  <c r="B103" i="16" s="1"/>
  <c r="E116" i="19"/>
  <c r="D116" i="19" s="1"/>
  <c r="E92" i="19"/>
  <c r="D92" i="19"/>
  <c r="E82" i="19"/>
  <c r="D82" i="19"/>
  <c r="E81" i="19"/>
  <c r="D81" i="19" s="1"/>
  <c r="E66" i="19"/>
  <c r="D66" i="19"/>
  <c r="E65" i="19"/>
  <c r="D65" i="19"/>
  <c r="E64" i="19"/>
  <c r="D64" i="19"/>
  <c r="E57" i="19"/>
  <c r="D57" i="19"/>
  <c r="E56" i="19"/>
  <c r="D56" i="19" s="1"/>
  <c r="E44" i="19"/>
  <c r="D44" i="19" s="1"/>
  <c r="E41" i="19"/>
  <c r="D41" i="19" s="1"/>
  <c r="E40" i="19"/>
  <c r="D40" i="19" s="1"/>
  <c r="E29" i="19"/>
  <c r="D29" i="19" s="1"/>
  <c r="E26" i="19"/>
  <c r="D26" i="19" s="1"/>
  <c r="E25" i="19"/>
  <c r="D25" i="19" s="1"/>
  <c r="E24" i="19"/>
  <c r="D24" i="19" s="1"/>
  <c r="E23" i="19"/>
  <c r="D23" i="19" s="1"/>
  <c r="E22" i="19"/>
  <c r="D22" i="19" s="1"/>
  <c r="E21" i="19"/>
  <c r="D21" i="19" s="1"/>
  <c r="E20" i="19"/>
  <c r="D20" i="19" s="1"/>
  <c r="E19" i="19"/>
  <c r="D19" i="19" s="1"/>
  <c r="E18" i="19"/>
  <c r="D18" i="19" s="1"/>
  <c r="E17" i="19"/>
  <c r="D17" i="19" s="1"/>
  <c r="E16" i="19"/>
  <c r="D16" i="19" s="1"/>
  <c r="E15" i="19"/>
  <c r="D15" i="19" s="1"/>
  <c r="E14" i="19"/>
  <c r="D14" i="19" s="1"/>
  <c r="E13" i="19"/>
  <c r="D13" i="19" s="1"/>
  <c r="E12" i="19"/>
  <c r="D12" i="19" s="1"/>
  <c r="E7" i="19"/>
  <c r="D7" i="19" s="1"/>
  <c r="E6" i="19"/>
  <c r="D6" i="19" s="1"/>
  <c r="E5" i="19"/>
  <c r="D5" i="19" s="1"/>
  <c r="H36" i="19"/>
  <c r="H113" i="19"/>
  <c r="H92" i="19"/>
  <c r="G92" i="19"/>
  <c r="G91" i="19"/>
  <c r="H90" i="19"/>
  <c r="H89" i="19"/>
  <c r="G89" i="19"/>
  <c r="E89" i="19" s="1"/>
  <c r="D89" i="19" s="1"/>
  <c r="H88" i="19"/>
  <c r="G88" i="19"/>
  <c r="E88" i="19" s="1"/>
  <c r="D88" i="19" s="1"/>
  <c r="H87" i="19"/>
  <c r="G87" i="19"/>
  <c r="E87" i="19" s="1"/>
  <c r="D87" i="19" s="1"/>
  <c r="H86" i="19"/>
  <c r="G86" i="19"/>
  <c r="E86" i="19" s="1"/>
  <c r="D86" i="19" s="1"/>
  <c r="H85" i="19"/>
  <c r="G85" i="19"/>
  <c r="E85" i="19" s="1"/>
  <c r="D85" i="19" s="1"/>
  <c r="H84" i="19"/>
  <c r="G84" i="19"/>
  <c r="E84" i="19" s="1"/>
  <c r="D84" i="19" s="1"/>
  <c r="H83" i="19"/>
  <c r="E83" i="19" s="1"/>
  <c r="D83" i="19" s="1"/>
  <c r="G83" i="19"/>
  <c r="H82" i="19"/>
  <c r="G82" i="19"/>
  <c r="H81" i="19"/>
  <c r="G81" i="19"/>
  <c r="H70" i="19"/>
  <c r="H125" i="19" s="1"/>
  <c r="G70" i="19"/>
  <c r="G125" i="19" s="1"/>
  <c r="E125" i="19" s="1"/>
  <c r="D125" i="19" s="1"/>
  <c r="G69" i="19"/>
  <c r="G124" i="19" s="1"/>
  <c r="H68" i="19"/>
  <c r="H123" i="19" s="1"/>
  <c r="H67" i="19"/>
  <c r="H122" i="19" s="1"/>
  <c r="G67" i="19"/>
  <c r="G122" i="19" s="1"/>
  <c r="E122" i="19" s="1"/>
  <c r="D122" i="19" s="1"/>
  <c r="H66" i="19"/>
  <c r="H121" i="19" s="1"/>
  <c r="G66" i="19"/>
  <c r="G121" i="19" s="1"/>
  <c r="E121" i="19" s="1"/>
  <c r="D121" i="19" s="1"/>
  <c r="H65" i="19"/>
  <c r="H120" i="19" s="1"/>
  <c r="G65" i="19"/>
  <c r="G120" i="19" s="1"/>
  <c r="E120" i="19" s="1"/>
  <c r="D120" i="19" s="1"/>
  <c r="H64" i="19"/>
  <c r="H119" i="19" s="1"/>
  <c r="G64" i="19"/>
  <c r="G119" i="19" s="1"/>
  <c r="E119" i="19" s="1"/>
  <c r="D119" i="19" s="1"/>
  <c r="H63" i="19"/>
  <c r="H118" i="19" s="1"/>
  <c r="G63" i="19"/>
  <c r="G118" i="19" s="1"/>
  <c r="E118" i="19" s="1"/>
  <c r="D118" i="19" s="1"/>
  <c r="H62" i="19"/>
  <c r="H117" i="19" s="1"/>
  <c r="G62" i="19"/>
  <c r="G117" i="19" s="1"/>
  <c r="E117" i="19" s="1"/>
  <c r="D117" i="19" s="1"/>
  <c r="H61" i="19"/>
  <c r="H116" i="19" s="1"/>
  <c r="G61" i="19"/>
  <c r="G116" i="19" s="1"/>
  <c r="H60" i="19"/>
  <c r="H115" i="19" s="1"/>
  <c r="G60" i="19"/>
  <c r="G115" i="19" s="1"/>
  <c r="E115" i="19" s="1"/>
  <c r="D115" i="19" s="1"/>
  <c r="H59" i="19"/>
  <c r="G59" i="19"/>
  <c r="E59" i="19" s="1"/>
  <c r="D59" i="19" s="1"/>
  <c r="H58" i="19"/>
  <c r="E58" i="19" s="1"/>
  <c r="D58" i="19" s="1"/>
  <c r="G58" i="19"/>
  <c r="H57" i="19"/>
  <c r="G57" i="19"/>
  <c r="H56" i="19"/>
  <c r="G56" i="19"/>
  <c r="H55" i="19"/>
  <c r="G55" i="19"/>
  <c r="E55" i="19" s="1"/>
  <c r="D55" i="19" s="1"/>
  <c r="H54" i="19"/>
  <c r="G54" i="19"/>
  <c r="E54" i="19" s="1"/>
  <c r="D54" i="19" s="1"/>
  <c r="H47" i="19"/>
  <c r="G47" i="19"/>
  <c r="E47" i="19" s="1"/>
  <c r="D47" i="19" s="1"/>
  <c r="H46" i="19"/>
  <c r="G46" i="19"/>
  <c r="E46" i="19" s="1"/>
  <c r="D46" i="19" s="1"/>
  <c r="H45" i="19"/>
  <c r="G45" i="19"/>
  <c r="E45" i="19" s="1"/>
  <c r="D45" i="19" s="1"/>
  <c r="H43" i="19"/>
  <c r="H39" i="19"/>
  <c r="H28" i="19"/>
  <c r="E28" i="19" s="1"/>
  <c r="G27" i="19"/>
  <c r="G90" i="19" s="1"/>
  <c r="E90" i="19" s="1"/>
  <c r="D90" i="19" s="1"/>
  <c r="H8" i="19"/>
  <c r="H9" i="19" s="1"/>
  <c r="G8" i="19"/>
  <c r="G9" i="19" s="1"/>
  <c r="E9" i="19" s="1"/>
  <c r="H3" i="19"/>
  <c r="K36" i="18"/>
  <c r="J36" i="18"/>
  <c r="I36" i="18"/>
  <c r="H36" i="18"/>
  <c r="G36" i="18"/>
  <c r="F36" i="18"/>
  <c r="E36" i="18"/>
  <c r="D36" i="18"/>
  <c r="C36" i="18"/>
  <c r="B36" i="18"/>
  <c r="L36" i="18"/>
  <c r="D35" i="18"/>
  <c r="D33" i="18"/>
  <c r="C35" i="18"/>
  <c r="C33" i="18"/>
  <c r="E35" i="18"/>
  <c r="E33" i="18"/>
  <c r="F35" i="18"/>
  <c r="F33" i="18"/>
  <c r="G35" i="18"/>
  <c r="G33" i="18"/>
  <c r="H35" i="18"/>
  <c r="H33" i="18"/>
  <c r="I35" i="18"/>
  <c r="J35" i="18"/>
  <c r="J33" i="18"/>
  <c r="I33" i="18"/>
  <c r="K35" i="18"/>
  <c r="K26" i="18"/>
  <c r="J26" i="18"/>
  <c r="I26" i="18"/>
  <c r="H26" i="18"/>
  <c r="G26" i="18"/>
  <c r="F26" i="18"/>
  <c r="E26" i="18"/>
  <c r="D26" i="18"/>
  <c r="C26" i="18"/>
  <c r="B26" i="18"/>
  <c r="B40" i="18" s="1"/>
  <c r="K17" i="18"/>
  <c r="K39" i="18" s="1"/>
  <c r="J17" i="18"/>
  <c r="J39" i="18" s="1"/>
  <c r="I17" i="18"/>
  <c r="I39" i="18" s="1"/>
  <c r="H17" i="18"/>
  <c r="H39" i="18" s="1"/>
  <c r="G17" i="18"/>
  <c r="G39" i="18" s="1"/>
  <c r="F17" i="18"/>
  <c r="F39" i="18" s="1"/>
  <c r="E17" i="18"/>
  <c r="E39" i="18" s="1"/>
  <c r="D17" i="18"/>
  <c r="D39" i="18" s="1"/>
  <c r="C17" i="18"/>
  <c r="C39" i="18" s="1"/>
  <c r="B17" i="18"/>
  <c r="B39" i="18" s="1"/>
  <c r="L26" i="18"/>
  <c r="L35" i="18"/>
  <c r="K33" i="18"/>
  <c r="K11" i="18"/>
  <c r="K38" i="18" s="1"/>
  <c r="J11" i="18"/>
  <c r="J19" i="18" s="1"/>
  <c r="I11" i="18"/>
  <c r="H11" i="18"/>
  <c r="G11" i="18"/>
  <c r="F11" i="18"/>
  <c r="E11" i="18"/>
  <c r="D11" i="18"/>
  <c r="C11" i="18"/>
  <c r="B11" i="18"/>
  <c r="B38" i="18" s="1"/>
  <c r="L34" i="18"/>
  <c r="L17" i="18"/>
  <c r="L39" i="18" s="1"/>
  <c r="L11" i="18"/>
  <c r="L28" i="18" s="1"/>
  <c r="L33" i="18"/>
  <c r="C5" i="18"/>
  <c r="D5" i="18" s="1"/>
  <c r="E5" i="18" s="1"/>
  <c r="F5" i="18" s="1"/>
  <c r="G5" i="18" s="1"/>
  <c r="H5" i="18" s="1"/>
  <c r="I5" i="18" s="1"/>
  <c r="J5" i="18" s="1"/>
  <c r="K5" i="18" s="1"/>
  <c r="L5" i="18" s="1"/>
  <c r="T161" i="1"/>
  <c r="S161" i="1"/>
  <c r="R161" i="1"/>
  <c r="Q161" i="1"/>
  <c r="P161" i="1"/>
  <c r="O161" i="1"/>
  <c r="N161" i="1"/>
  <c r="M161" i="1"/>
  <c r="L161" i="1"/>
  <c r="K161" i="1"/>
  <c r="J161" i="1"/>
  <c r="I161" i="1"/>
  <c r="T159" i="1"/>
  <c r="S159" i="1"/>
  <c r="R159" i="1"/>
  <c r="Q159" i="1"/>
  <c r="P159" i="1"/>
  <c r="O159" i="1"/>
  <c r="N159" i="1"/>
  <c r="M159" i="1"/>
  <c r="L159" i="1"/>
  <c r="K159" i="1"/>
  <c r="J159" i="1"/>
  <c r="I159" i="1"/>
  <c r="T158" i="1"/>
  <c r="S158" i="1"/>
  <c r="R158" i="1"/>
  <c r="Q158" i="1"/>
  <c r="P158" i="1"/>
  <c r="O158" i="1"/>
  <c r="N158" i="1"/>
  <c r="M158" i="1"/>
  <c r="L158" i="1"/>
  <c r="K158" i="1"/>
  <c r="J158" i="1"/>
  <c r="I158" i="1"/>
  <c r="T157" i="1"/>
  <c r="S157" i="1"/>
  <c r="R157" i="1"/>
  <c r="Q157" i="1"/>
  <c r="P157" i="1"/>
  <c r="O157" i="1"/>
  <c r="N157" i="1"/>
  <c r="M157" i="1"/>
  <c r="L157" i="1"/>
  <c r="K157" i="1"/>
  <c r="J157" i="1"/>
  <c r="I157" i="1"/>
  <c r="T156" i="1"/>
  <c r="S156" i="1"/>
  <c r="R156" i="1"/>
  <c r="Q156" i="1"/>
  <c r="P156" i="1"/>
  <c r="O156" i="1"/>
  <c r="N156" i="1"/>
  <c r="M156" i="1"/>
  <c r="L156" i="1"/>
  <c r="K156" i="1"/>
  <c r="J156" i="1"/>
  <c r="I156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T152" i="1"/>
  <c r="S152" i="1"/>
  <c r="R152" i="1"/>
  <c r="Q152" i="1"/>
  <c r="P152" i="1"/>
  <c r="O152" i="1"/>
  <c r="N152" i="1"/>
  <c r="M152" i="1"/>
  <c r="L152" i="1"/>
  <c r="K152" i="1"/>
  <c r="J152" i="1"/>
  <c r="I152" i="1"/>
  <c r="T151" i="1"/>
  <c r="S151" i="1"/>
  <c r="R151" i="1"/>
  <c r="Q151" i="1"/>
  <c r="P151" i="1"/>
  <c r="O151" i="1"/>
  <c r="N151" i="1"/>
  <c r="M151" i="1"/>
  <c r="L151" i="1"/>
  <c r="K151" i="1"/>
  <c r="J151" i="1"/>
  <c r="I151" i="1"/>
  <c r="T150" i="1"/>
  <c r="S150" i="1"/>
  <c r="R150" i="1"/>
  <c r="Q150" i="1"/>
  <c r="P150" i="1"/>
  <c r="O150" i="1"/>
  <c r="N150" i="1"/>
  <c r="M150" i="1"/>
  <c r="L150" i="1"/>
  <c r="K150" i="1"/>
  <c r="J150" i="1"/>
  <c r="I150" i="1"/>
  <c r="T149" i="1"/>
  <c r="S149" i="1"/>
  <c r="R149" i="1"/>
  <c r="Q149" i="1"/>
  <c r="P149" i="1"/>
  <c r="O149" i="1"/>
  <c r="N149" i="1"/>
  <c r="M149" i="1"/>
  <c r="L149" i="1"/>
  <c r="K149" i="1"/>
  <c r="J149" i="1"/>
  <c r="I149" i="1"/>
  <c r="T148" i="1"/>
  <c r="S148" i="1"/>
  <c r="R148" i="1"/>
  <c r="Q148" i="1"/>
  <c r="P148" i="1"/>
  <c r="O148" i="1"/>
  <c r="N148" i="1"/>
  <c r="M148" i="1"/>
  <c r="L148" i="1"/>
  <c r="K148" i="1"/>
  <c r="J148" i="1"/>
  <c r="I148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43" i="1" s="1"/>
  <c r="N45" i="1"/>
  <c r="I45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110" i="1" s="1"/>
  <c r="I42" i="1"/>
  <c r="I41" i="1"/>
  <c r="I39" i="1"/>
  <c r="I38" i="1"/>
  <c r="I59" i="1"/>
  <c r="I58" i="1"/>
  <c r="I57" i="1"/>
  <c r="I56" i="1"/>
  <c r="I55" i="1"/>
  <c r="I54" i="1"/>
  <c r="I53" i="1"/>
  <c r="I83" i="1"/>
  <c r="I81" i="1"/>
  <c r="I82" i="1" s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B99" i="16"/>
  <c r="C97" i="16"/>
  <c r="B97" i="16"/>
  <c r="E17" i="3"/>
  <c r="K16" i="3"/>
  <c r="L16" i="3"/>
  <c r="M16" i="3"/>
  <c r="L13" i="3"/>
  <c r="K13" i="3"/>
  <c r="J13" i="3"/>
  <c r="I13" i="3"/>
  <c r="H13" i="3"/>
  <c r="G13" i="3"/>
  <c r="F13" i="3"/>
  <c r="E13" i="3"/>
  <c r="D13" i="3"/>
  <c r="M12" i="3"/>
  <c r="L12" i="3"/>
  <c r="K12" i="3"/>
  <c r="M13" i="3"/>
  <c r="P38" i="3"/>
  <c r="P37" i="3"/>
  <c r="P36" i="3"/>
  <c r="P35" i="3"/>
  <c r="P34" i="3"/>
  <c r="P33" i="3"/>
  <c r="P32" i="3"/>
  <c r="P31" i="3"/>
  <c r="P30" i="3"/>
  <c r="P26" i="3"/>
  <c r="P25" i="3"/>
  <c r="P24" i="3"/>
  <c r="P22" i="3"/>
  <c r="P21" i="3"/>
  <c r="P20" i="3"/>
  <c r="O45" i="3"/>
  <c r="P45" i="3" s="1"/>
  <c r="O44" i="3"/>
  <c r="P44" i="3" s="1"/>
  <c r="O43" i="3"/>
  <c r="P43" i="3" s="1"/>
  <c r="O42" i="3"/>
  <c r="P42" i="3" s="1"/>
  <c r="O41" i="3"/>
  <c r="P41" i="3" s="1"/>
  <c r="O40" i="3"/>
  <c r="P40" i="3" s="1"/>
  <c r="O39" i="3"/>
  <c r="P39" i="3" s="1"/>
  <c r="O38" i="3"/>
  <c r="O37" i="3"/>
  <c r="O36" i="3"/>
  <c r="O35" i="3"/>
  <c r="O34" i="3"/>
  <c r="O33" i="3"/>
  <c r="O32" i="3"/>
  <c r="O31" i="3"/>
  <c r="O30" i="3"/>
  <c r="O29" i="3"/>
  <c r="P29" i="3" s="1"/>
  <c r="O28" i="3"/>
  <c r="P28" i="3" s="1"/>
  <c r="O27" i="3"/>
  <c r="P27" i="3" s="1"/>
  <c r="O26" i="3"/>
  <c r="O25" i="3"/>
  <c r="O24" i="3"/>
  <c r="O23" i="3"/>
  <c r="P23" i="3" s="1"/>
  <c r="O22" i="3"/>
  <c r="O21" i="3"/>
  <c r="O20" i="3"/>
  <c r="Z19" i="3"/>
  <c r="AM17" i="17"/>
  <c r="AL17" i="17"/>
  <c r="AK17" i="17"/>
  <c r="AJ17" i="17"/>
  <c r="AI17" i="17"/>
  <c r="AH17" i="17"/>
  <c r="AG17" i="17"/>
  <c r="AF17" i="17"/>
  <c r="AE17" i="17"/>
  <c r="AD17" i="17"/>
  <c r="AC17" i="17"/>
  <c r="AB17" i="17"/>
  <c r="AA17" i="17"/>
  <c r="Z17" i="17"/>
  <c r="Y17" i="17"/>
  <c r="J9" i="3"/>
  <c r="J8" i="3"/>
  <c r="J16" i="3"/>
  <c r="I16" i="3"/>
  <c r="H16" i="3"/>
  <c r="G16" i="3"/>
  <c r="F16" i="3"/>
  <c r="E16" i="3"/>
  <c r="D16" i="3"/>
  <c r="M15" i="3"/>
  <c r="M8" i="3"/>
  <c r="N8" i="3"/>
  <c r="N10" i="3"/>
  <c r="M10" i="3"/>
  <c r="I36" i="1"/>
  <c r="D92" i="16"/>
  <c r="D91" i="16"/>
  <c r="D89" i="16"/>
  <c r="B87" i="16"/>
  <c r="B94" i="16" s="1"/>
  <c r="D86" i="16"/>
  <c r="D85" i="16"/>
  <c r="D84" i="16"/>
  <c r="D83" i="16"/>
  <c r="D81" i="16"/>
  <c r="D80" i="16"/>
  <c r="D79" i="16"/>
  <c r="D78" i="16"/>
  <c r="D77" i="16"/>
  <c r="D76" i="16"/>
  <c r="D75" i="16"/>
  <c r="D74" i="16"/>
  <c r="D72" i="16"/>
  <c r="D71" i="16"/>
  <c r="D69" i="16"/>
  <c r="D68" i="16"/>
  <c r="D67" i="16"/>
  <c r="D66" i="16"/>
  <c r="D65" i="16"/>
  <c r="D64" i="16"/>
  <c r="D63" i="16"/>
  <c r="D62" i="16"/>
  <c r="D61" i="16"/>
  <c r="D60" i="16"/>
  <c r="D59" i="16"/>
  <c r="D58" i="16"/>
  <c r="D57" i="16"/>
  <c r="D55" i="16"/>
  <c r="D54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29" i="16"/>
  <c r="D28" i="16"/>
  <c r="D27" i="16"/>
  <c r="D26" i="16"/>
  <c r="C25" i="16"/>
  <c r="C87" i="16" s="1"/>
  <c r="D24" i="16"/>
  <c r="D23" i="16"/>
  <c r="D22" i="16"/>
  <c r="D21" i="16"/>
  <c r="D20" i="16"/>
  <c r="D19" i="16"/>
  <c r="D18" i="16"/>
  <c r="D17" i="16"/>
  <c r="D16" i="16"/>
  <c r="D14" i="16"/>
  <c r="D5" i="16"/>
  <c r="E60" i="19" l="1"/>
  <c r="D60" i="19" s="1"/>
  <c r="E61" i="19"/>
  <c r="D61" i="19" s="1"/>
  <c r="E62" i="19"/>
  <c r="D62" i="19" s="1"/>
  <c r="E63" i="19"/>
  <c r="D63" i="19" s="1"/>
  <c r="E67" i="19"/>
  <c r="D67" i="19" s="1"/>
  <c r="E70" i="19"/>
  <c r="D70" i="19" s="1"/>
  <c r="E27" i="19"/>
  <c r="D27" i="19" s="1"/>
  <c r="E8" i="19"/>
  <c r="D8" i="19" s="1"/>
  <c r="G32" i="19"/>
  <c r="H69" i="19"/>
  <c r="H124" i="19" s="1"/>
  <c r="E124" i="19" s="1"/>
  <c r="D124" i="19" s="1"/>
  <c r="D28" i="19"/>
  <c r="H32" i="19"/>
  <c r="H91" i="19"/>
  <c r="E91" i="19" s="1"/>
  <c r="D91" i="19" s="1"/>
  <c r="H114" i="19"/>
  <c r="G49" i="19"/>
  <c r="H49" i="19"/>
  <c r="D9" i="19"/>
  <c r="G48" i="19"/>
  <c r="G68" i="19"/>
  <c r="H48" i="19"/>
  <c r="G114" i="19"/>
  <c r="E114" i="19" s="1"/>
  <c r="D114" i="19" s="1"/>
  <c r="G94" i="19"/>
  <c r="F19" i="18"/>
  <c r="H28" i="18"/>
  <c r="G28" i="18"/>
  <c r="I28" i="18"/>
  <c r="G19" i="18"/>
  <c r="L19" i="18"/>
  <c r="D40" i="18"/>
  <c r="F28" i="18"/>
  <c r="C40" i="18"/>
  <c r="E28" i="18"/>
  <c r="K40" i="18"/>
  <c r="J28" i="18"/>
  <c r="K28" i="18"/>
  <c r="B28" i="18"/>
  <c r="C28" i="18"/>
  <c r="D28" i="18"/>
  <c r="H38" i="18"/>
  <c r="I19" i="18"/>
  <c r="H19" i="18"/>
  <c r="K19" i="18"/>
  <c r="B19" i="18"/>
  <c r="E40" i="18"/>
  <c r="C38" i="18"/>
  <c r="H40" i="18"/>
  <c r="I40" i="18"/>
  <c r="D38" i="18"/>
  <c r="C19" i="18"/>
  <c r="D19" i="18"/>
  <c r="E38" i="18"/>
  <c r="E19" i="18"/>
  <c r="F40" i="18"/>
  <c r="F38" i="18"/>
  <c r="G40" i="18"/>
  <c r="L38" i="18"/>
  <c r="I38" i="18"/>
  <c r="L40" i="18"/>
  <c r="G38" i="18"/>
  <c r="J40" i="18"/>
  <c r="J38" i="18"/>
  <c r="C99" i="16"/>
  <c r="C94" i="16"/>
  <c r="D87" i="16"/>
  <c r="D94" i="16" s="1"/>
  <c r="D25" i="16"/>
  <c r="G104" i="19" l="1"/>
  <c r="G123" i="19"/>
  <c r="E123" i="19" s="1"/>
  <c r="D123" i="19" s="1"/>
  <c r="E68" i="19"/>
  <c r="D68" i="19" s="1"/>
  <c r="E69" i="19"/>
  <c r="D69" i="19" s="1"/>
  <c r="E48" i="19"/>
  <c r="D48" i="19" s="1"/>
  <c r="E49" i="19"/>
  <c r="D49" i="19" s="1"/>
  <c r="G72" i="19"/>
  <c r="E32" i="19"/>
  <c r="D32" i="19" s="1"/>
  <c r="G34" i="19"/>
  <c r="G109" i="19"/>
  <c r="H94" i="19"/>
  <c r="E94" i="19" s="1"/>
  <c r="D94" i="19" s="1"/>
  <c r="H72" i="19"/>
  <c r="H34" i="19"/>
  <c r="G98" i="19"/>
  <c r="G106" i="19"/>
  <c r="G108" i="19"/>
  <c r="G101" i="19"/>
  <c r="G99" i="19"/>
  <c r="G111" i="19"/>
  <c r="G102" i="19"/>
  <c r="G127" i="19"/>
  <c r="G107" i="19"/>
  <c r="G103" i="19"/>
  <c r="H127" i="19"/>
  <c r="G100" i="19"/>
  <c r="G105" i="19"/>
  <c r="D31" i="15"/>
  <c r="E29" i="15"/>
  <c r="E31" i="15" s="1"/>
  <c r="D29" i="15"/>
  <c r="C29" i="15"/>
  <c r="C31" i="15" s="1"/>
  <c r="B29" i="15"/>
  <c r="C21" i="15"/>
  <c r="C14" i="15"/>
  <c r="D9" i="15"/>
  <c r="B9" i="15"/>
  <c r="B14" i="15" s="1"/>
  <c r="E127" i="19" l="1"/>
  <c r="D127" i="19" s="1"/>
  <c r="E99" i="19"/>
  <c r="D99" i="19" s="1"/>
  <c r="E108" i="19"/>
  <c r="D108" i="19" s="1"/>
  <c r="E100" i="19"/>
  <c r="D100" i="19" s="1"/>
  <c r="G74" i="19"/>
  <c r="E34" i="19"/>
  <c r="H74" i="19"/>
  <c r="D34" i="19"/>
  <c r="H98" i="19"/>
  <c r="E98" i="19" s="1"/>
  <c r="D98" i="19" s="1"/>
  <c r="H106" i="19"/>
  <c r="E106" i="19" s="1"/>
  <c r="D106" i="19" s="1"/>
  <c r="H101" i="19"/>
  <c r="E101" i="19" s="1"/>
  <c r="D101" i="19" s="1"/>
  <c r="H107" i="19"/>
  <c r="E107" i="19" s="1"/>
  <c r="D107" i="19" s="1"/>
  <c r="H111" i="19"/>
  <c r="E111" i="19" s="1"/>
  <c r="D111" i="19" s="1"/>
  <c r="H109" i="19"/>
  <c r="E109" i="19" s="1"/>
  <c r="D109" i="19" s="1"/>
  <c r="H105" i="19"/>
  <c r="E105" i="19" s="1"/>
  <c r="D105" i="19" s="1"/>
  <c r="H102" i="19"/>
  <c r="E102" i="19" s="1"/>
  <c r="D102" i="19" s="1"/>
  <c r="H103" i="19"/>
  <c r="E103" i="19" s="1"/>
  <c r="D103" i="19" s="1"/>
  <c r="H104" i="19"/>
  <c r="E104" i="19" s="1"/>
  <c r="D104" i="19" s="1"/>
  <c r="H99" i="19"/>
  <c r="H100" i="19"/>
  <c r="H108" i="19"/>
  <c r="K31" i="14"/>
  <c r="K9" i="14"/>
  <c r="K33" i="14" s="1"/>
  <c r="F13" i="14"/>
  <c r="E36" i="1" l="1"/>
  <c r="E34" i="1"/>
  <c r="E6" i="1"/>
  <c r="E10" i="1"/>
  <c r="D64" i="3" l="1"/>
  <c r="D65" i="3" s="1"/>
  <c r="D7" i="3"/>
  <c r="D11" i="14"/>
  <c r="I8" i="1"/>
  <c r="O31" i="14"/>
  <c r="N31" i="14"/>
  <c r="M31" i="14"/>
  <c r="L31" i="14"/>
  <c r="J31" i="14"/>
  <c r="I31" i="14"/>
  <c r="H31" i="14"/>
  <c r="H33" i="14" s="1"/>
  <c r="G31" i="14"/>
  <c r="G33" i="14" s="1"/>
  <c r="F31" i="14"/>
  <c r="E31" i="14"/>
  <c r="D31" i="14"/>
  <c r="D33" i="14" s="1"/>
  <c r="O9" i="14"/>
  <c r="N9" i="14"/>
  <c r="M9" i="14"/>
  <c r="M33" i="14" s="1"/>
  <c r="L9" i="14"/>
  <c r="L33" i="14" s="1"/>
  <c r="J9" i="14"/>
  <c r="J33" i="14" s="1"/>
  <c r="I9" i="14"/>
  <c r="H9" i="14"/>
  <c r="G9" i="14"/>
  <c r="F9" i="14"/>
  <c r="E9" i="14"/>
  <c r="D9" i="14"/>
  <c r="G3" i="14"/>
  <c r="H3" i="14" s="1"/>
  <c r="I3" i="14" s="1"/>
  <c r="J3" i="14" s="1"/>
  <c r="K3" i="14" s="1"/>
  <c r="L3" i="14" s="1"/>
  <c r="M3" i="14" s="1"/>
  <c r="N3" i="14" s="1"/>
  <c r="O3" i="14" s="1"/>
  <c r="L36" i="1"/>
  <c r="L34" i="1"/>
  <c r="L32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9" i="1"/>
  <c r="L8" i="1"/>
  <c r="L7" i="1"/>
  <c r="L6" i="1"/>
  <c r="L5" i="1"/>
  <c r="M29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7" i="1"/>
  <c r="M6" i="1"/>
  <c r="M5" i="1"/>
  <c r="H29" i="1"/>
  <c r="G29" i="1" s="1"/>
  <c r="H28" i="1"/>
  <c r="G28" i="1" s="1"/>
  <c r="H26" i="1"/>
  <c r="G26" i="1" s="1"/>
  <c r="H25" i="1"/>
  <c r="G25" i="1" s="1"/>
  <c r="H24" i="1"/>
  <c r="G24" i="1" s="1"/>
  <c r="H23" i="1"/>
  <c r="G23" i="1" s="1"/>
  <c r="H22" i="1"/>
  <c r="G22" i="1" s="1"/>
  <c r="H21" i="1"/>
  <c r="G21" i="1" s="1"/>
  <c r="H20" i="1"/>
  <c r="G20" i="1" s="1"/>
  <c r="H19" i="1"/>
  <c r="G19" i="1" s="1"/>
  <c r="H18" i="1"/>
  <c r="G18" i="1" s="1"/>
  <c r="H15" i="1"/>
  <c r="G15" i="1" s="1"/>
  <c r="H14" i="1"/>
  <c r="G14" i="1" s="1"/>
  <c r="H13" i="1"/>
  <c r="G13" i="1" s="1"/>
  <c r="H12" i="1"/>
  <c r="G12" i="1" s="1"/>
  <c r="H7" i="1"/>
  <c r="G7" i="1" s="1"/>
  <c r="H6" i="1"/>
  <c r="G6" i="1" s="1"/>
  <c r="H5" i="1"/>
  <c r="G5" i="1" s="1"/>
  <c r="I32" i="1"/>
  <c r="I9" i="1"/>
  <c r="I34" i="1" s="1"/>
  <c r="J16" i="1"/>
  <c r="H16" i="1" s="1"/>
  <c r="G16" i="1" s="1"/>
  <c r="J17" i="1"/>
  <c r="H17" i="1" s="1"/>
  <c r="G17" i="1" s="1"/>
  <c r="J27" i="1"/>
  <c r="H27" i="1" s="1"/>
  <c r="G27" i="1" s="1"/>
  <c r="O147" i="1"/>
  <c r="Z110" i="3"/>
  <c r="U98" i="3"/>
  <c r="V98" i="3" s="1"/>
  <c r="W98" i="3" s="1"/>
  <c r="X98" i="3" s="1"/>
  <c r="Y98" i="3" s="1"/>
  <c r="Z98" i="3" s="1"/>
  <c r="L110" i="3"/>
  <c r="G98" i="3"/>
  <c r="H98" i="3" s="1"/>
  <c r="I98" i="3" s="1"/>
  <c r="J98" i="3" s="1"/>
  <c r="K98" i="3" s="1"/>
  <c r="L98" i="3" s="1"/>
  <c r="L95" i="3"/>
  <c r="G83" i="3"/>
  <c r="H83" i="3" s="1"/>
  <c r="I83" i="3" s="1"/>
  <c r="J83" i="3" s="1"/>
  <c r="K83" i="3" s="1"/>
  <c r="L83" i="3" s="1"/>
  <c r="G68" i="3"/>
  <c r="H68" i="3" s="1"/>
  <c r="I68" i="3" s="1"/>
  <c r="J68" i="3" s="1"/>
  <c r="K68" i="3" s="1"/>
  <c r="L68" i="3" s="1"/>
  <c r="O129" i="1"/>
  <c r="P129" i="1" s="1"/>
  <c r="Q129" i="1" s="1"/>
  <c r="R129" i="1" s="1"/>
  <c r="S129" i="1" s="1"/>
  <c r="T129" i="1" s="1"/>
  <c r="V108" i="1"/>
  <c r="U108" i="1"/>
  <c r="T108" i="1"/>
  <c r="S108" i="1"/>
  <c r="R108" i="1"/>
  <c r="Q108" i="1"/>
  <c r="P108" i="1"/>
  <c r="O108" i="1"/>
  <c r="N108" i="1"/>
  <c r="J108" i="1"/>
  <c r="N107" i="1"/>
  <c r="J107" i="1"/>
  <c r="V106" i="1"/>
  <c r="U106" i="1"/>
  <c r="T106" i="1"/>
  <c r="S106" i="1"/>
  <c r="R106" i="1"/>
  <c r="Q106" i="1"/>
  <c r="P106" i="1"/>
  <c r="O106" i="1"/>
  <c r="V105" i="1"/>
  <c r="U105" i="1"/>
  <c r="T105" i="1"/>
  <c r="S105" i="1"/>
  <c r="R105" i="1"/>
  <c r="Q105" i="1"/>
  <c r="P105" i="1"/>
  <c r="O105" i="1"/>
  <c r="N105" i="1"/>
  <c r="J105" i="1"/>
  <c r="V104" i="1"/>
  <c r="U104" i="1"/>
  <c r="T104" i="1"/>
  <c r="S104" i="1"/>
  <c r="R104" i="1"/>
  <c r="Q104" i="1"/>
  <c r="P104" i="1"/>
  <c r="O104" i="1"/>
  <c r="N104" i="1"/>
  <c r="J104" i="1"/>
  <c r="V103" i="1"/>
  <c r="U103" i="1"/>
  <c r="T103" i="1"/>
  <c r="S103" i="1"/>
  <c r="R103" i="1"/>
  <c r="Q103" i="1"/>
  <c r="P103" i="1"/>
  <c r="O103" i="1"/>
  <c r="N103" i="1"/>
  <c r="J103" i="1"/>
  <c r="V102" i="1"/>
  <c r="U102" i="1"/>
  <c r="T102" i="1"/>
  <c r="S102" i="1"/>
  <c r="R102" i="1"/>
  <c r="Q102" i="1"/>
  <c r="P102" i="1"/>
  <c r="O102" i="1"/>
  <c r="N102" i="1"/>
  <c r="J102" i="1"/>
  <c r="V101" i="1"/>
  <c r="U101" i="1"/>
  <c r="T101" i="1"/>
  <c r="S101" i="1"/>
  <c r="R101" i="1"/>
  <c r="Q101" i="1"/>
  <c r="P101" i="1"/>
  <c r="O101" i="1"/>
  <c r="N101" i="1"/>
  <c r="J101" i="1"/>
  <c r="V100" i="1"/>
  <c r="U100" i="1"/>
  <c r="T100" i="1"/>
  <c r="S100" i="1"/>
  <c r="R100" i="1"/>
  <c r="Q100" i="1"/>
  <c r="P100" i="1"/>
  <c r="O100" i="1"/>
  <c r="N100" i="1"/>
  <c r="J100" i="1"/>
  <c r="V99" i="1"/>
  <c r="U99" i="1"/>
  <c r="T99" i="1"/>
  <c r="S99" i="1"/>
  <c r="R99" i="1"/>
  <c r="Q99" i="1"/>
  <c r="P99" i="1"/>
  <c r="O99" i="1"/>
  <c r="N99" i="1"/>
  <c r="J99" i="1"/>
  <c r="V98" i="1"/>
  <c r="U98" i="1"/>
  <c r="T98" i="1"/>
  <c r="S98" i="1"/>
  <c r="R98" i="1"/>
  <c r="Q98" i="1"/>
  <c r="P98" i="1"/>
  <c r="O98" i="1"/>
  <c r="N98" i="1"/>
  <c r="J98" i="1"/>
  <c r="E108" i="1"/>
  <c r="E107" i="1"/>
  <c r="E105" i="1"/>
  <c r="E104" i="1"/>
  <c r="E103" i="1"/>
  <c r="D103" i="1" s="1"/>
  <c r="E102" i="1"/>
  <c r="E101" i="1"/>
  <c r="E100" i="1"/>
  <c r="E99" i="1"/>
  <c r="E98" i="1"/>
  <c r="V97" i="1"/>
  <c r="U97" i="1"/>
  <c r="T97" i="1"/>
  <c r="R97" i="1"/>
  <c r="Q97" i="1"/>
  <c r="P97" i="1"/>
  <c r="O97" i="1"/>
  <c r="N97" i="1"/>
  <c r="L62" i="3"/>
  <c r="K62" i="3"/>
  <c r="J62" i="3"/>
  <c r="I62" i="3"/>
  <c r="F62" i="3"/>
  <c r="E62" i="3"/>
  <c r="D62" i="3"/>
  <c r="N33" i="14" l="1"/>
  <c r="O33" i="14"/>
  <c r="I33" i="14"/>
  <c r="F33" i="14"/>
  <c r="H10" i="1"/>
  <c r="E33" i="14"/>
  <c r="D100" i="1"/>
  <c r="D105" i="1"/>
  <c r="D122" i="1" s="1"/>
  <c r="D98" i="1"/>
  <c r="D115" i="1" s="1"/>
  <c r="D108" i="1"/>
  <c r="D125" i="1" s="1"/>
  <c r="D99" i="1"/>
  <c r="D101" i="1"/>
  <c r="D118" i="1" s="1"/>
  <c r="D104" i="1"/>
  <c r="D102" i="1"/>
  <c r="D119" i="1" s="1"/>
  <c r="P147" i="1"/>
  <c r="D116" i="1"/>
  <c r="D121" i="1"/>
  <c r="D117" i="1"/>
  <c r="D120" i="1"/>
  <c r="O31" i="13"/>
  <c r="N31" i="13"/>
  <c r="M31" i="13"/>
  <c r="L31" i="13"/>
  <c r="K31" i="13"/>
  <c r="K33" i="13" s="1"/>
  <c r="J31" i="13"/>
  <c r="J33" i="13" s="1"/>
  <c r="I31" i="13"/>
  <c r="I33" i="13" s="1"/>
  <c r="H31" i="13"/>
  <c r="H33" i="13" s="1"/>
  <c r="G31" i="13"/>
  <c r="F31" i="13"/>
  <c r="F33" i="13" s="1"/>
  <c r="E31" i="13"/>
  <c r="E33" i="13" s="1"/>
  <c r="D31" i="13"/>
  <c r="O9" i="13"/>
  <c r="O33" i="13" s="1"/>
  <c r="N9" i="13"/>
  <c r="N33" i="13" s="1"/>
  <c r="M9" i="13"/>
  <c r="M33" i="13" s="1"/>
  <c r="L9" i="13"/>
  <c r="L33" i="13" s="1"/>
  <c r="K9" i="13"/>
  <c r="J9" i="13"/>
  <c r="I9" i="13"/>
  <c r="H9" i="13"/>
  <c r="G9" i="13"/>
  <c r="F9" i="13"/>
  <c r="E9" i="13"/>
  <c r="D9" i="13"/>
  <c r="G3" i="13"/>
  <c r="H3" i="13" s="1"/>
  <c r="I3" i="13" s="1"/>
  <c r="J3" i="13" s="1"/>
  <c r="K3" i="13" s="1"/>
  <c r="L3" i="13" s="1"/>
  <c r="M3" i="13" s="1"/>
  <c r="N3" i="13" s="1"/>
  <c r="O3" i="13" s="1"/>
  <c r="O33" i="12"/>
  <c r="N33" i="12"/>
  <c r="M33" i="12"/>
  <c r="L33" i="12"/>
  <c r="K33" i="12"/>
  <c r="J33" i="12"/>
  <c r="I33" i="12"/>
  <c r="H33" i="12"/>
  <c r="G33" i="12"/>
  <c r="E33" i="12"/>
  <c r="D33" i="12"/>
  <c r="O31" i="12"/>
  <c r="N31" i="12"/>
  <c r="M31" i="12"/>
  <c r="L31" i="12"/>
  <c r="K31" i="12"/>
  <c r="J31" i="12"/>
  <c r="I31" i="12"/>
  <c r="H31" i="12"/>
  <c r="G31" i="12"/>
  <c r="F31" i="12"/>
  <c r="F33" i="12" s="1"/>
  <c r="E31" i="12"/>
  <c r="D31" i="12"/>
  <c r="O9" i="12"/>
  <c r="N9" i="12"/>
  <c r="M9" i="12"/>
  <c r="L9" i="12"/>
  <c r="K9" i="12"/>
  <c r="J9" i="12"/>
  <c r="I9" i="12"/>
  <c r="H9" i="12"/>
  <c r="G9" i="12"/>
  <c r="F9" i="12"/>
  <c r="E9" i="12"/>
  <c r="D9" i="12"/>
  <c r="H3" i="12"/>
  <c r="I3" i="12" s="1"/>
  <c r="J3" i="12" s="1"/>
  <c r="K3" i="12" s="1"/>
  <c r="L3" i="12" s="1"/>
  <c r="M3" i="12" s="1"/>
  <c r="N3" i="12" s="1"/>
  <c r="O3" i="12" s="1"/>
  <c r="G3" i="12"/>
  <c r="W53" i="1"/>
  <c r="V53" i="1"/>
  <c r="U53" i="1"/>
  <c r="G10" i="3"/>
  <c r="F10" i="3"/>
  <c r="E10" i="3"/>
  <c r="D10" i="3"/>
  <c r="N35" i="14" l="1"/>
  <c r="M35" i="14" s="1"/>
  <c r="L35" i="14" s="1"/>
  <c r="K35" i="14" s="1"/>
  <c r="J35" i="14" s="1"/>
  <c r="I35" i="14" s="1"/>
  <c r="H35" i="14" s="1"/>
  <c r="G35" i="14" s="1"/>
  <c r="F35" i="14" s="1"/>
  <c r="E35" i="14" s="1"/>
  <c r="E43" i="14" s="1"/>
  <c r="E47" i="14" s="1"/>
  <c r="Q147" i="1"/>
  <c r="D33" i="13"/>
  <c r="G33" i="13"/>
  <c r="Y29" i="1"/>
  <c r="Y26" i="1"/>
  <c r="Y25" i="1"/>
  <c r="Y24" i="1"/>
  <c r="Y23" i="1"/>
  <c r="Y22" i="1"/>
  <c r="Y21" i="1"/>
  <c r="Y20" i="1"/>
  <c r="Y19" i="1"/>
  <c r="Y14" i="1"/>
  <c r="Y12" i="1"/>
  <c r="L78" i="3"/>
  <c r="K78" i="3"/>
  <c r="J78" i="3"/>
  <c r="I78" i="3"/>
  <c r="H78" i="3"/>
  <c r="G78" i="3"/>
  <c r="G123" i="3" s="1"/>
  <c r="F78" i="3"/>
  <c r="F123" i="3" s="1"/>
  <c r="E78" i="3"/>
  <c r="E123" i="3" s="1"/>
  <c r="D78" i="3"/>
  <c r="D123" i="3" s="1"/>
  <c r="L77" i="3"/>
  <c r="K77" i="3"/>
  <c r="J77" i="3"/>
  <c r="I77" i="3"/>
  <c r="H77" i="3"/>
  <c r="G77" i="3"/>
  <c r="G122" i="3" s="1"/>
  <c r="F77" i="3"/>
  <c r="F122" i="3" s="1"/>
  <c r="E77" i="3"/>
  <c r="E122" i="3" s="1"/>
  <c r="D77" i="3"/>
  <c r="D122" i="3" s="1"/>
  <c r="L76" i="3"/>
  <c r="K76" i="3"/>
  <c r="J76" i="3"/>
  <c r="I76" i="3"/>
  <c r="H76" i="3"/>
  <c r="G76" i="3"/>
  <c r="F76" i="3"/>
  <c r="E76" i="3"/>
  <c r="D76" i="3"/>
  <c r="L75" i="3"/>
  <c r="K75" i="3"/>
  <c r="J75" i="3"/>
  <c r="I75" i="3"/>
  <c r="H75" i="3"/>
  <c r="G75" i="3"/>
  <c r="F75" i="3"/>
  <c r="E75" i="3"/>
  <c r="D75" i="3"/>
  <c r="L74" i="3"/>
  <c r="K74" i="3"/>
  <c r="J74" i="3"/>
  <c r="I74" i="3"/>
  <c r="H74" i="3"/>
  <c r="G74" i="3"/>
  <c r="F74" i="3"/>
  <c r="E74" i="3"/>
  <c r="D74" i="3"/>
  <c r="L73" i="3"/>
  <c r="K73" i="3"/>
  <c r="J73" i="3"/>
  <c r="I73" i="3"/>
  <c r="H73" i="3"/>
  <c r="G73" i="3"/>
  <c r="F73" i="3"/>
  <c r="E73" i="3"/>
  <c r="D73" i="3"/>
  <c r="L72" i="3"/>
  <c r="K72" i="3"/>
  <c r="J72" i="3"/>
  <c r="I72" i="3"/>
  <c r="H72" i="3"/>
  <c r="G72" i="3"/>
  <c r="F72" i="3"/>
  <c r="E72" i="3"/>
  <c r="D72" i="3"/>
  <c r="L71" i="3"/>
  <c r="K71" i="3"/>
  <c r="J71" i="3"/>
  <c r="I71" i="3"/>
  <c r="H71" i="3"/>
  <c r="G71" i="3"/>
  <c r="F71" i="3"/>
  <c r="E71" i="3"/>
  <c r="D71" i="3"/>
  <c r="L70" i="3"/>
  <c r="K70" i="3"/>
  <c r="J70" i="3"/>
  <c r="I70" i="3"/>
  <c r="H70" i="3"/>
  <c r="G70" i="3"/>
  <c r="F70" i="3"/>
  <c r="E70" i="3"/>
  <c r="D70" i="3"/>
  <c r="L69" i="3"/>
  <c r="K69" i="3"/>
  <c r="J69" i="3"/>
  <c r="I69" i="3"/>
  <c r="F69" i="3"/>
  <c r="E69" i="3"/>
  <c r="D69" i="3"/>
  <c r="O56" i="3"/>
  <c r="M56" i="3"/>
  <c r="L56" i="3"/>
  <c r="K56" i="3"/>
  <c r="J56" i="3"/>
  <c r="I56" i="3"/>
  <c r="G56" i="3"/>
  <c r="F56" i="3"/>
  <c r="E56" i="3"/>
  <c r="D56" i="3"/>
  <c r="O55" i="3"/>
  <c r="M55" i="3"/>
  <c r="L55" i="3"/>
  <c r="K55" i="3"/>
  <c r="J55" i="3"/>
  <c r="I55" i="3"/>
  <c r="F55" i="3"/>
  <c r="E55" i="3"/>
  <c r="D55" i="3"/>
  <c r="O53" i="3"/>
  <c r="M53" i="3"/>
  <c r="L53" i="3"/>
  <c r="K53" i="3"/>
  <c r="J53" i="3"/>
  <c r="I53" i="3"/>
  <c r="F53" i="3"/>
  <c r="E53" i="3"/>
  <c r="D53" i="3"/>
  <c r="H23" i="3"/>
  <c r="H22" i="3"/>
  <c r="G22" i="3"/>
  <c r="H21" i="3"/>
  <c r="H15" i="3"/>
  <c r="G15" i="3"/>
  <c r="F15" i="3"/>
  <c r="E15" i="3"/>
  <c r="D15" i="3"/>
  <c r="F12" i="3"/>
  <c r="E12" i="3"/>
  <c r="D12" i="3"/>
  <c r="L9" i="3"/>
  <c r="L8" i="3"/>
  <c r="K8" i="3"/>
  <c r="I8" i="3"/>
  <c r="H8" i="3"/>
  <c r="G6" i="3"/>
  <c r="H6" i="3" s="1"/>
  <c r="I6" i="3" s="1"/>
  <c r="J6" i="3" s="1"/>
  <c r="K6" i="3" s="1"/>
  <c r="L6" i="3" s="1"/>
  <c r="M6" i="3" s="1"/>
  <c r="E37" i="2"/>
  <c r="F37" i="2" s="1"/>
  <c r="G37" i="2" s="1"/>
  <c r="H37" i="2" s="1"/>
  <c r="I37" i="2" s="1"/>
  <c r="J37" i="2" s="1"/>
  <c r="K37" i="2" s="1"/>
  <c r="L37" i="2" s="1"/>
  <c r="D37" i="2"/>
  <c r="H35" i="2"/>
  <c r="G35" i="2"/>
  <c r="F35" i="2"/>
  <c r="E35" i="2"/>
  <c r="D35" i="2"/>
  <c r="C35" i="2"/>
  <c r="B35" i="2"/>
  <c r="Q35" i="2" s="1"/>
  <c r="C38" i="2" s="1"/>
  <c r="P34" i="2"/>
  <c r="O34" i="2"/>
  <c r="N34" i="2"/>
  <c r="M34" i="2"/>
  <c r="L34" i="2"/>
  <c r="K34" i="2"/>
  <c r="J34" i="2"/>
  <c r="I34" i="2"/>
  <c r="H34" i="2"/>
  <c r="Q34" i="2" s="1"/>
  <c r="D38" i="2" s="1"/>
  <c r="G34" i="2"/>
  <c r="F34" i="2"/>
  <c r="E34" i="2"/>
  <c r="D34" i="2"/>
  <c r="R34" i="2" s="1"/>
  <c r="D39" i="2" s="1"/>
  <c r="C34" i="2"/>
  <c r="B34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R33" i="2" s="1"/>
  <c r="E39" i="2" s="1"/>
  <c r="Q32" i="2"/>
  <c r="F38" i="2" s="1"/>
  <c r="P32" i="2"/>
  <c r="O32" i="2"/>
  <c r="N32" i="2"/>
  <c r="R32" i="2" s="1"/>
  <c r="F39" i="2" s="1"/>
  <c r="M32" i="2"/>
  <c r="L32" i="2"/>
  <c r="K32" i="2"/>
  <c r="J32" i="2"/>
  <c r="I32" i="2"/>
  <c r="H32" i="2"/>
  <c r="G32" i="2"/>
  <c r="F32" i="2"/>
  <c r="E32" i="2"/>
  <c r="D32" i="2"/>
  <c r="C32" i="2"/>
  <c r="B32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Q31" i="2" s="1"/>
  <c r="G38" i="2" s="1"/>
  <c r="B31" i="2"/>
  <c r="R31" i="2" s="1"/>
  <c r="G39" i="2" s="1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R30" i="2" s="1"/>
  <c r="H39" i="2" s="1"/>
  <c r="P29" i="2"/>
  <c r="O29" i="2"/>
  <c r="N29" i="2"/>
  <c r="M29" i="2"/>
  <c r="L29" i="2"/>
  <c r="K29" i="2"/>
  <c r="J29" i="2"/>
  <c r="I29" i="2"/>
  <c r="R29" i="2" s="1"/>
  <c r="I39" i="2" s="1"/>
  <c r="H29" i="2"/>
  <c r="G29" i="2"/>
  <c r="F29" i="2"/>
  <c r="E29" i="2"/>
  <c r="D29" i="2"/>
  <c r="C29" i="2"/>
  <c r="B29" i="2"/>
  <c r="Q29" i="2" s="1"/>
  <c r="I38" i="2" s="1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R28" i="2" s="1"/>
  <c r="J39" i="2" s="1"/>
  <c r="R27" i="2"/>
  <c r="K39" i="2" s="1"/>
  <c r="Q27" i="2"/>
  <c r="K38" i="2" s="1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R26" i="2" s="1"/>
  <c r="S80" i="1"/>
  <c r="Q80" i="1"/>
  <c r="P80" i="1"/>
  <c r="O80" i="1"/>
  <c r="N80" i="1"/>
  <c r="J80" i="1"/>
  <c r="E80" i="1"/>
  <c r="S79" i="1"/>
  <c r="Q79" i="1"/>
  <c r="P79" i="1"/>
  <c r="O79" i="1"/>
  <c r="N79" i="1"/>
  <c r="J79" i="1"/>
  <c r="E79" i="1"/>
  <c r="S78" i="1"/>
  <c r="S141" i="1" s="1"/>
  <c r="Q78" i="1"/>
  <c r="Q141" i="1" s="1"/>
  <c r="P78" i="1"/>
  <c r="P141" i="1" s="1"/>
  <c r="O78" i="1"/>
  <c r="O141" i="1" s="1"/>
  <c r="N78" i="1"/>
  <c r="N141" i="1" s="1"/>
  <c r="J78" i="1"/>
  <c r="J141" i="1" s="1"/>
  <c r="E78" i="1"/>
  <c r="E141" i="1" s="1"/>
  <c r="N77" i="1"/>
  <c r="N140" i="1" s="1"/>
  <c r="J77" i="1"/>
  <c r="J140" i="1" s="1"/>
  <c r="E77" i="1"/>
  <c r="E140" i="1" s="1"/>
  <c r="S76" i="1"/>
  <c r="S139" i="1" s="1"/>
  <c r="Q76" i="1"/>
  <c r="Q139" i="1" s="1"/>
  <c r="P76" i="1"/>
  <c r="P139" i="1" s="1"/>
  <c r="O76" i="1"/>
  <c r="O139" i="1" s="1"/>
  <c r="S75" i="1"/>
  <c r="S138" i="1" s="1"/>
  <c r="Q75" i="1"/>
  <c r="Q138" i="1" s="1"/>
  <c r="P75" i="1"/>
  <c r="P138" i="1" s="1"/>
  <c r="O75" i="1"/>
  <c r="O138" i="1" s="1"/>
  <c r="N75" i="1"/>
  <c r="N138" i="1" s="1"/>
  <c r="J75" i="1"/>
  <c r="J138" i="1" s="1"/>
  <c r="E75" i="1"/>
  <c r="E138" i="1" s="1"/>
  <c r="S74" i="1"/>
  <c r="S137" i="1" s="1"/>
  <c r="Q74" i="1"/>
  <c r="Q137" i="1" s="1"/>
  <c r="P74" i="1"/>
  <c r="P137" i="1" s="1"/>
  <c r="O74" i="1"/>
  <c r="O137" i="1" s="1"/>
  <c r="N74" i="1"/>
  <c r="N137" i="1" s="1"/>
  <c r="J74" i="1"/>
  <c r="J137" i="1" s="1"/>
  <c r="E74" i="1"/>
  <c r="E137" i="1" s="1"/>
  <c r="S73" i="1"/>
  <c r="S136" i="1" s="1"/>
  <c r="Q73" i="1"/>
  <c r="Q136" i="1" s="1"/>
  <c r="P73" i="1"/>
  <c r="P136" i="1" s="1"/>
  <c r="O73" i="1"/>
  <c r="O136" i="1" s="1"/>
  <c r="N73" i="1"/>
  <c r="N136" i="1" s="1"/>
  <c r="J73" i="1"/>
  <c r="J136" i="1" s="1"/>
  <c r="E73" i="1"/>
  <c r="E136" i="1" s="1"/>
  <c r="S72" i="1"/>
  <c r="S135" i="1" s="1"/>
  <c r="Q72" i="1"/>
  <c r="Q135" i="1" s="1"/>
  <c r="P72" i="1"/>
  <c r="P135" i="1" s="1"/>
  <c r="O72" i="1"/>
  <c r="O135" i="1" s="1"/>
  <c r="N72" i="1"/>
  <c r="N135" i="1" s="1"/>
  <c r="J72" i="1"/>
  <c r="J135" i="1" s="1"/>
  <c r="E72" i="1"/>
  <c r="E135" i="1" s="1"/>
  <c r="S71" i="1"/>
  <c r="S134" i="1" s="1"/>
  <c r="Q71" i="1"/>
  <c r="Q134" i="1" s="1"/>
  <c r="P71" i="1"/>
  <c r="P134" i="1" s="1"/>
  <c r="O71" i="1"/>
  <c r="O134" i="1" s="1"/>
  <c r="N71" i="1"/>
  <c r="N134" i="1" s="1"/>
  <c r="J71" i="1"/>
  <c r="J134" i="1" s="1"/>
  <c r="E71" i="1"/>
  <c r="E134" i="1" s="1"/>
  <c r="E152" i="1" s="1"/>
  <c r="S70" i="1"/>
  <c r="S133" i="1" s="1"/>
  <c r="Q70" i="1"/>
  <c r="Q133" i="1" s="1"/>
  <c r="P70" i="1"/>
  <c r="P133" i="1" s="1"/>
  <c r="O70" i="1"/>
  <c r="O133" i="1" s="1"/>
  <c r="N70" i="1"/>
  <c r="N133" i="1" s="1"/>
  <c r="J70" i="1"/>
  <c r="J133" i="1" s="1"/>
  <c r="E70" i="1"/>
  <c r="E133" i="1" s="1"/>
  <c r="S69" i="1"/>
  <c r="S132" i="1" s="1"/>
  <c r="Q69" i="1"/>
  <c r="Q132" i="1" s="1"/>
  <c r="P69" i="1"/>
  <c r="P132" i="1" s="1"/>
  <c r="O69" i="1"/>
  <c r="O132" i="1" s="1"/>
  <c r="N69" i="1"/>
  <c r="N132" i="1" s="1"/>
  <c r="J69" i="1"/>
  <c r="J132" i="1" s="1"/>
  <c r="E69" i="1"/>
  <c r="E132" i="1" s="1"/>
  <c r="S68" i="1"/>
  <c r="S131" i="1" s="1"/>
  <c r="Q68" i="1"/>
  <c r="Q131" i="1" s="1"/>
  <c r="P68" i="1"/>
  <c r="P131" i="1" s="1"/>
  <c r="O68" i="1"/>
  <c r="O131" i="1" s="1"/>
  <c r="N68" i="1"/>
  <c r="N131" i="1" s="1"/>
  <c r="J68" i="1"/>
  <c r="J131" i="1" s="1"/>
  <c r="E68" i="1"/>
  <c r="E131" i="1" s="1"/>
  <c r="S67" i="1"/>
  <c r="Q67" i="1"/>
  <c r="P67" i="1"/>
  <c r="O67" i="1"/>
  <c r="N67" i="1"/>
  <c r="Q66" i="1"/>
  <c r="P66" i="1"/>
  <c r="O66" i="1"/>
  <c r="N66" i="1"/>
  <c r="S65" i="1"/>
  <c r="Q65" i="1"/>
  <c r="P65" i="1"/>
  <c r="O65" i="1"/>
  <c r="N65" i="1"/>
  <c r="J65" i="1"/>
  <c r="E65" i="1"/>
  <c r="S64" i="1"/>
  <c r="Q64" i="1"/>
  <c r="P64" i="1"/>
  <c r="O64" i="1"/>
  <c r="N64" i="1"/>
  <c r="J64" i="1"/>
  <c r="E64" i="1"/>
  <c r="S63" i="1"/>
  <c r="Q63" i="1"/>
  <c r="P63" i="1"/>
  <c r="O63" i="1"/>
  <c r="N63" i="1"/>
  <c r="J63" i="1"/>
  <c r="E63" i="1"/>
  <c r="S62" i="1"/>
  <c r="Q62" i="1"/>
  <c r="P62" i="1"/>
  <c r="O62" i="1"/>
  <c r="N62" i="1"/>
  <c r="J62" i="1"/>
  <c r="E62" i="1"/>
  <c r="J56" i="1"/>
  <c r="E56" i="1"/>
  <c r="S55" i="1"/>
  <c r="Q55" i="1"/>
  <c r="P55" i="1"/>
  <c r="O55" i="1"/>
  <c r="N55" i="1"/>
  <c r="J55" i="1"/>
  <c r="E55" i="1"/>
  <c r="S54" i="1"/>
  <c r="Q54" i="1"/>
  <c r="P54" i="1"/>
  <c r="O54" i="1"/>
  <c r="N54" i="1"/>
  <c r="J54" i="1"/>
  <c r="E54" i="1"/>
  <c r="S53" i="1"/>
  <c r="Q53" i="1"/>
  <c r="P53" i="1"/>
  <c r="O53" i="1"/>
  <c r="N53" i="1"/>
  <c r="J53" i="1"/>
  <c r="E53" i="1"/>
  <c r="O51" i="1"/>
  <c r="P51" i="1" s="1"/>
  <c r="Q51" i="1" s="1"/>
  <c r="R51" i="1" s="1"/>
  <c r="S51" i="1" s="1"/>
  <c r="T51" i="1" s="1"/>
  <c r="U51" i="1" s="1"/>
  <c r="V51" i="1" s="1"/>
  <c r="W51" i="1" s="1"/>
  <c r="T49" i="1"/>
  <c r="T71" i="1" s="1"/>
  <c r="T134" i="1" s="1"/>
  <c r="R49" i="1"/>
  <c r="R67" i="1" s="1"/>
  <c r="T48" i="1"/>
  <c r="Y48" i="1" s="1"/>
  <c r="S48" i="1"/>
  <c r="R48" i="1"/>
  <c r="Q48" i="1"/>
  <c r="P48" i="1"/>
  <c r="O47" i="1"/>
  <c r="P47" i="1" s="1"/>
  <c r="Q47" i="1" s="1"/>
  <c r="R47" i="1" s="1"/>
  <c r="S47" i="1" s="1"/>
  <c r="T47" i="1" s="1"/>
  <c r="U47" i="1" s="1"/>
  <c r="V47" i="1" s="1"/>
  <c r="W47" i="1" s="1"/>
  <c r="W28" i="1"/>
  <c r="V28" i="1"/>
  <c r="U28" i="1"/>
  <c r="T28" i="1"/>
  <c r="S28" i="1"/>
  <c r="S107" i="1" s="1"/>
  <c r="R28" i="1"/>
  <c r="R107" i="1" s="1"/>
  <c r="Q28" i="1"/>
  <c r="P28" i="1"/>
  <c r="O28" i="1"/>
  <c r="M28" i="1" s="1"/>
  <c r="N27" i="1"/>
  <c r="M27" i="1" s="1"/>
  <c r="E27" i="1"/>
  <c r="E106" i="1" s="1"/>
  <c r="D106" i="1" s="1"/>
  <c r="J67" i="1"/>
  <c r="E17" i="1"/>
  <c r="S16" i="1"/>
  <c r="E16" i="1"/>
  <c r="W9" i="1"/>
  <c r="U9" i="1"/>
  <c r="J9" i="1"/>
  <c r="H9" i="1" s="1"/>
  <c r="E9" i="1"/>
  <c r="V8" i="1"/>
  <c r="V9" i="1" s="1"/>
  <c r="V41" i="1" s="1"/>
  <c r="T8" i="1"/>
  <c r="S8" i="1"/>
  <c r="S56" i="1" s="1"/>
  <c r="R8" i="1"/>
  <c r="R9" i="1" s="1"/>
  <c r="Q8" i="1"/>
  <c r="Q9" i="1" s="1"/>
  <c r="P8" i="1"/>
  <c r="P9" i="1" s="1"/>
  <c r="O8" i="1"/>
  <c r="N8" i="1"/>
  <c r="N9" i="1" s="1"/>
  <c r="T5" i="1"/>
  <c r="O3" i="1"/>
  <c r="P3" i="1" s="1"/>
  <c r="Q3" i="1" s="1"/>
  <c r="R3" i="1" s="1"/>
  <c r="S3" i="1" s="1"/>
  <c r="T3" i="1" s="1"/>
  <c r="U3" i="1" s="1"/>
  <c r="V3" i="1" s="1"/>
  <c r="W3" i="1" s="1"/>
  <c r="P56" i="3" l="1"/>
  <c r="P53" i="3"/>
  <c r="P55" i="3"/>
  <c r="L15" i="3"/>
  <c r="L128" i="3"/>
  <c r="D143" i="3" s="1"/>
  <c r="L114" i="3"/>
  <c r="D161" i="3" s="1"/>
  <c r="D17" i="3"/>
  <c r="G10" i="1"/>
  <c r="C10" i="1"/>
  <c r="D10" i="1" s="1"/>
  <c r="O56" i="1"/>
  <c r="M8" i="1"/>
  <c r="G9" i="1"/>
  <c r="U41" i="1"/>
  <c r="P57" i="1"/>
  <c r="P41" i="1"/>
  <c r="Q57" i="1"/>
  <c r="Q41" i="1"/>
  <c r="J57" i="1"/>
  <c r="J41" i="1"/>
  <c r="E41" i="1"/>
  <c r="R147" i="1"/>
  <c r="R73" i="1"/>
  <c r="R136" i="1" s="1"/>
  <c r="Z48" i="1"/>
  <c r="Q130" i="1"/>
  <c r="R110" i="1"/>
  <c r="R124" i="1" s="1"/>
  <c r="T73" i="1"/>
  <c r="T136" i="1" s="1"/>
  <c r="E154" i="1" s="1"/>
  <c r="T78" i="1"/>
  <c r="T141" i="1" s="1"/>
  <c r="E159" i="1" s="1"/>
  <c r="D123" i="1"/>
  <c r="H101" i="3"/>
  <c r="H86" i="3"/>
  <c r="I104" i="3"/>
  <c r="I89" i="3"/>
  <c r="I86" i="3"/>
  <c r="I101" i="3"/>
  <c r="J104" i="3"/>
  <c r="J89" i="3"/>
  <c r="J86" i="3"/>
  <c r="J101" i="3"/>
  <c r="K89" i="3"/>
  <c r="K104" i="3"/>
  <c r="K86" i="3"/>
  <c r="K101" i="3"/>
  <c r="R105" i="3"/>
  <c r="D105" i="3"/>
  <c r="D90" i="3"/>
  <c r="D87" i="3"/>
  <c r="R102" i="3"/>
  <c r="D102" i="3"/>
  <c r="S105" i="3"/>
  <c r="E105" i="3"/>
  <c r="E90" i="3"/>
  <c r="E87" i="3"/>
  <c r="S102" i="3"/>
  <c r="E102" i="3"/>
  <c r="T105" i="3"/>
  <c r="F105" i="3"/>
  <c r="F90" i="3"/>
  <c r="F87" i="3"/>
  <c r="T102" i="3"/>
  <c r="F102" i="3"/>
  <c r="G90" i="3"/>
  <c r="G105" i="3"/>
  <c r="U105" i="3"/>
  <c r="D84" i="3"/>
  <c r="D99" i="3"/>
  <c r="G87" i="3"/>
  <c r="G102" i="3"/>
  <c r="U102" i="3"/>
  <c r="H90" i="3"/>
  <c r="H105" i="3"/>
  <c r="E99" i="3"/>
  <c r="E84" i="3"/>
  <c r="H87" i="3"/>
  <c r="H102" i="3"/>
  <c r="I90" i="3"/>
  <c r="I105" i="3"/>
  <c r="F99" i="3"/>
  <c r="I87" i="3"/>
  <c r="I102" i="3"/>
  <c r="J90" i="3"/>
  <c r="J105" i="3"/>
  <c r="I99" i="3"/>
  <c r="I84" i="3"/>
  <c r="J87" i="3"/>
  <c r="J102" i="3"/>
  <c r="K90" i="3"/>
  <c r="K105" i="3"/>
  <c r="J99" i="3"/>
  <c r="J84" i="3"/>
  <c r="K87" i="3"/>
  <c r="K102" i="3"/>
  <c r="K84" i="3"/>
  <c r="K99" i="3"/>
  <c r="D91" i="3"/>
  <c r="D106" i="3"/>
  <c r="R106" i="3"/>
  <c r="R103" i="3"/>
  <c r="D88" i="3"/>
  <c r="D103" i="3"/>
  <c r="E91" i="3"/>
  <c r="E106" i="3"/>
  <c r="S106" i="3"/>
  <c r="D100" i="3"/>
  <c r="D85" i="3"/>
  <c r="R100" i="3"/>
  <c r="S103" i="3"/>
  <c r="E103" i="3"/>
  <c r="E88" i="3"/>
  <c r="F91" i="3"/>
  <c r="F106" i="3"/>
  <c r="T106" i="3"/>
  <c r="E100" i="3"/>
  <c r="S100" i="3"/>
  <c r="E85" i="3"/>
  <c r="T103" i="3"/>
  <c r="F103" i="3"/>
  <c r="F88" i="3"/>
  <c r="G91" i="3"/>
  <c r="G106" i="3"/>
  <c r="U106" i="3"/>
  <c r="F100" i="3"/>
  <c r="T100" i="3"/>
  <c r="F85" i="3"/>
  <c r="G103" i="3"/>
  <c r="G88" i="3"/>
  <c r="U103" i="3"/>
  <c r="H91" i="3"/>
  <c r="H106" i="3"/>
  <c r="U100" i="3"/>
  <c r="G85" i="3"/>
  <c r="G100" i="3"/>
  <c r="H103" i="3"/>
  <c r="H88" i="3"/>
  <c r="I91" i="3"/>
  <c r="I106" i="3"/>
  <c r="H85" i="3"/>
  <c r="H100" i="3"/>
  <c r="I103" i="3"/>
  <c r="I88" i="3"/>
  <c r="J91" i="3"/>
  <c r="J106" i="3"/>
  <c r="I85" i="3"/>
  <c r="I100" i="3"/>
  <c r="J103" i="3"/>
  <c r="J88" i="3"/>
  <c r="K91" i="3"/>
  <c r="K106" i="3"/>
  <c r="J100" i="3"/>
  <c r="J85" i="3"/>
  <c r="K88" i="3"/>
  <c r="K103" i="3"/>
  <c r="K85" i="3"/>
  <c r="K100" i="3"/>
  <c r="R104" i="3"/>
  <c r="D104" i="3"/>
  <c r="D89" i="3"/>
  <c r="R101" i="3"/>
  <c r="D101" i="3"/>
  <c r="D86" i="3"/>
  <c r="E104" i="3"/>
  <c r="S104" i="3"/>
  <c r="E89" i="3"/>
  <c r="S101" i="3"/>
  <c r="E101" i="3"/>
  <c r="E86" i="3"/>
  <c r="F104" i="3"/>
  <c r="T104" i="3"/>
  <c r="F89" i="3"/>
  <c r="T101" i="3"/>
  <c r="F101" i="3"/>
  <c r="F86" i="3"/>
  <c r="G89" i="3"/>
  <c r="G104" i="3"/>
  <c r="U104" i="3"/>
  <c r="U101" i="3"/>
  <c r="G101" i="3"/>
  <c r="G86" i="3"/>
  <c r="H104" i="3"/>
  <c r="H89" i="3"/>
  <c r="G121" i="3"/>
  <c r="H133" i="3"/>
  <c r="D183" i="3" s="1"/>
  <c r="I133" i="3"/>
  <c r="K130" i="3"/>
  <c r="E120" i="3"/>
  <c r="F120" i="3"/>
  <c r="G120" i="3"/>
  <c r="H131" i="3"/>
  <c r="D181" i="3" s="1"/>
  <c r="F121" i="3"/>
  <c r="H132" i="3"/>
  <c r="D182" i="3" s="1"/>
  <c r="H129" i="3"/>
  <c r="D179" i="3" s="1"/>
  <c r="I132" i="3"/>
  <c r="I129" i="3"/>
  <c r="K132" i="3"/>
  <c r="K129" i="3"/>
  <c r="H130" i="3"/>
  <c r="D180" i="3" s="1"/>
  <c r="I130" i="3"/>
  <c r="K133" i="3"/>
  <c r="D120" i="3"/>
  <c r="I131" i="3"/>
  <c r="I128" i="3"/>
  <c r="K131" i="3"/>
  <c r="K128" i="3"/>
  <c r="D121" i="3"/>
  <c r="E121" i="3"/>
  <c r="F119" i="3"/>
  <c r="F133" i="3"/>
  <c r="D114" i="3"/>
  <c r="D128" i="3"/>
  <c r="H123" i="3"/>
  <c r="D205" i="3" s="1"/>
  <c r="H120" i="3"/>
  <c r="D202" i="3" s="1"/>
  <c r="H115" i="3"/>
  <c r="D197" i="3" s="1"/>
  <c r="H122" i="3"/>
  <c r="D204" i="3" s="1"/>
  <c r="H116" i="3"/>
  <c r="D198" i="3" s="1"/>
  <c r="H117" i="3"/>
  <c r="D199" i="3" s="1"/>
  <c r="H121" i="3"/>
  <c r="D203" i="3" s="1"/>
  <c r="H119" i="3"/>
  <c r="D201" i="3" s="1"/>
  <c r="H118" i="3"/>
  <c r="D200" i="3" s="1"/>
  <c r="D132" i="3"/>
  <c r="D118" i="3"/>
  <c r="I123" i="3"/>
  <c r="I117" i="3"/>
  <c r="I114" i="3"/>
  <c r="I121" i="3"/>
  <c r="I118" i="3"/>
  <c r="I122" i="3"/>
  <c r="I120" i="3"/>
  <c r="I115" i="3"/>
  <c r="I119" i="3"/>
  <c r="I116" i="3"/>
  <c r="D115" i="3"/>
  <c r="D129" i="3"/>
  <c r="E132" i="3"/>
  <c r="E118" i="3"/>
  <c r="J120" i="3"/>
  <c r="J121" i="3"/>
  <c r="J118" i="3"/>
  <c r="J115" i="3"/>
  <c r="J123" i="3"/>
  <c r="J117" i="3"/>
  <c r="J114" i="3"/>
  <c r="J122" i="3"/>
  <c r="J119" i="3"/>
  <c r="J116" i="3"/>
  <c r="E129" i="3"/>
  <c r="E115" i="3"/>
  <c r="F118" i="3"/>
  <c r="F132" i="3"/>
  <c r="K120" i="3"/>
  <c r="K117" i="3"/>
  <c r="K114" i="3"/>
  <c r="K121" i="3"/>
  <c r="K115" i="3"/>
  <c r="K122" i="3"/>
  <c r="K119" i="3"/>
  <c r="K123" i="3"/>
  <c r="K118" i="3"/>
  <c r="K116" i="3"/>
  <c r="F115" i="3"/>
  <c r="F129" i="3"/>
  <c r="G132" i="3"/>
  <c r="G118" i="3"/>
  <c r="L116" i="3"/>
  <c r="D163" i="3" s="1"/>
  <c r="L123" i="3"/>
  <c r="D170" i="3" s="1"/>
  <c r="L121" i="3"/>
  <c r="D168" i="3" s="1"/>
  <c r="L119" i="3"/>
  <c r="D166" i="3" s="1"/>
  <c r="L120" i="3"/>
  <c r="D167" i="3" s="1"/>
  <c r="L117" i="3"/>
  <c r="D164" i="3" s="1"/>
  <c r="L115" i="3"/>
  <c r="D162" i="3" s="1"/>
  <c r="L122" i="3"/>
  <c r="D169" i="3" s="1"/>
  <c r="L118" i="3"/>
  <c r="D165" i="3" s="1"/>
  <c r="G115" i="3"/>
  <c r="G129" i="3"/>
  <c r="E130" i="3"/>
  <c r="E116" i="3"/>
  <c r="F130" i="3"/>
  <c r="F116" i="3"/>
  <c r="G130" i="3"/>
  <c r="G116" i="3"/>
  <c r="D117" i="3"/>
  <c r="D131" i="3"/>
  <c r="E117" i="3"/>
  <c r="E131" i="3"/>
  <c r="F117" i="3"/>
  <c r="F131" i="3"/>
  <c r="D133" i="3"/>
  <c r="D119" i="3"/>
  <c r="G119" i="3"/>
  <c r="G133" i="3"/>
  <c r="G117" i="3"/>
  <c r="G131" i="3"/>
  <c r="E114" i="3"/>
  <c r="E128" i="3"/>
  <c r="F114" i="3"/>
  <c r="F128" i="3"/>
  <c r="J15" i="3"/>
  <c r="J133" i="3"/>
  <c r="J130" i="3"/>
  <c r="J128" i="3"/>
  <c r="J131" i="3"/>
  <c r="J132" i="3"/>
  <c r="J129" i="3"/>
  <c r="L130" i="3"/>
  <c r="D145" i="3" s="1"/>
  <c r="L131" i="3"/>
  <c r="D146" i="3" s="1"/>
  <c r="L133" i="3"/>
  <c r="D148" i="3" s="1"/>
  <c r="L132" i="3"/>
  <c r="D147" i="3" s="1"/>
  <c r="L129" i="3"/>
  <c r="D144" i="3" s="1"/>
  <c r="D130" i="3"/>
  <c r="D116" i="3"/>
  <c r="E133" i="3"/>
  <c r="E119" i="3"/>
  <c r="I80" i="3"/>
  <c r="J80" i="3"/>
  <c r="L80" i="3"/>
  <c r="H55" i="3"/>
  <c r="H62" i="3"/>
  <c r="G53" i="3"/>
  <c r="G62" i="3"/>
  <c r="F80" i="3"/>
  <c r="K80" i="3"/>
  <c r="E80" i="3"/>
  <c r="D80" i="3"/>
  <c r="Q32" i="1"/>
  <c r="Q81" i="1" s="1"/>
  <c r="Q107" i="1"/>
  <c r="V32" i="1"/>
  <c r="V34" i="1" s="1"/>
  <c r="V107" i="1"/>
  <c r="U32" i="1"/>
  <c r="U107" i="1"/>
  <c r="J76" i="1"/>
  <c r="J139" i="1" s="1"/>
  <c r="J106" i="1"/>
  <c r="N32" i="1"/>
  <c r="N81" i="1" s="1"/>
  <c r="N106" i="1"/>
  <c r="O77" i="1"/>
  <c r="O140" i="1" s="1"/>
  <c r="O107" i="1"/>
  <c r="P32" i="1"/>
  <c r="P81" i="1" s="1"/>
  <c r="P107" i="1"/>
  <c r="T32" i="1"/>
  <c r="T107" i="1"/>
  <c r="D107" i="1" s="1"/>
  <c r="N130" i="1"/>
  <c r="O130" i="1"/>
  <c r="P130" i="1"/>
  <c r="T67" i="1"/>
  <c r="T80" i="1"/>
  <c r="S66" i="1"/>
  <c r="S130" i="1" s="1"/>
  <c r="S97" i="1"/>
  <c r="Y17" i="1"/>
  <c r="D17" i="1"/>
  <c r="E76" i="1"/>
  <c r="E139" i="1" s="1"/>
  <c r="D27" i="1"/>
  <c r="T9" i="1"/>
  <c r="J42" i="1" s="1"/>
  <c r="W32" i="1"/>
  <c r="X32" i="1" s="1"/>
  <c r="X28" i="1"/>
  <c r="D9" i="1"/>
  <c r="D7" i="1"/>
  <c r="D29" i="1"/>
  <c r="D28" i="1"/>
  <c r="D26" i="1"/>
  <c r="D25" i="1"/>
  <c r="D24" i="1"/>
  <c r="D23" i="1"/>
  <c r="D22" i="1"/>
  <c r="D21" i="1"/>
  <c r="D20" i="1"/>
  <c r="D19" i="1"/>
  <c r="D18" i="1"/>
  <c r="D15" i="1"/>
  <c r="D14" i="1"/>
  <c r="D13" i="1"/>
  <c r="D12" i="1"/>
  <c r="D8" i="1"/>
  <c r="D6" i="1"/>
  <c r="D5" i="1"/>
  <c r="X12" i="1"/>
  <c r="X6" i="1"/>
  <c r="X29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9" i="1"/>
  <c r="X8" i="1"/>
  <c r="X7" i="1"/>
  <c r="X5" i="1"/>
  <c r="X36" i="1"/>
  <c r="E32" i="1"/>
  <c r="E43" i="1" s="1"/>
  <c r="D16" i="1"/>
  <c r="E97" i="1"/>
  <c r="D97" i="1" s="1"/>
  <c r="T62" i="1"/>
  <c r="J32" i="1"/>
  <c r="J97" i="1"/>
  <c r="Q56" i="1"/>
  <c r="E57" i="1"/>
  <c r="E90" i="1" s="1"/>
  <c r="R75" i="1"/>
  <c r="R138" i="1" s="1"/>
  <c r="Z49" i="1"/>
  <c r="N76" i="1"/>
  <c r="N139" i="1" s="1"/>
  <c r="T68" i="1"/>
  <c r="R80" i="1"/>
  <c r="T65" i="1"/>
  <c r="Y65" i="1" s="1"/>
  <c r="Y28" i="1"/>
  <c r="T55" i="1"/>
  <c r="E67" i="1"/>
  <c r="S32" i="1"/>
  <c r="S81" i="1" s="1"/>
  <c r="T75" i="1"/>
  <c r="Y49" i="1"/>
  <c r="T56" i="1"/>
  <c r="R77" i="1"/>
  <c r="R140" i="1" s="1"/>
  <c r="P56" i="1"/>
  <c r="E205" i="3"/>
  <c r="E187" i="3"/>
  <c r="F137" i="3"/>
  <c r="G137" i="3"/>
  <c r="E161" i="3"/>
  <c r="E178" i="3"/>
  <c r="E143" i="3"/>
  <c r="E196" i="3"/>
  <c r="F135" i="3"/>
  <c r="E199" i="3"/>
  <c r="E181" i="3"/>
  <c r="E204" i="3"/>
  <c r="E186" i="3"/>
  <c r="E180" i="3"/>
  <c r="E198" i="3"/>
  <c r="D135" i="3"/>
  <c r="E203" i="3"/>
  <c r="E185" i="3"/>
  <c r="E201" i="3"/>
  <c r="E183" i="3"/>
  <c r="I10" i="3"/>
  <c r="E197" i="3"/>
  <c r="E179" i="3"/>
  <c r="E135" i="3"/>
  <c r="D134" i="3"/>
  <c r="E202" i="3"/>
  <c r="E184" i="3"/>
  <c r="E134" i="3"/>
  <c r="E200" i="3"/>
  <c r="E182" i="3"/>
  <c r="Y71" i="1"/>
  <c r="Q77" i="1"/>
  <c r="Q140" i="1" s="1"/>
  <c r="O9" i="1"/>
  <c r="R32" i="1"/>
  <c r="R81" i="1" s="1"/>
  <c r="S77" i="1"/>
  <c r="S140" i="1" s="1"/>
  <c r="S9" i="1"/>
  <c r="R41" i="1" s="1"/>
  <c r="T53" i="1"/>
  <c r="P77" i="1"/>
  <c r="P140" i="1" s="1"/>
  <c r="Y9" i="1"/>
  <c r="Y16" i="1"/>
  <c r="O32" i="1"/>
  <c r="N56" i="1"/>
  <c r="T77" i="1"/>
  <c r="Q34" i="1"/>
  <c r="Q83" i="1" s="1"/>
  <c r="H69" i="3"/>
  <c r="L10" i="3"/>
  <c r="H10" i="3"/>
  <c r="J10" i="3"/>
  <c r="K10" i="3"/>
  <c r="F134" i="3"/>
  <c r="G134" i="3"/>
  <c r="H134" i="3"/>
  <c r="D184" i="3" s="1"/>
  <c r="I134" i="3"/>
  <c r="E165" i="3"/>
  <c r="E166" i="3"/>
  <c r="J58" i="3"/>
  <c r="K58" i="3"/>
  <c r="E162" i="3"/>
  <c r="L58" i="3"/>
  <c r="E163" i="3"/>
  <c r="M58" i="3"/>
  <c r="E136" i="3"/>
  <c r="E164" i="3"/>
  <c r="F136" i="3"/>
  <c r="G136" i="3"/>
  <c r="H136" i="3"/>
  <c r="D186" i="3" s="1"/>
  <c r="E167" i="3"/>
  <c r="I136" i="3"/>
  <c r="E168" i="3"/>
  <c r="K136" i="3"/>
  <c r="E169" i="3"/>
  <c r="E170" i="3"/>
  <c r="I135" i="3"/>
  <c r="O58" i="3"/>
  <c r="P58" i="3" s="1"/>
  <c r="I137" i="3"/>
  <c r="I58" i="3"/>
  <c r="E147" i="3"/>
  <c r="G135" i="3"/>
  <c r="H135" i="3"/>
  <c r="D185" i="3" s="1"/>
  <c r="E145" i="3"/>
  <c r="E148" i="3"/>
  <c r="H137" i="3"/>
  <c r="D187" i="3" s="1"/>
  <c r="F58" i="3"/>
  <c r="K137" i="3"/>
  <c r="E144" i="3"/>
  <c r="E150" i="3"/>
  <c r="H56" i="3"/>
  <c r="E149" i="3"/>
  <c r="J136" i="3"/>
  <c r="E151" i="3"/>
  <c r="L136" i="3"/>
  <c r="D151" i="3" s="1"/>
  <c r="E152" i="3"/>
  <c r="H53" i="3"/>
  <c r="E137" i="3"/>
  <c r="J135" i="3"/>
  <c r="L135" i="3"/>
  <c r="D150" i="3" s="1"/>
  <c r="E146" i="3"/>
  <c r="D58" i="3"/>
  <c r="K134" i="3"/>
  <c r="G55" i="3"/>
  <c r="G58" i="3" s="1"/>
  <c r="D137" i="3"/>
  <c r="L134" i="3"/>
  <c r="D149" i="3" s="1"/>
  <c r="K135" i="3"/>
  <c r="E58" i="3"/>
  <c r="I15" i="3"/>
  <c r="J137" i="3"/>
  <c r="L137" i="3"/>
  <c r="D152" i="3" s="1"/>
  <c r="J134" i="3"/>
  <c r="D136" i="3"/>
  <c r="K15" i="3"/>
  <c r="L39" i="2"/>
  <c r="L38" i="2"/>
  <c r="N57" i="1"/>
  <c r="R57" i="1"/>
  <c r="R56" i="1"/>
  <c r="R65" i="1"/>
  <c r="R71" i="1"/>
  <c r="R134" i="1" s="1"/>
  <c r="R78" i="1"/>
  <c r="R141" i="1" s="1"/>
  <c r="R69" i="1"/>
  <c r="R132" i="1" s="1"/>
  <c r="T63" i="1"/>
  <c r="Y63" i="1" s="1"/>
  <c r="E66" i="1"/>
  <c r="E130" i="1" s="1"/>
  <c r="T69" i="1"/>
  <c r="T76" i="1"/>
  <c r="Q26" i="2"/>
  <c r="H12" i="3"/>
  <c r="G69" i="3"/>
  <c r="F84" i="3" s="1"/>
  <c r="R54" i="1"/>
  <c r="R63" i="1"/>
  <c r="J66" i="1"/>
  <c r="J130" i="1" s="1"/>
  <c r="I12" i="3"/>
  <c r="R74" i="1"/>
  <c r="R137" i="1" s="1"/>
  <c r="J12" i="3"/>
  <c r="R76" i="1"/>
  <c r="R139" i="1" s="1"/>
  <c r="T54" i="1"/>
  <c r="G12" i="3"/>
  <c r="R66" i="1"/>
  <c r="R72" i="1"/>
  <c r="R135" i="1" s="1"/>
  <c r="R79" i="1"/>
  <c r="Q28" i="2"/>
  <c r="J38" i="2" s="1"/>
  <c r="R35" i="2"/>
  <c r="C39" i="2" s="1"/>
  <c r="Q33" i="2"/>
  <c r="E38" i="2" s="1"/>
  <c r="T74" i="1"/>
  <c r="T66" i="1"/>
  <c r="T72" i="1"/>
  <c r="T79" i="1"/>
  <c r="R55" i="1"/>
  <c r="R64" i="1"/>
  <c r="R70" i="1"/>
  <c r="R133" i="1" s="1"/>
  <c r="T64" i="1"/>
  <c r="Y64" i="1" s="1"/>
  <c r="T70" i="1"/>
  <c r="Q30" i="2"/>
  <c r="H38" i="2" s="1"/>
  <c r="R53" i="1"/>
  <c r="R62" i="1"/>
  <c r="R68" i="1"/>
  <c r="R131" i="1" s="1"/>
  <c r="N41" i="1" l="1"/>
  <c r="M9" i="1"/>
  <c r="O81" i="1"/>
  <c r="M32" i="1"/>
  <c r="J81" i="1"/>
  <c r="H32" i="1"/>
  <c r="AA48" i="1"/>
  <c r="Y78" i="1"/>
  <c r="R42" i="1"/>
  <c r="P42" i="1"/>
  <c r="T57" i="1"/>
  <c r="Q60" i="1" s="1"/>
  <c r="T41" i="1"/>
  <c r="Q42" i="1"/>
  <c r="S57" i="1"/>
  <c r="S60" i="1" s="1"/>
  <c r="S42" i="1"/>
  <c r="S41" i="1"/>
  <c r="O57" i="1"/>
  <c r="O41" i="1"/>
  <c r="O42" i="1"/>
  <c r="N42" i="1"/>
  <c r="E42" i="1"/>
  <c r="S147" i="1"/>
  <c r="J143" i="1"/>
  <c r="Y73" i="1"/>
  <c r="U38" i="1"/>
  <c r="Q110" i="1"/>
  <c r="Q124" i="1"/>
  <c r="S110" i="1"/>
  <c r="S114" i="1" s="1"/>
  <c r="S143" i="1"/>
  <c r="D114" i="1"/>
  <c r="Q143" i="1"/>
  <c r="V110" i="1"/>
  <c r="V124" i="1" s="1"/>
  <c r="D124" i="1"/>
  <c r="N143" i="1"/>
  <c r="T110" i="1"/>
  <c r="T124" i="1"/>
  <c r="P110" i="1"/>
  <c r="P124" i="1"/>
  <c r="O110" i="1"/>
  <c r="O124" i="1"/>
  <c r="E143" i="1"/>
  <c r="N110" i="1"/>
  <c r="N123" i="1" s="1"/>
  <c r="U110" i="1"/>
  <c r="U124" i="1"/>
  <c r="R122" i="1"/>
  <c r="R118" i="1"/>
  <c r="R115" i="1"/>
  <c r="R127" i="1"/>
  <c r="R114" i="1"/>
  <c r="R125" i="1"/>
  <c r="R119" i="1"/>
  <c r="R117" i="1"/>
  <c r="R120" i="1"/>
  <c r="R116" i="1"/>
  <c r="R123" i="1"/>
  <c r="R121" i="1"/>
  <c r="H99" i="3"/>
  <c r="H84" i="3"/>
  <c r="D95" i="3"/>
  <c r="D110" i="3"/>
  <c r="E110" i="3"/>
  <c r="E95" i="3"/>
  <c r="S99" i="3"/>
  <c r="K95" i="3"/>
  <c r="K110" i="3"/>
  <c r="F110" i="3"/>
  <c r="F95" i="3"/>
  <c r="T110" i="3"/>
  <c r="W110" i="3"/>
  <c r="V110" i="3"/>
  <c r="Y110" i="3"/>
  <c r="X110" i="3"/>
  <c r="J110" i="3"/>
  <c r="J95" i="3"/>
  <c r="R99" i="3"/>
  <c r="I110" i="3"/>
  <c r="I95" i="3"/>
  <c r="G99" i="3"/>
  <c r="G84" i="3"/>
  <c r="U99" i="3"/>
  <c r="T99" i="3"/>
  <c r="F147" i="3"/>
  <c r="H58" i="3"/>
  <c r="H128" i="3"/>
  <c r="D178" i="3" s="1"/>
  <c r="H114" i="3"/>
  <c r="D196" i="3" s="1"/>
  <c r="F196" i="3" s="1"/>
  <c r="G80" i="3"/>
  <c r="G114" i="3"/>
  <c r="G128" i="3"/>
  <c r="H80" i="3"/>
  <c r="D32" i="1"/>
  <c r="E110" i="1"/>
  <c r="D110" i="1" s="1"/>
  <c r="P143" i="1"/>
  <c r="J34" i="1"/>
  <c r="J83" i="1" s="1"/>
  <c r="O143" i="1"/>
  <c r="P34" i="1"/>
  <c r="P83" i="1" s="1"/>
  <c r="O34" i="1"/>
  <c r="R130" i="1"/>
  <c r="R143" i="1" s="1"/>
  <c r="Y70" i="1"/>
  <c r="T133" i="1"/>
  <c r="E151" i="1" s="1"/>
  <c r="E81" i="1"/>
  <c r="Y77" i="1"/>
  <c r="T140" i="1"/>
  <c r="E158" i="1" s="1"/>
  <c r="U34" i="1"/>
  <c r="T38" i="1"/>
  <c r="T87" i="1" s="1"/>
  <c r="T34" i="1"/>
  <c r="T83" i="1" s="1"/>
  <c r="Y75" i="1"/>
  <c r="T138" i="1"/>
  <c r="E156" i="1" s="1"/>
  <c r="Y72" i="1"/>
  <c r="T135" i="1"/>
  <c r="E153" i="1" s="1"/>
  <c r="Y67" i="1"/>
  <c r="Y74" i="1"/>
  <c r="T137" i="1"/>
  <c r="E155" i="1" s="1"/>
  <c r="Y76" i="1"/>
  <c r="T139" i="1"/>
  <c r="E157" i="1" s="1"/>
  <c r="Y69" i="1"/>
  <c r="T132" i="1"/>
  <c r="E150" i="1" s="1"/>
  <c r="Y68" i="1"/>
  <c r="T131" i="1"/>
  <c r="E149" i="1" s="1"/>
  <c r="T81" i="1"/>
  <c r="S82" i="1" s="1"/>
  <c r="J110" i="1"/>
  <c r="J123" i="1" s="1"/>
  <c r="J38" i="1"/>
  <c r="J87" i="1" s="1"/>
  <c r="N34" i="1"/>
  <c r="N83" i="1" s="1"/>
  <c r="P38" i="1"/>
  <c r="P87" i="1" s="1"/>
  <c r="Y62" i="1"/>
  <c r="T130" i="1"/>
  <c r="E148" i="1" s="1"/>
  <c r="W34" i="1"/>
  <c r="X34" i="1" s="1"/>
  <c r="D34" i="1"/>
  <c r="E38" i="1"/>
  <c r="E87" i="1" s="1"/>
  <c r="Y32" i="1"/>
  <c r="E44" i="1" s="1"/>
  <c r="V38" i="1"/>
  <c r="R34" i="1"/>
  <c r="R83" i="1" s="1"/>
  <c r="Y66" i="1"/>
  <c r="S34" i="1"/>
  <c r="S83" i="1" s="1"/>
  <c r="O38" i="1"/>
  <c r="O87" i="1" s="1"/>
  <c r="N38" i="1"/>
  <c r="N87" i="1" s="1"/>
  <c r="S38" i="1"/>
  <c r="S87" i="1" s="1"/>
  <c r="F199" i="3"/>
  <c r="F179" i="3"/>
  <c r="F187" i="3"/>
  <c r="F201" i="3"/>
  <c r="F205" i="3"/>
  <c r="F202" i="3"/>
  <c r="F204" i="3"/>
  <c r="F180" i="3"/>
  <c r="F198" i="3"/>
  <c r="F185" i="3"/>
  <c r="F203" i="3"/>
  <c r="F168" i="3"/>
  <c r="F197" i="3"/>
  <c r="F181" i="3"/>
  <c r="D173" i="3"/>
  <c r="E190" i="3"/>
  <c r="F184" i="3"/>
  <c r="F169" i="3"/>
  <c r="F164" i="3"/>
  <c r="E208" i="3"/>
  <c r="F166" i="3"/>
  <c r="F165" i="3"/>
  <c r="F183" i="3"/>
  <c r="F167" i="3"/>
  <c r="F163" i="3"/>
  <c r="F200" i="3"/>
  <c r="F170" i="3"/>
  <c r="F182" i="3"/>
  <c r="F186" i="3"/>
  <c r="Q38" i="1"/>
  <c r="Q87" i="1" s="1"/>
  <c r="R38" i="1"/>
  <c r="R87" i="1" s="1"/>
  <c r="F150" i="3"/>
  <c r="F152" i="3"/>
  <c r="E173" i="3"/>
  <c r="F144" i="3"/>
  <c r="F161" i="3"/>
  <c r="F162" i="3"/>
  <c r="E155" i="3"/>
  <c r="F148" i="3"/>
  <c r="F151" i="3"/>
  <c r="F145" i="3"/>
  <c r="F149" i="3"/>
  <c r="D155" i="3"/>
  <c r="F143" i="3"/>
  <c r="F146" i="3"/>
  <c r="V36" i="1"/>
  <c r="G36" i="19" l="1"/>
  <c r="E36" i="19" s="1"/>
  <c r="H76" i="19"/>
  <c r="O60" i="1"/>
  <c r="O83" i="1"/>
  <c r="M34" i="1"/>
  <c r="G32" i="1"/>
  <c r="H34" i="1"/>
  <c r="G34" i="1" s="1"/>
  <c r="Y57" i="1"/>
  <c r="N60" i="1"/>
  <c r="E60" i="1"/>
  <c r="E58" i="1"/>
  <c r="J59" i="1"/>
  <c r="J82" i="1"/>
  <c r="O58" i="1"/>
  <c r="E82" i="1"/>
  <c r="D111" i="1"/>
  <c r="J58" i="1"/>
  <c r="Q58" i="1"/>
  <c r="R82" i="1"/>
  <c r="T82" i="1"/>
  <c r="Q82" i="1"/>
  <c r="N58" i="1"/>
  <c r="E59" i="1"/>
  <c r="J60" i="1"/>
  <c r="D208" i="3"/>
  <c r="P60" i="1"/>
  <c r="R60" i="1"/>
  <c r="T60" i="1"/>
  <c r="S58" i="1"/>
  <c r="O59" i="1"/>
  <c r="P59" i="1"/>
  <c r="R58" i="1"/>
  <c r="S59" i="1"/>
  <c r="R59" i="1"/>
  <c r="P58" i="1"/>
  <c r="N59" i="1"/>
  <c r="Q59" i="1"/>
  <c r="T147" i="1"/>
  <c r="N114" i="1"/>
  <c r="N124" i="1"/>
  <c r="N121" i="1"/>
  <c r="N118" i="1"/>
  <c r="N127" i="1"/>
  <c r="N125" i="1"/>
  <c r="N119" i="1"/>
  <c r="N122" i="1"/>
  <c r="N117" i="1"/>
  <c r="N115" i="1"/>
  <c r="N120" i="1"/>
  <c r="N116" i="1"/>
  <c r="J124" i="1"/>
  <c r="J121" i="1"/>
  <c r="J125" i="1"/>
  <c r="J127" i="1"/>
  <c r="J117" i="1"/>
  <c r="J119" i="1"/>
  <c r="J122" i="1"/>
  <c r="J115" i="1"/>
  <c r="J118" i="1"/>
  <c r="J116" i="1"/>
  <c r="J120" i="1"/>
  <c r="P121" i="1"/>
  <c r="P118" i="1"/>
  <c r="P115" i="1"/>
  <c r="P125" i="1"/>
  <c r="P122" i="1"/>
  <c r="P127" i="1"/>
  <c r="P114" i="1"/>
  <c r="P120" i="1"/>
  <c r="P116" i="1"/>
  <c r="P123" i="1"/>
  <c r="P119" i="1"/>
  <c r="P117" i="1"/>
  <c r="T115" i="1"/>
  <c r="T127" i="1"/>
  <c r="T123" i="1"/>
  <c r="T119" i="1"/>
  <c r="T125" i="1"/>
  <c r="T116" i="1"/>
  <c r="T121" i="1"/>
  <c r="T117" i="1"/>
  <c r="T114" i="1"/>
  <c r="T122" i="1"/>
  <c r="T118" i="1"/>
  <c r="T120" i="1"/>
  <c r="U127" i="1"/>
  <c r="U123" i="1"/>
  <c r="U125" i="1"/>
  <c r="U119" i="1"/>
  <c r="U116" i="1"/>
  <c r="U118" i="1"/>
  <c r="U121" i="1"/>
  <c r="U117" i="1"/>
  <c r="U114" i="1"/>
  <c r="U120" i="1"/>
  <c r="U122" i="1"/>
  <c r="U115" i="1"/>
  <c r="O121" i="1"/>
  <c r="O118" i="1"/>
  <c r="O125" i="1"/>
  <c r="O122" i="1"/>
  <c r="O127" i="1"/>
  <c r="O114" i="1"/>
  <c r="O120" i="1"/>
  <c r="O123" i="1"/>
  <c r="O116" i="1"/>
  <c r="O119" i="1"/>
  <c r="O115" i="1"/>
  <c r="O117" i="1"/>
  <c r="V127" i="1"/>
  <c r="V123" i="1"/>
  <c r="V120" i="1"/>
  <c r="V125" i="1"/>
  <c r="V116" i="1"/>
  <c r="V118" i="1"/>
  <c r="V117" i="1"/>
  <c r="V115" i="1"/>
  <c r="V121" i="1"/>
  <c r="V122" i="1"/>
  <c r="V114" i="1"/>
  <c r="V119" i="1"/>
  <c r="S115" i="1"/>
  <c r="S127" i="1"/>
  <c r="S119" i="1"/>
  <c r="S116" i="1"/>
  <c r="S125" i="1"/>
  <c r="S122" i="1"/>
  <c r="S121" i="1"/>
  <c r="S117" i="1"/>
  <c r="S120" i="1"/>
  <c r="S123" i="1"/>
  <c r="S118" i="1"/>
  <c r="S124" i="1"/>
  <c r="Y81" i="1"/>
  <c r="E117" i="1"/>
  <c r="E116" i="1"/>
  <c r="E115" i="1"/>
  <c r="E127" i="1"/>
  <c r="E125" i="1"/>
  <c r="D127" i="1"/>
  <c r="E122" i="1"/>
  <c r="E118" i="1"/>
  <c r="E119" i="1"/>
  <c r="E124" i="1"/>
  <c r="W124" i="1" s="1"/>
  <c r="E121" i="1"/>
  <c r="E120" i="1"/>
  <c r="E123" i="1"/>
  <c r="E114" i="1"/>
  <c r="J114" i="1"/>
  <c r="Q115" i="1"/>
  <c r="Q118" i="1"/>
  <c r="Q125" i="1"/>
  <c r="Q127" i="1"/>
  <c r="Q114" i="1"/>
  <c r="Q122" i="1"/>
  <c r="Q119" i="1"/>
  <c r="Q116" i="1"/>
  <c r="Q120" i="1"/>
  <c r="Q123" i="1"/>
  <c r="Q121" i="1"/>
  <c r="Q117" i="1"/>
  <c r="H110" i="3"/>
  <c r="H95" i="3"/>
  <c r="S110" i="3"/>
  <c r="R110" i="3"/>
  <c r="G110" i="3"/>
  <c r="G95" i="3"/>
  <c r="U110" i="3"/>
  <c r="T143" i="1"/>
  <c r="E161" i="1" s="1"/>
  <c r="P82" i="1"/>
  <c r="N82" i="1"/>
  <c r="O82" i="1"/>
  <c r="Y34" i="1"/>
  <c r="E83" i="1"/>
  <c r="D190" i="3"/>
  <c r="F178" i="3"/>
  <c r="F209" i="3"/>
  <c r="F208" i="3"/>
  <c r="F174" i="3"/>
  <c r="F173" i="3"/>
  <c r="F156" i="3"/>
  <c r="F155" i="3"/>
  <c r="U36" i="1"/>
  <c r="V39" i="1"/>
  <c r="G76" i="19" l="1"/>
  <c r="D36" i="19"/>
  <c r="W120" i="1"/>
  <c r="Y60" i="1"/>
  <c r="W114" i="1"/>
  <c r="W123" i="1"/>
  <c r="W119" i="1"/>
  <c r="W118" i="1"/>
  <c r="W125" i="1"/>
  <c r="W115" i="1"/>
  <c r="W116" i="1"/>
  <c r="W121" i="1"/>
  <c r="W122" i="1"/>
  <c r="W117" i="1"/>
  <c r="F191" i="3"/>
  <c r="F190" i="3"/>
  <c r="T36" i="1"/>
  <c r="U39" i="1"/>
  <c r="S36" i="1" l="1"/>
  <c r="T85" i="1"/>
  <c r="T39" i="1"/>
  <c r="T88" i="1" s="1"/>
  <c r="R36" i="1" l="1"/>
  <c r="R39" i="1" s="1"/>
  <c r="S85" i="1"/>
  <c r="S39" i="1"/>
  <c r="S88" i="1" s="1"/>
  <c r="Q36" i="1" l="1"/>
  <c r="Q39" i="1" s="1"/>
  <c r="R85" i="1"/>
  <c r="R88" i="1"/>
  <c r="P36" i="1" l="1"/>
  <c r="P39" i="1" s="1"/>
  <c r="Q88" i="1"/>
  <c r="Q85" i="1"/>
  <c r="O36" i="1" l="1"/>
  <c r="P85" i="1"/>
  <c r="P88" i="1"/>
  <c r="O39" i="1" l="1"/>
  <c r="N36" i="1"/>
  <c r="N39" i="1" s="1"/>
  <c r="O85" i="1"/>
  <c r="O88" i="1"/>
  <c r="M36" i="1" l="1"/>
  <c r="N85" i="1"/>
  <c r="J36" i="1"/>
  <c r="N88" i="1"/>
  <c r="J39" i="1" l="1"/>
  <c r="J85" i="1"/>
  <c r="J88" i="1"/>
  <c r="E39" i="1" l="1"/>
  <c r="H36" i="1"/>
  <c r="G36" i="1" s="1"/>
  <c r="J44" i="1"/>
  <c r="J43" i="1"/>
  <c r="Y36" i="1"/>
  <c r="D36" i="1"/>
  <c r="E88" i="1"/>
  <c r="E85" i="1"/>
  <c r="E91" i="1" l="1"/>
  <c r="E92" i="1" s="1"/>
  <c r="Y8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tc={B377F992-E29D-45D8-AE60-AF4FB9BEC2BF}</author>
  </authors>
  <commentList>
    <comment ref="E9" authorId="0" shapeId="0" xr:uid="{B377F992-E29D-45D8-AE60-AF4FB9BEC2BF}">
      <text>
        <t>[Threaded comment]
Your version of Excel allows you to read this threaded comment; however, any edits to it will get removed if the file is opened in a newer version of Excel. Learn more: https://go.microsoft.com/fwlink/?linkid=870924
Comment:
     This appears to be high by a significant amount.  Could be as much as $4 million.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tc={3AEB01DB-F146-4C74-8169-BFD2144B1DD2}</author>
    <author>tc={1CCD6F0A-BD72-4BDE-B82B-563109175363}</author>
    <author>tc={72089780-8506-4A94-90CD-820C78724362}</author>
    <author>tc={BD45F09B-BFE6-4E46-9AA4-D7EDCF228005}</author>
    <author>tc={5420E9B6-52F5-42D5-B17F-D5BE67F94985}</author>
  </authors>
  <commentList>
    <comment ref="A3" authorId="0" shapeId="0" xr:uid="{3AEB01DB-F146-4C74-8169-BFD2144B1DD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Section 5.1, page 3. This funding amount is fixed for FY26. </t>
      </text>
    </comment>
    <comment ref="A6" authorId="1" shapeId="0" xr:uid="{1CCD6F0A-BD72-4BDE-B82B-56310917536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Section 5.2, page 3. This funding is fixed for FY26. </t>
      </text>
    </comment>
    <comment ref="A8" authorId="2" shapeId="0" xr:uid="{72089780-8506-4A94-90CD-820C7872436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Section 5.4, page 4. This funding is subject to change based on quarterly enrollment (ADE) reports. </t>
      </text>
    </comment>
    <comment ref="A10" authorId="3" shapeId="0" xr:uid="{BD45F09B-BFE6-4E46-9AA4-D7EDCF22800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Section 5.8, page 5. These counts are fixed for the year and funding will not change. </t>
      </text>
    </comment>
    <comment ref="A18" authorId="4" shapeId="0" xr:uid="{5420E9B6-52F5-42D5-B17F-D5BE67F9498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State Special Education Allocation workbook, Totals located on District Base Allocation Tab and 13% Supp Allocation Tab. </t>
      </text>
    </comment>
  </commentList>
</comments>
</file>

<file path=xl/sharedStrings.xml><?xml version="1.0" encoding="utf-8"?>
<sst xmlns="http://schemas.openxmlformats.org/spreadsheetml/2006/main" count="1347" uniqueCount="491">
  <si>
    <t>General Fund</t>
  </si>
  <si>
    <t>Final Budget</t>
  </si>
  <si>
    <t>Description</t>
  </si>
  <si>
    <t>2026</t>
  </si>
  <si>
    <t>2025</t>
  </si>
  <si>
    <t>2024</t>
  </si>
  <si>
    <t>Revenue</t>
  </si>
  <si>
    <t>Local Sources</t>
  </si>
  <si>
    <t>State Sources</t>
  </si>
  <si>
    <t>Federal Sources</t>
  </si>
  <si>
    <t>Other Sources</t>
  </si>
  <si>
    <t>Total Revenue</t>
  </si>
  <si>
    <t>Expenditures</t>
  </si>
  <si>
    <t>Regular Programs</t>
  </si>
  <si>
    <t>Special Programs</t>
  </si>
  <si>
    <t xml:space="preserve">Vocational </t>
  </si>
  <si>
    <t>Adult Education</t>
  </si>
  <si>
    <t>Extra and Cocurricular</t>
  </si>
  <si>
    <t>Other Instructional</t>
  </si>
  <si>
    <t>Community Services</t>
  </si>
  <si>
    <t>Student Support</t>
  </si>
  <si>
    <t>Instructional Staff Support</t>
  </si>
  <si>
    <t>General Admin</t>
  </si>
  <si>
    <t>School Admin</t>
  </si>
  <si>
    <t>Central Services</t>
  </si>
  <si>
    <t>Operations and Maintenance</t>
  </si>
  <si>
    <t>Student Transportation</t>
  </si>
  <si>
    <t>Other Support</t>
  </si>
  <si>
    <t>Facilities Capital</t>
  </si>
  <si>
    <t>Debt</t>
  </si>
  <si>
    <t>Transfers to Other Funds</t>
  </si>
  <si>
    <t>Total Expenditures (exc. EFB &amp; Cont)</t>
  </si>
  <si>
    <t>Net Change in Fund Balance</t>
  </si>
  <si>
    <t>Eding Fund Balance</t>
  </si>
  <si>
    <t>Increase/-Decrease Fm Prior Year</t>
  </si>
  <si>
    <t>Increase/-Decrease Fm Base Year</t>
  </si>
  <si>
    <t>Est</t>
  </si>
  <si>
    <t>Enrollment</t>
  </si>
  <si>
    <t>Full Enrollment</t>
  </si>
  <si>
    <t>Average Weighted Enrollment</t>
  </si>
  <si>
    <t>$$ Per Weighted Student</t>
  </si>
  <si>
    <t>Minimum Inflation</t>
  </si>
  <si>
    <t>Maxiumum Inflation</t>
  </si>
  <si>
    <t>4% EFB of Total Revenue</t>
  </si>
  <si>
    <t>Difference</t>
  </si>
  <si>
    <t>Per Student Change to get to4%</t>
  </si>
  <si>
    <t>Consumer Price Index for All Urban Consumers (CPI-U)</t>
  </si>
  <si>
    <t>Original Data Value</t>
  </si>
  <si>
    <t>Series Id:</t>
  </si>
  <si>
    <t>CUUR0400SA0</t>
  </si>
  <si>
    <t>Not Seasonally Adjusted</t>
  </si>
  <si>
    <t>Series Title:</t>
  </si>
  <si>
    <t>All items in West urban, all urban consumers, not seasonally adjusted</t>
  </si>
  <si>
    <t>Area:</t>
  </si>
  <si>
    <t>West</t>
  </si>
  <si>
    <t>Item:</t>
  </si>
  <si>
    <t>All items</t>
  </si>
  <si>
    <t>Base Period:</t>
  </si>
  <si>
    <t>1982-84=100</t>
  </si>
  <si>
    <t>Years:</t>
  </si>
  <si>
    <t>2015 to 2025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</si>
  <si>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</si>
  <si>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</si>
  <si>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</si>
  <si>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</si>
  <si>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</si>
  <si>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</si>
  <si>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</si>
  <si>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</si>
  <si>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</si>
  <si>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</si>
  <si>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</si>
  <si>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</si>
  <si>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</si>
  <si>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Annual</t>
  </si>
  <si>
    <t>HALF1</t>
  </si>
  <si>
    <t>HALF2</t>
  </si>
  <si>
    <t>Minimum</t>
  </si>
  <si>
    <t>Maximum</t>
  </si>
  <si>
    <t>Mximum</t>
  </si>
  <si>
    <t>Douglas County School District</t>
  </si>
  <si>
    <t>General Fund - Staffing</t>
  </si>
  <si>
    <t>Prog</t>
  </si>
  <si>
    <t>Func</t>
  </si>
  <si>
    <t>Weighted Enrollment</t>
  </si>
  <si>
    <t>Prior Year Comparison</t>
  </si>
  <si>
    <t>Base-year Comparison</t>
  </si>
  <si>
    <t>Staff</t>
  </si>
  <si>
    <t>Licensed</t>
  </si>
  <si>
    <t>Non-Licensed</t>
  </si>
  <si>
    <t>Total All GF Employees</t>
  </si>
  <si>
    <t>Total</t>
  </si>
  <si>
    <t>Instruction</t>
  </si>
  <si>
    <t>Staff Support</t>
  </si>
  <si>
    <t>School Admin.</t>
  </si>
  <si>
    <t>Central Support</t>
  </si>
  <si>
    <t>Operations &amp; Maintenance</t>
  </si>
  <si>
    <t>Transportation</t>
  </si>
  <si>
    <t>Pupil/Staff Ratio - Full Enrollment</t>
  </si>
  <si>
    <t>Pupil/Staff Ratio - Weighted Enrollment</t>
  </si>
  <si>
    <t>Staffing Comparison</t>
  </si>
  <si>
    <t>2022-23</t>
  </si>
  <si>
    <t>Actual</t>
  </si>
  <si>
    <t>Vacant Budgeted</t>
  </si>
  <si>
    <t>Amt Budgeted</t>
  </si>
  <si>
    <t>2023-24</t>
  </si>
  <si>
    <t>2024-25</t>
  </si>
  <si>
    <t>Budgeted</t>
  </si>
  <si>
    <t>2025-26</t>
  </si>
  <si>
    <t>Teacher FTE</t>
  </si>
  <si>
    <t>Classified FTE</t>
  </si>
  <si>
    <t>Bus Driver FTE</t>
  </si>
  <si>
    <t>Unrepresented FTE</t>
  </si>
  <si>
    <t>Admin FTE</t>
  </si>
  <si>
    <t>Special Ed</t>
  </si>
  <si>
    <t>Actuals</t>
  </si>
  <si>
    <t>Insurance revenue</t>
  </si>
  <si>
    <t>Transfer to Ins</t>
  </si>
  <si>
    <t>Insurance expenditures</t>
  </si>
  <si>
    <t>Opening Fund Bal</t>
  </si>
  <si>
    <t>Ending Fund Bal</t>
  </si>
  <si>
    <t>NRS 387/388A REPORT, FOR THE FISCAL YEAR ENDED JUNE 30, 2023</t>
  </si>
  <si>
    <t>SCHEDULE II: STAFF POSITIONS IN FULL TIME EQUIVALENTS</t>
  </si>
  <si>
    <t>Douglas</t>
  </si>
  <si>
    <t>SCHOOL DISTRICT/CHARTER SCHOOL:</t>
  </si>
  <si>
    <t>GENERAL FUND - Fund 100</t>
  </si>
  <si>
    <t>English Learner - Fund 206</t>
  </si>
  <si>
    <t>Gifted and Talented FUND - Fund 207</t>
  </si>
  <si>
    <t>At-Risk - Fund 208</t>
  </si>
  <si>
    <t>STATE SPECIAL ED FUND - Fund 250</t>
  </si>
  <si>
    <t>OTHER GOVT FUNDS-Funds 260,270-2,290,300,400</t>
  </si>
  <si>
    <t>STATE GRANTS - Funds 230, 240</t>
  </si>
  <si>
    <t>ALL FEDERAL GRANTS - Fund 280</t>
  </si>
  <si>
    <t>TOTAL - ALL FUNDS</t>
  </si>
  <si>
    <t>FY</t>
  </si>
  <si>
    <t>Projected</t>
  </si>
  <si>
    <t>Function</t>
  </si>
  <si>
    <t>Program</t>
  </si>
  <si>
    <t>FTE</t>
  </si>
  <si>
    <t>INSTRUCTIONAL STAFF</t>
  </si>
  <si>
    <t>Regular Education</t>
  </si>
  <si>
    <t>1100L</t>
  </si>
  <si>
    <t>1100N</t>
  </si>
  <si>
    <t>Special Education</t>
  </si>
  <si>
    <t>(exclude 270)</t>
  </si>
  <si>
    <t>1200L</t>
  </si>
  <si>
    <t>1200N</t>
  </si>
  <si>
    <t>Vocational &amp; Technical</t>
  </si>
  <si>
    <t>1300L</t>
  </si>
  <si>
    <t>1300N</t>
  </si>
  <si>
    <t>1400L</t>
  </si>
  <si>
    <t>1400N</t>
  </si>
  <si>
    <t>English Learner</t>
  </si>
  <si>
    <t>1420L</t>
  </si>
  <si>
    <t>1420N</t>
  </si>
  <si>
    <t>At-Risk</t>
  </si>
  <si>
    <t>1430L</t>
  </si>
  <si>
    <t>1430N</t>
  </si>
  <si>
    <t>Gifted and Talented</t>
  </si>
  <si>
    <t>1450L</t>
  </si>
  <si>
    <t>1450N</t>
  </si>
  <si>
    <t>1600L</t>
  </si>
  <si>
    <t>1600N</t>
  </si>
  <si>
    <t>1800L</t>
  </si>
  <si>
    <t>1800N</t>
  </si>
  <si>
    <t>Extra / Co-Curricular</t>
  </si>
  <si>
    <t>1910L</t>
  </si>
  <si>
    <t>1910N</t>
  </si>
  <si>
    <t>Athletics</t>
  </si>
  <si>
    <t>1920L</t>
  </si>
  <si>
    <t>1920N</t>
  </si>
  <si>
    <t>X40</t>
  </si>
  <si>
    <t>Summer School</t>
  </si>
  <si>
    <t>1x40L</t>
  </si>
  <si>
    <t>1x40N</t>
  </si>
  <si>
    <t>Other/Unassigned</t>
  </si>
  <si>
    <t>1000L</t>
  </si>
  <si>
    <t>1000N</t>
  </si>
  <si>
    <t>TOTAL INSTRUCTIONAL STAFF</t>
  </si>
  <si>
    <t>INSTRUCTIONAL SUPPORT STAFF</t>
  </si>
  <si>
    <t>2100L</t>
  </si>
  <si>
    <t>2100N</t>
  </si>
  <si>
    <t>2200L</t>
  </si>
  <si>
    <t>2200N</t>
  </si>
  <si>
    <t>TOTAL INSTRUCTIONAL STAFF SUPPORT</t>
  </si>
  <si>
    <t>ADMINISTRATIVE STAFF</t>
  </si>
  <si>
    <t>General Administration</t>
  </si>
  <si>
    <t>2300L</t>
  </si>
  <si>
    <t>2300N</t>
  </si>
  <si>
    <t>School Administration</t>
  </si>
  <si>
    <t>2400L</t>
  </si>
  <si>
    <t>2400N</t>
  </si>
  <si>
    <t>2500L</t>
  </si>
  <si>
    <t>2500N</t>
  </si>
  <si>
    <t>TOTAL ADMINISTRATIVE STAFF</t>
  </si>
  <si>
    <t>OTHER STAFF</t>
  </si>
  <si>
    <t>Operation and Maintenance of Plant</t>
  </si>
  <si>
    <t>2600L</t>
  </si>
  <si>
    <t>2600N</t>
  </si>
  <si>
    <t>2700L</t>
  </si>
  <si>
    <t>2700N</t>
  </si>
  <si>
    <t>Other Support Services</t>
  </si>
  <si>
    <t>2900L</t>
  </si>
  <si>
    <t>2900N</t>
  </si>
  <si>
    <t>3100-3300</t>
  </si>
  <si>
    <t>Operation of Non-Instructional Services</t>
  </si>
  <si>
    <t>3100L</t>
  </si>
  <si>
    <t>3100N</t>
  </si>
  <si>
    <t>4100-4900</t>
  </si>
  <si>
    <t>Facilities Acquisition &amp; Construction Services</t>
  </si>
  <si>
    <t>4100L</t>
  </si>
  <si>
    <t>4100N</t>
  </si>
  <si>
    <t>TOTAL OTHER STAFF:</t>
  </si>
  <si>
    <t>TOTAL ALL STAFF</t>
  </si>
  <si>
    <t>Total Personnel</t>
  </si>
  <si>
    <t>This report is compiled by the Nevada Department of Education using data submitted by the school districts and charter schools of Nevada.</t>
  </si>
  <si>
    <t>Salary Increases by Bargaining Unit</t>
  </si>
  <si>
    <t>$ Increase to GF</t>
  </si>
  <si>
    <t xml:space="preserve">DCPEA </t>
  </si>
  <si>
    <t>1.5% salary increase + 2% with retro + 3.75% PERS Increase</t>
  </si>
  <si>
    <t>11% + 4.4% SB231</t>
  </si>
  <si>
    <t>4% + 4.6% SB231</t>
  </si>
  <si>
    <t>DCSSO</t>
  </si>
  <si>
    <t>1.5% salary increase + 2% with retro</t>
  </si>
  <si>
    <t>Bus Drivers</t>
  </si>
  <si>
    <t>Administrators</t>
  </si>
  <si>
    <t>Unrepresented</t>
  </si>
  <si>
    <t>SB 231 Matching Fund Increase</t>
  </si>
  <si>
    <t>Estimated</t>
  </si>
  <si>
    <t>District Matching $</t>
  </si>
  <si>
    <t>Bus Drivers paid from the same account as the classified employees - No breakdown without having to look up every driver to see what was paid</t>
  </si>
  <si>
    <t>Total amount allocated</t>
  </si>
  <si>
    <t>Salaries &amp; benefits included in total costs</t>
  </si>
  <si>
    <t>We budgeted to use every penny, and it looks like it will come very close to total amount allocated</t>
  </si>
  <si>
    <t>Ending Fund Balance</t>
  </si>
  <si>
    <t>GF</t>
  </si>
  <si>
    <t>Inclusive Ed</t>
  </si>
  <si>
    <t>Legal Liabilities</t>
  </si>
  <si>
    <t>Lawsuit Settlements</t>
  </si>
  <si>
    <t>Inclusive Ed Settlements</t>
  </si>
  <si>
    <t>Superintendent Payout</t>
  </si>
  <si>
    <t>Legal Fees</t>
  </si>
  <si>
    <t>Health Contribution</t>
  </si>
  <si>
    <t>Excess $</t>
  </si>
  <si>
    <t xml:space="preserve">District Total Contribution </t>
  </si>
  <si>
    <t>Hometown Health Employee Coverage</t>
  </si>
  <si>
    <t>705/825</t>
  </si>
  <si>
    <t>NV PERS</t>
  </si>
  <si>
    <t>PERS Increase</t>
  </si>
  <si>
    <t>Employer/Employee</t>
  </si>
  <si>
    <t>Employer</t>
  </si>
  <si>
    <t>All PERS is employer paid costs - Employee pays directly for their portion if Employee/Employer paid</t>
  </si>
  <si>
    <t>Just showed increase to each fund from year to year for all of PERS</t>
  </si>
  <si>
    <t>% Change from 2015 - 2026</t>
  </si>
  <si>
    <t>2026 Staff</t>
  </si>
  <si>
    <t>Totals</t>
  </si>
  <si>
    <t>Adjusted Staffing based on FY2018 Weighted Student Ratios</t>
  </si>
  <si>
    <t>Adjusted Staffing based on FY2018 Full Student Ratios</t>
  </si>
  <si>
    <t>% Rev/Exp Applied to Total</t>
  </si>
  <si>
    <t>At-risk</t>
  </si>
  <si>
    <t>English Learners</t>
  </si>
  <si>
    <t>Adjusted Staffing based on FY2022 Weighted Student Ratios</t>
  </si>
  <si>
    <t>Adjusted Staffing based on FY2022 Full Student Ratios</t>
  </si>
  <si>
    <t>2018 Ratios Applied to 2026 Student Count (Wgt)</t>
  </si>
  <si>
    <t>2018 Ratios Applied to 2026 Student Count (Full)</t>
  </si>
  <si>
    <t>2022 Ratios Applied to 2026 Student Count (Full)</t>
  </si>
  <si>
    <t>Other Instructional Programs</t>
  </si>
  <si>
    <t>% of Total Rev</t>
  </si>
  <si>
    <t>Total Expenditures</t>
  </si>
  <si>
    <t>Summary - Total Dollars</t>
  </si>
  <si>
    <t>Summary - % of Total Exp</t>
  </si>
  <si>
    <t>% Change</t>
  </si>
  <si>
    <t>Summary - Per Pupil $</t>
  </si>
  <si>
    <t>FTE Summary by Function</t>
  </si>
  <si>
    <t>% Change from Prior year</t>
  </si>
  <si>
    <t>% Change Cumulative from Base Year (2018)</t>
  </si>
  <si>
    <t>```</t>
  </si>
  <si>
    <t>% Change Cumulative from Base Year (2022)</t>
  </si>
  <si>
    <t>% Change Revenue fm PY</t>
  </si>
  <si>
    <t>% Change Revenue fm Base (2018)</t>
  </si>
  <si>
    <t>Total Exp. Increase/-Decrease Fm Prior Year</t>
  </si>
  <si>
    <t>EFB Increase/-Decrease Fm Base Year</t>
  </si>
  <si>
    <t>FM 2018</t>
  </si>
  <si>
    <t>Total Change</t>
  </si>
  <si>
    <t>Audited</t>
  </si>
  <si>
    <t>$ 2025 Audit v Bud</t>
  </si>
  <si>
    <t>% 2025 Audit v Bud</t>
  </si>
  <si>
    <t>$ 2024 v 2023</t>
  </si>
  <si>
    <t>% 2024 v 2023</t>
  </si>
  <si>
    <t>Transfers In</t>
  </si>
  <si>
    <t>(PLJ)</t>
  </si>
  <si>
    <t>Est Per Pupil Amount</t>
  </si>
  <si>
    <t>Tier 1</t>
  </si>
  <si>
    <t>Food Services</t>
  </si>
  <si>
    <t>Tier 2</t>
  </si>
  <si>
    <t>Local SpEd</t>
  </si>
  <si>
    <t>Tier 3</t>
  </si>
  <si>
    <t>Based on Q1 actual</t>
  </si>
  <si>
    <t>Adjusted Base</t>
  </si>
  <si>
    <t>Tier 4</t>
  </si>
  <si>
    <t>EL</t>
  </si>
  <si>
    <t>GATE</t>
  </si>
  <si>
    <t>State SpEd Allocation</t>
  </si>
  <si>
    <t xml:space="preserve">Base </t>
  </si>
  <si>
    <t>13% Supplemental</t>
  </si>
  <si>
    <t>Corrected</t>
  </si>
  <si>
    <t>PCFP Pmt Sheet (Inputs)</t>
  </si>
  <si>
    <t>PCFP Pmt Sheet (2.2 Certified ADE)</t>
  </si>
  <si>
    <t>Adjusted Base Per Pupil Funding</t>
  </si>
  <si>
    <t>Estimated Weighted Enrollment</t>
  </si>
  <si>
    <t>Total Adjusted Base funding</t>
  </si>
  <si>
    <t>Incorrect enrollment used to calculate Adj. Base</t>
  </si>
  <si>
    <t>Correct amount on final budget to calculate the Adj. Base</t>
  </si>
  <si>
    <t>PCFP Legislative Allocated Input enrollment</t>
  </si>
  <si>
    <t>Q1 audited ADE</t>
  </si>
  <si>
    <t>Difference Compared with Final Budget</t>
  </si>
  <si>
    <t>2025-2026 AMENDED BUDGET - DEC, 2025</t>
  </si>
  <si>
    <t>EXPENDITURE:</t>
  </si>
  <si>
    <t>INCREASE</t>
  </si>
  <si>
    <t>FINAL</t>
  </si>
  <si>
    <t>DEC</t>
  </si>
  <si>
    <t>OR</t>
  </si>
  <si>
    <t>EXPLANATION</t>
  </si>
  <si>
    <t>BUDGET</t>
  </si>
  <si>
    <t>(DECREASE)</t>
  </si>
  <si>
    <t>SALARIES &amp; BENEFITS</t>
  </si>
  <si>
    <t>-</t>
  </si>
  <si>
    <t>Includes:</t>
  </si>
  <si>
    <t>Increase in insurance premiums beginning 1-1-26 - Decreased transfer</t>
  </si>
  <si>
    <t xml:space="preserve">Salary schedule adjustment </t>
  </si>
  <si>
    <t>REGULAR PROGRAMS:</t>
  </si>
  <si>
    <t xml:space="preserve"> Contracted Professional Svcs</t>
  </si>
  <si>
    <t xml:space="preserve">  DW Nurse Acct</t>
  </si>
  <si>
    <t xml:space="preserve">  Tuition-out-of state</t>
  </si>
  <si>
    <t xml:space="preserve">  Staff travel-shared employees</t>
  </si>
  <si>
    <t xml:space="preserve">  ESL Program budget</t>
  </si>
  <si>
    <t xml:space="preserve">  Cops in School - Grant Match</t>
  </si>
  <si>
    <t xml:space="preserve">  Student Asst. Program</t>
  </si>
  <si>
    <t xml:space="preserve">  Professional Svcs - Principals</t>
  </si>
  <si>
    <t xml:space="preserve">  DW Total Occ. Ed.</t>
  </si>
  <si>
    <t xml:space="preserve">  Textbooks-Adoptions</t>
  </si>
  <si>
    <t xml:space="preserve">  DW Instructional Software (98)</t>
  </si>
  <si>
    <t xml:space="preserve">  Instructional Supplies - SRC</t>
  </si>
  <si>
    <t xml:space="preserve">  Instructional Supplies - Alt. Ed.</t>
  </si>
  <si>
    <t xml:space="preserve">  Summer School</t>
  </si>
  <si>
    <t>GRANTS &amp; PROJECTS</t>
  </si>
  <si>
    <t>TESTS &amp; MEASUREMENTS</t>
  </si>
  <si>
    <t>BIF Funds - Discretionary</t>
  </si>
  <si>
    <t>CURRICULUM COORDINATOR</t>
  </si>
  <si>
    <t>PDC OPERATING BUDGET</t>
  </si>
  <si>
    <t>INST. SVCS. DEPT.</t>
  </si>
  <si>
    <t>PERSONNEL ADMIN.</t>
  </si>
  <si>
    <t>GENERAL ADMIN.</t>
  </si>
  <si>
    <t>Marketing Discretionary</t>
  </si>
  <si>
    <t>PERS purchase</t>
  </si>
  <si>
    <t>BUSINESS ADMIN.</t>
  </si>
  <si>
    <t>WAREHOUSE</t>
  </si>
  <si>
    <t>GT Restructure</t>
  </si>
  <si>
    <t>Education Technology</t>
  </si>
  <si>
    <t>District Improvement</t>
  </si>
  <si>
    <t>ESCO Payments</t>
  </si>
  <si>
    <t>SB504 - Special Services</t>
  </si>
  <si>
    <t>ASPIRE Lease</t>
  </si>
  <si>
    <t>SCHOOL FUNDS:</t>
  </si>
  <si>
    <t xml:space="preserve">  Discretionary funds</t>
  </si>
  <si>
    <t xml:space="preserve">  Jacobsen &amp; Tahoe Det. Facility</t>
  </si>
  <si>
    <t>OPER. &amp; MAINT. of PLANT</t>
  </si>
  <si>
    <t xml:space="preserve">  Utilities</t>
  </si>
  <si>
    <t xml:space="preserve">  Maintenance - Operating</t>
  </si>
  <si>
    <t xml:space="preserve">  Maintenance - Equipment</t>
  </si>
  <si>
    <t xml:space="preserve">  Grounds - Operating</t>
  </si>
  <si>
    <t xml:space="preserve">  Grounds - Equipment</t>
  </si>
  <si>
    <t xml:space="preserve">  DW Maint - "99" Funds</t>
  </si>
  <si>
    <t xml:space="preserve">  Computer Services - IT</t>
  </si>
  <si>
    <t xml:space="preserve">  District software (98)</t>
  </si>
  <si>
    <t xml:space="preserve">  Custodial - operating</t>
  </si>
  <si>
    <t xml:space="preserve">  Cust - Disp required by legislature</t>
  </si>
  <si>
    <t xml:space="preserve">  Major maint. projects (88)</t>
  </si>
  <si>
    <t xml:space="preserve">  Prop &amp; Casualty Specific Claims</t>
  </si>
  <si>
    <t xml:space="preserve">  Liability Insurance</t>
  </si>
  <si>
    <t>STUDENT TRANSPORTATION:</t>
  </si>
  <si>
    <t xml:space="preserve">  Bus Drivers</t>
  </si>
  <si>
    <t xml:space="preserve">  Transportation Office</t>
  </si>
  <si>
    <t>VEHICLE MAINTENANCE</t>
  </si>
  <si>
    <t xml:space="preserve">  Operating-Maint(fuel,repairs,veh)</t>
  </si>
  <si>
    <t xml:space="preserve">  Operating-VM</t>
  </si>
  <si>
    <t xml:space="preserve">  Vehicles - Buses</t>
  </si>
  <si>
    <t xml:space="preserve">  Property Insurance</t>
  </si>
  <si>
    <t xml:space="preserve">  Vehicles - District Non-Student</t>
  </si>
  <si>
    <t xml:space="preserve">  O &amp; M - M &amp; V - ESCO</t>
  </si>
  <si>
    <t xml:space="preserve">  PRIS Funding offset </t>
  </si>
  <si>
    <t xml:space="preserve">  VANCO fees</t>
  </si>
  <si>
    <t>FUND TRANSFERS:</t>
  </si>
  <si>
    <t>`</t>
  </si>
  <si>
    <t xml:space="preserve">  Special Ed. Fund</t>
  </si>
  <si>
    <t xml:space="preserve">  Insurance Fund</t>
  </si>
  <si>
    <t xml:space="preserve">  Food Service Fund</t>
  </si>
  <si>
    <t>WAREHOUSED SUPPLIES</t>
  </si>
  <si>
    <t xml:space="preserve">    SUB-TOTAL</t>
  </si>
  <si>
    <t xml:space="preserve">  Contingency</t>
  </si>
  <si>
    <t xml:space="preserve"> - Contingency is 1.0% of general fund expenditures net of transfers - Board regulations</t>
  </si>
  <si>
    <t>Reduction of contingency to allow for expenditures over projected revenue</t>
  </si>
  <si>
    <t xml:space="preserve">    suggest at least 1% and Nevada Administrative Code allows up to 3.0%</t>
  </si>
  <si>
    <t>The Board suggests 1% and Nevada Administrative code allows up to 8.3%</t>
  </si>
  <si>
    <t>Reserved Ending Balance (1)</t>
  </si>
  <si>
    <t>Unreserved Ending Balance</t>
  </si>
  <si>
    <t xml:space="preserve"> - Ending fund balance represents 1.6% of general fund budgeted expenditures less capital outlay</t>
  </si>
  <si>
    <t>Remaining Funds</t>
  </si>
  <si>
    <t xml:space="preserve">   Board regulations suggest 4.0% and Nevada Administrative Code allows up to 8.3%</t>
  </si>
  <si>
    <t xml:space="preserve">  **  GRAND TOTAL  **</t>
  </si>
  <si>
    <t>(1) Represents supplies inventory at cost.</t>
  </si>
  <si>
    <t>2016</t>
  </si>
  <si>
    <t>From DCSD</t>
  </si>
  <si>
    <t>From Budgets</t>
  </si>
  <si>
    <t>Group Summary Report</t>
  </si>
  <si>
    <t>Demographic Profile</t>
  </si>
  <si>
    <t>Organization Code</t>
  </si>
  <si>
    <t>Group</t>
  </si>
  <si>
    <t>Accountability Year</t>
  </si>
  <si>
    <t># Enrolled</t>
  </si>
  <si>
    <t># Am In/AK Native</t>
  </si>
  <si>
    <t># Asian</t>
  </si>
  <si>
    <t># Hispanic</t>
  </si>
  <si>
    <t># Black</t>
  </si>
  <si>
    <t># White</t>
  </si>
  <si>
    <t># Pacific Islander</t>
  </si>
  <si>
    <t># Two or More Races</t>
  </si>
  <si>
    <t># Male</t>
  </si>
  <si>
    <t># Female</t>
  </si>
  <si>
    <t># Gender Unknown</t>
  </si>
  <si>
    <t># Individual Education Program</t>
  </si>
  <si>
    <t># English Learners</t>
  </si>
  <si>
    <t># Free or Reduced Price Lunch</t>
  </si>
  <si>
    <t># Migrant</t>
  </si>
  <si>
    <t># Homeless</t>
  </si>
  <si>
    <t># Foster</t>
  </si>
  <si>
    <t># Military Connected</t>
  </si>
  <si>
    <t># EL Continuously Enrolled</t>
  </si>
  <si>
    <t># EL Continuously Enrolled Proficient</t>
  </si>
  <si>
    <t># Pre-Kindergarten</t>
  </si>
  <si>
    <t># Kindergarten</t>
  </si>
  <si>
    <t># Grade 01</t>
  </si>
  <si>
    <t># Grade 02</t>
  </si>
  <si>
    <t># Grade 03</t>
  </si>
  <si>
    <t># Grade 04</t>
  </si>
  <si>
    <t># Grade 05</t>
  </si>
  <si>
    <t># Grade 06</t>
  </si>
  <si>
    <t># Grade 07</t>
  </si>
  <si>
    <t># Grade 08</t>
  </si>
  <si>
    <t># Grade 09</t>
  </si>
  <si>
    <t># Grade 10</t>
  </si>
  <si>
    <t># Grade 11</t>
  </si>
  <si>
    <t># Grade 12</t>
  </si>
  <si>
    <t># Grade 13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</si>
  <si>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</si>
  <si>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</si>
  <si>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</si>
  <si>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</si>
  <si>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</si>
  <si>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</si>
  <si>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</si>
  <si>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</si>
  <si>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</si>
  <si>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</si>
  <si>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</si>
  <si>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Func.</t>
  </si>
  <si>
    <t xml:space="preserve"> </t>
  </si>
  <si>
    <t># Change</t>
  </si>
  <si>
    <t>Local (GF)</t>
  </si>
  <si>
    <t>Local (SpEd)</t>
  </si>
  <si>
    <t>State (SpEd)</t>
  </si>
  <si>
    <t>State (Non-major)</t>
  </si>
  <si>
    <t>State (Grants)</t>
  </si>
  <si>
    <t>Local (Grants)</t>
  </si>
  <si>
    <t>Local (Non-major)</t>
  </si>
  <si>
    <t>Total Local</t>
  </si>
  <si>
    <t>Total State</t>
  </si>
  <si>
    <t>State (GF)</t>
  </si>
  <si>
    <t>Total Federal</t>
  </si>
  <si>
    <t>Federal (GF)</t>
  </si>
  <si>
    <t>Federal (SpEd)</t>
  </si>
  <si>
    <t>Federal (Grants)</t>
  </si>
  <si>
    <t>Federal (Non-major)</t>
  </si>
  <si>
    <t>Local</t>
  </si>
  <si>
    <t>State</t>
  </si>
  <si>
    <t>Federal</t>
  </si>
  <si>
    <t>Verification</t>
  </si>
  <si>
    <t>Total State and Local</t>
  </si>
  <si>
    <t>Total All Sources</t>
  </si>
  <si>
    <t/>
  </si>
  <si>
    <t>General Fund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</si>
</sst>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* #,##0_);_(* \(#,##0\);_(* &quot;-&quot;??_);_(@_)"/>
    <numFmt numFmtId="167" formatCode="0.0%"/>
  </numFmts>
  <fonts count="39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B7B7B7"/>
      <name val="Arial"/>
      <family val="2"/>
      <scheme val="minor"/>
    </font>
    <font>
      <b/>
      <sz val="10"/>
      <color rgb="FFB7B7B7"/>
      <name val="Arial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&quot;Aptos Narrow&quot;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00B050"/>
      <name val="Arial"/>
      <family val="2"/>
    </font>
    <font>
      <b/>
      <sz val="10"/>
      <color rgb="FF305496"/>
      <name val="Arial"/>
      <family val="2"/>
    </font>
    <font>
      <sz val="10"/>
      <color rgb="FF000000"/>
      <name val="Arial"/>
      <family val="2"/>
      <scheme val="minor"/>
    </font>
    <font>
      <sz val="11"/>
      <color rgb="FF9C0006"/>
      <name val="Arial"/>
      <family val="2"/>
      <scheme val="minor"/>
    </font>
    <font>
      <sz val="10"/>
      <color theme="0" tint="-0.14999847407452621"/>
      <name val="Arial"/>
      <family val="2"/>
      <scheme val="minor"/>
    </font>
    <font>
      <sz val="10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u/>
      <sz val="10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8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  <font>
      <sz val="11"/>
      <color rgb="FF9C5700"/>
      <name val="Arial"/>
      <family val="2"/>
      <scheme val="minor"/>
    </font>
    <font>
      <sz val="10"/>
      <color theme="5" tint="0.59999389629810485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0006"/>
      <name val="Arial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  <scheme val="minor"/>
    </font>
    <font>
      <sz val="14"/>
      <color rgb="FF000000"/>
      <name val="Arial"/>
      <family val="2"/>
      <scheme val="minor"/>
    </font>
    <font>
      <b/>
      <u/>
      <sz val="10"/>
      <color theme="1"/>
      <name val="Arial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EA9DB"/>
        <bgColor rgb="FF8EA9DB"/>
      </patternFill>
    </fill>
    <fill>
      <patternFill patternType="solid">
        <fgColor rgb="FF92D050"/>
        <bgColor rgb="FF92D050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28"/>
      </bottom>
      <diagonal/>
    </border>
    <border>
      <left/>
      <right/>
      <top/>
      <bottom style="dotted">
        <color indexed="28"/>
      </bottom>
      <diagonal/>
    </border>
    <border>
      <left/>
      <right/>
      <top/>
      <bottom style="dashed">
        <color indexed="64"/>
      </bottom>
      <diagonal/>
    </border>
    <border>
      <left style="dotted">
        <color indexed="28"/>
      </left>
      <right/>
      <top style="dotted">
        <color indexed="28"/>
      </top>
      <bottom/>
      <diagonal/>
    </border>
    <border>
      <left style="dotted">
        <color indexed="28"/>
      </left>
      <right style="dotted">
        <color indexed="64"/>
      </right>
      <top style="dotted">
        <color indexed="28"/>
      </top>
      <bottom/>
      <diagonal/>
    </border>
    <border>
      <left style="dotted">
        <color indexed="28"/>
      </left>
      <right/>
      <top/>
      <bottom/>
      <diagonal/>
    </border>
    <border>
      <left style="dotted">
        <color indexed="28"/>
      </left>
      <right style="dotted">
        <color indexed="64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</borders>
  <cellStyleXfs count="11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6" fillId="8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4" fillId="14" borderId="0" applyNumberFormat="0" applyBorder="0" applyAlignment="0" applyProtection="0"/>
    <xf numFmtId="44" fontId="26" fillId="0" borderId="0" applyFont="0" applyFill="0" applyBorder="0" applyAlignment="0" applyProtection="0"/>
    <xf numFmtId="0" fontId="28" fillId="17" borderId="0" applyNumberFormat="0" applyBorder="0" applyAlignment="0" applyProtection="0"/>
  </cellStyleXfs>
  <cellXfs count="553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3" fontId="1" fillId="0" borderId="1" xfId="0" applyNumberFormat="1" applyFont="1" applyBorder="1"/>
    <xf numFmtId="3" fontId="2" fillId="0" borderId="0" xfId="0" applyNumberFormat="1" applyFont="1"/>
    <xf numFmtId="0" fontId="1" fillId="0" borderId="1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/>
    <xf numFmtId="164" fontId="1" fillId="0" borderId="0" xfId="0" applyNumberFormat="1" applyFont="1"/>
    <xf numFmtId="164" fontId="2" fillId="0" borderId="0" xfId="0" applyNumberFormat="1" applyFont="1"/>
    <xf numFmtId="0" fontId="3" fillId="0" borderId="0" xfId="0" applyFont="1"/>
    <xf numFmtId="164" fontId="4" fillId="0" borderId="0" xfId="0" applyNumberFormat="1" applyFont="1"/>
    <xf numFmtId="0" fontId="3" fillId="0" borderId="1" xfId="0" applyFont="1" applyBorder="1"/>
    <xf numFmtId="164" fontId="4" fillId="0" borderId="1" xfId="0" applyNumberFormat="1" applyFont="1" applyBorder="1"/>
    <xf numFmtId="10" fontId="1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4" fontId="1" fillId="0" borderId="0" xfId="0" applyNumberFormat="1" applyFont="1"/>
    <xf numFmtId="0" fontId="1" fillId="2" borderId="0" xfId="0" applyFont="1" applyFill="1"/>
    <xf numFmtId="0" fontId="8" fillId="0" borderId="0" xfId="0" applyFont="1"/>
    <xf numFmtId="0" fontId="13" fillId="0" borderId="0" xfId="0" applyFont="1"/>
    <xf numFmtId="0" fontId="11" fillId="0" borderId="0" xfId="0" applyFont="1"/>
    <xf numFmtId="0" fontId="11" fillId="4" borderId="1" xfId="0" applyFont="1" applyFill="1" applyBorder="1"/>
    <xf numFmtId="0" fontId="8" fillId="4" borderId="1" xfId="0" applyFont="1" applyFill="1" applyBorder="1"/>
    <xf numFmtId="0" fontId="14" fillId="0" borderId="0" xfId="0" applyFont="1"/>
    <xf numFmtId="0" fontId="9" fillId="0" borderId="0" xfId="0" applyFont="1"/>
    <xf numFmtId="0" fontId="11" fillId="0" borderId="3" xfId="0" applyFont="1" applyBorder="1"/>
    <xf numFmtId="0" fontId="11" fillId="0" borderId="4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/>
    <xf numFmtId="0" fontId="8" fillId="0" borderId="1" xfId="0" applyFont="1" applyBorder="1"/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5" xfId="0" applyFont="1" applyBorder="1"/>
    <xf numFmtId="0" fontId="8" fillId="0" borderId="12" xfId="0" applyFont="1" applyBorder="1"/>
    <xf numFmtId="0" fontId="9" fillId="0" borderId="12" xfId="0" applyFont="1" applyBorder="1" applyAlignment="1">
      <alignment horizontal="right"/>
    </xf>
    <xf numFmtId="0" fontId="9" fillId="0" borderId="0" xfId="0" applyFont="1" applyAlignment="1">
      <alignment horizontal="left"/>
    </xf>
    <xf numFmtId="0" fontId="8" fillId="0" borderId="9" xfId="0" applyFont="1" applyBorder="1"/>
    <xf numFmtId="0" fontId="8" fillId="0" borderId="13" xfId="0" applyFont="1" applyBorder="1"/>
    <xf numFmtId="0" fontId="9" fillId="0" borderId="12" xfId="0" applyFont="1" applyBorder="1"/>
    <xf numFmtId="0" fontId="9" fillId="0" borderId="0" xfId="0" applyFont="1" applyAlignment="1">
      <alignment horizontal="right"/>
    </xf>
    <xf numFmtId="0" fontId="9" fillId="0" borderId="5" xfId="0" applyFont="1" applyBorder="1" applyAlignment="1">
      <alignment horizontal="right"/>
    </xf>
    <xf numFmtId="0" fontId="9" fillId="5" borderId="14" xfId="0" applyFont="1" applyFill="1" applyBorder="1" applyAlignment="1">
      <alignment horizontal="right"/>
    </xf>
    <xf numFmtId="0" fontId="9" fillId="5" borderId="1" xfId="0" applyFont="1" applyFill="1" applyBorder="1" applyAlignment="1">
      <alignment horizontal="right"/>
    </xf>
    <xf numFmtId="0" fontId="9" fillId="5" borderId="8" xfId="0" applyFont="1" applyFill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9" fillId="0" borderId="14" xfId="0" applyFont="1" applyBorder="1" applyAlignment="1">
      <alignment horizontal="right"/>
    </xf>
    <xf numFmtId="0" fontId="9" fillId="0" borderId="9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7" xfId="0" applyFont="1" applyBorder="1"/>
    <xf numFmtId="0" fontId="9" fillId="5" borderId="3" xfId="0" applyFont="1" applyFill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1" fillId="0" borderId="14" xfId="0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13" xfId="0" applyFont="1" applyBorder="1"/>
    <xf numFmtId="0" fontId="8" fillId="0" borderId="11" xfId="0" applyFont="1" applyBorder="1"/>
    <xf numFmtId="0" fontId="8" fillId="0" borderId="10" xfId="0" applyFont="1" applyBorder="1"/>
    <xf numFmtId="0" fontId="8" fillId="0" borderId="6" xfId="0" applyFont="1" applyBorder="1"/>
    <xf numFmtId="0" fontId="9" fillId="0" borderId="8" xfId="0" applyFont="1" applyBorder="1"/>
    <xf numFmtId="0" fontId="9" fillId="0" borderId="9" xfId="0" applyFont="1" applyBorder="1"/>
    <xf numFmtId="0" fontId="11" fillId="0" borderId="13" xfId="0" applyFont="1" applyBorder="1" applyAlignment="1">
      <alignment horizontal="right"/>
    </xf>
    <xf numFmtId="0" fontId="9" fillId="0" borderId="15" xfId="0" applyFont="1" applyBorder="1"/>
    <xf numFmtId="0" fontId="9" fillId="0" borderId="16" xfId="0" applyFont="1" applyBorder="1"/>
    <xf numFmtId="0" fontId="9" fillId="0" borderId="16" xfId="0" applyFont="1" applyBorder="1" applyAlignment="1">
      <alignment horizontal="right"/>
    </xf>
    <xf numFmtId="0" fontId="11" fillId="0" borderId="17" xfId="0" applyFont="1" applyBorder="1" applyAlignment="1">
      <alignment horizontal="right"/>
    </xf>
    <xf numFmtId="0" fontId="11" fillId="0" borderId="16" xfId="0" applyFont="1" applyBorder="1" applyAlignment="1">
      <alignment horizontal="right"/>
    </xf>
    <xf numFmtId="0" fontId="11" fillId="0" borderId="18" xfId="0" applyFont="1" applyBorder="1" applyAlignment="1">
      <alignment horizontal="right"/>
    </xf>
    <xf numFmtId="0" fontId="11" fillId="0" borderId="15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6" xfId="0" applyFont="1" applyBorder="1"/>
    <xf numFmtId="0" fontId="9" fillId="0" borderId="11" xfId="0" applyFont="1" applyBorder="1"/>
    <xf numFmtId="0" fontId="9" fillId="0" borderId="19" xfId="0" applyFont="1" applyBorder="1"/>
    <xf numFmtId="0" fontId="9" fillId="0" borderId="3" xfId="0" applyFont="1" applyBorder="1" applyAlignment="1">
      <alignment horizontal="right"/>
    </xf>
    <xf numFmtId="0" fontId="11" fillId="6" borderId="14" xfId="0" applyFont="1" applyFill="1" applyBorder="1" applyAlignment="1">
      <alignment horizontal="right"/>
    </xf>
    <xf numFmtId="0" fontId="11" fillId="6" borderId="4" xfId="0" applyFont="1" applyFill="1" applyBorder="1" applyAlignment="1">
      <alignment horizontal="right"/>
    </xf>
    <xf numFmtId="0" fontId="11" fillId="6" borderId="8" xfId="0" applyFont="1" applyFill="1" applyBorder="1" applyAlignment="1">
      <alignment horizontal="right"/>
    </xf>
    <xf numFmtId="0" fontId="11" fillId="6" borderId="9" xfId="0" applyFont="1" applyFill="1" applyBorder="1" applyAlignment="1">
      <alignment horizontal="right"/>
    </xf>
    <xf numFmtId="0" fontId="1" fillId="6" borderId="0" xfId="0" applyFont="1" applyFill="1"/>
    <xf numFmtId="9" fontId="1" fillId="0" borderId="0" xfId="0" applyNumberFormat="1" applyFont="1"/>
    <xf numFmtId="0" fontId="1" fillId="7" borderId="0" xfId="0" applyFont="1" applyFill="1"/>
    <xf numFmtId="0" fontId="1" fillId="0" borderId="0" xfId="0" applyFont="1" applyAlignment="1">
      <alignment wrapText="1"/>
    </xf>
    <xf numFmtId="0" fontId="1" fillId="6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10" fontId="1" fillId="0" borderId="0" xfId="2" applyNumberFormat="1" applyFont="1"/>
    <xf numFmtId="10" fontId="0" fillId="0" borderId="0" xfId="2" applyNumberFormat="1" applyFont="1"/>
    <xf numFmtId="0" fontId="0" fillId="0" borderId="20" xfId="0" applyBorder="1"/>
    <xf numFmtId="0" fontId="20" fillId="0" borderId="0" xfId="0" applyFont="1"/>
    <xf numFmtId="0" fontId="0" fillId="0" borderId="27" xfId="0" applyBorder="1"/>
    <xf numFmtId="0" fontId="19" fillId="0" borderId="0" xfId="0" applyFont="1"/>
    <xf numFmtId="43" fontId="0" fillId="0" borderId="0" xfId="1" applyFont="1" applyBorder="1"/>
    <xf numFmtId="3" fontId="0" fillId="0" borderId="0" xfId="0" applyNumberFormat="1"/>
    <xf numFmtId="43" fontId="0" fillId="0" borderId="28" xfId="1" applyFont="1" applyBorder="1"/>
    <xf numFmtId="0" fontId="0" fillId="0" borderId="29" xfId="0" applyBorder="1"/>
    <xf numFmtId="0" fontId="0" fillId="0" borderId="28" xfId="0" applyBorder="1"/>
    <xf numFmtId="43" fontId="0" fillId="0" borderId="0" xfId="0" applyNumberFormat="1"/>
    <xf numFmtId="43" fontId="0" fillId="0" borderId="28" xfId="0" applyNumberFormat="1" applyBorder="1"/>
    <xf numFmtId="0" fontId="0" fillId="0" borderId="30" xfId="0" applyBorder="1"/>
    <xf numFmtId="43" fontId="17" fillId="0" borderId="29" xfId="0" applyNumberFormat="1" applyFont="1" applyBorder="1"/>
    <xf numFmtId="0" fontId="20" fillId="0" borderId="21" xfId="0" applyFont="1" applyBorder="1"/>
    <xf numFmtId="0" fontId="20" fillId="0" borderId="22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0" fillId="0" borderId="24" xfId="0" applyBorder="1"/>
    <xf numFmtId="0" fontId="19" fillId="0" borderId="25" xfId="0" applyFont="1" applyBorder="1"/>
    <xf numFmtId="0" fontId="1" fillId="0" borderId="25" xfId="0" applyFont="1" applyBorder="1"/>
    <xf numFmtId="3" fontId="0" fillId="0" borderId="25" xfId="0" applyNumberFormat="1" applyBorder="1"/>
    <xf numFmtId="43" fontId="0" fillId="0" borderId="26" xfId="1" applyFont="1" applyBorder="1"/>
    <xf numFmtId="0" fontId="21" fillId="0" borderId="0" xfId="0" applyFont="1"/>
    <xf numFmtId="0" fontId="1" fillId="0" borderId="20" xfId="0" applyFont="1" applyBorder="1"/>
    <xf numFmtId="3" fontId="1" fillId="0" borderId="20" xfId="0" applyNumberFormat="1" applyFont="1" applyBorder="1"/>
    <xf numFmtId="0" fontId="18" fillId="0" borderId="20" xfId="0" applyFont="1" applyBorder="1"/>
    <xf numFmtId="10" fontId="22" fillId="12" borderId="0" xfId="6" applyNumberFormat="1"/>
    <xf numFmtId="10" fontId="22" fillId="13" borderId="0" xfId="7" applyNumberFormat="1"/>
    <xf numFmtId="10" fontId="22" fillId="11" borderId="0" xfId="5" applyNumberFormat="1"/>
    <xf numFmtId="3" fontId="16" fillId="0" borderId="20" xfId="3" applyNumberFormat="1" applyFill="1" applyBorder="1"/>
    <xf numFmtId="49" fontId="23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horizontal="center" wrapText="1"/>
    </xf>
    <xf numFmtId="0" fontId="23" fillId="0" borderId="0" xfId="0" applyFont="1"/>
    <xf numFmtId="166" fontId="0" fillId="0" borderId="0" xfId="1" applyNumberFormat="1" applyFont="1"/>
    <xf numFmtId="166" fontId="0" fillId="0" borderId="20" xfId="1" applyNumberFormat="1" applyFont="1" applyBorder="1"/>
    <xf numFmtId="49" fontId="1" fillId="0" borderId="20" xfId="0" applyNumberFormat="1" applyFont="1" applyBorder="1" applyAlignment="1">
      <alignment horizontal="center"/>
    </xf>
    <xf numFmtId="49" fontId="23" fillId="0" borderId="20" xfId="0" applyNumberFormat="1" applyFont="1" applyBorder="1" applyAlignment="1">
      <alignment horizontal="center"/>
    </xf>
    <xf numFmtId="49" fontId="23" fillId="0" borderId="20" xfId="0" applyNumberFormat="1" applyFont="1" applyBorder="1" applyAlignment="1">
      <alignment horizontal="center" wrapText="1"/>
    </xf>
    <xf numFmtId="3" fontId="24" fillId="14" borderId="0" xfId="8" applyNumberFormat="1"/>
    <xf numFmtId="3" fontId="16" fillId="8" borderId="0" xfId="3" applyNumberFormat="1"/>
    <xf numFmtId="0" fontId="25" fillId="0" borderId="22" xfId="0" applyFont="1" applyBorder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wrapText="1"/>
    </xf>
    <xf numFmtId="10" fontId="1" fillId="0" borderId="20" xfId="2" applyNumberFormat="1" applyFont="1" applyBorder="1"/>
    <xf numFmtId="10" fontId="1" fillId="15" borderId="0" xfId="2" applyNumberFormat="1" applyFont="1" applyFill="1"/>
    <xf numFmtId="10" fontId="1" fillId="0" borderId="0" xfId="2" applyNumberFormat="1" applyFont="1" applyFill="1"/>
    <xf numFmtId="3" fontId="1" fillId="0" borderId="31" xfId="0" applyNumberFormat="1" applyFont="1" applyBorder="1" applyAlignment="1">
      <alignment horizontal="center"/>
    </xf>
    <xf numFmtId="10" fontId="27" fillId="0" borderId="32" xfId="2" applyNumberFormat="1" applyFont="1" applyBorder="1"/>
    <xf numFmtId="10" fontId="27" fillId="0" borderId="33" xfId="2" applyNumberFormat="1" applyFont="1" applyBorder="1"/>
    <xf numFmtId="3" fontId="1" fillId="0" borderId="25" xfId="0" applyNumberFormat="1" applyFont="1" applyBorder="1"/>
    <xf numFmtId="3" fontId="1" fillId="0" borderId="26" xfId="0" applyNumberFormat="1" applyFont="1" applyBorder="1"/>
    <xf numFmtId="3" fontId="1" fillId="0" borderId="28" xfId="0" applyNumberFormat="1" applyFont="1" applyBorder="1"/>
    <xf numFmtId="0" fontId="1" fillId="0" borderId="27" xfId="0" applyFont="1" applyBorder="1"/>
    <xf numFmtId="3" fontId="1" fillId="0" borderId="29" xfId="0" applyNumberFormat="1" applyFont="1" applyBorder="1"/>
    <xf numFmtId="0" fontId="1" fillId="0" borderId="30" xfId="0" applyFont="1" applyBorder="1"/>
    <xf numFmtId="0" fontId="0" fillId="0" borderId="22" xfId="0" applyBorder="1"/>
    <xf numFmtId="49" fontId="23" fillId="0" borderId="22" xfId="0" applyNumberFormat="1" applyFont="1" applyBorder="1" applyAlignment="1">
      <alignment horizontal="center"/>
    </xf>
    <xf numFmtId="49" fontId="23" fillId="0" borderId="23" xfId="0" applyNumberFormat="1" applyFont="1" applyBorder="1" applyAlignment="1">
      <alignment horizontal="center"/>
    </xf>
    <xf numFmtId="165" fontId="1" fillId="0" borderId="0" xfId="9" applyNumberFormat="1" applyFont="1" applyBorder="1"/>
    <xf numFmtId="165" fontId="1" fillId="0" borderId="28" xfId="9" applyNumberFormat="1" applyFont="1" applyBorder="1"/>
    <xf numFmtId="165" fontId="1" fillId="0" borderId="20" xfId="9" applyNumberFormat="1" applyFont="1" applyBorder="1"/>
    <xf numFmtId="165" fontId="1" fillId="0" borderId="29" xfId="9" applyNumberFormat="1" applyFont="1" applyBorder="1"/>
    <xf numFmtId="0" fontId="0" fillId="16" borderId="0" xfId="0" applyFill="1"/>
    <xf numFmtId="3" fontId="1" fillId="16" borderId="0" xfId="0" applyNumberFormat="1" applyFont="1" applyFill="1"/>
    <xf numFmtId="49" fontId="23" fillId="16" borderId="0" xfId="0" applyNumberFormat="1" applyFont="1" applyFill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0" fontId="2" fillId="0" borderId="21" xfId="0" applyFont="1" applyBorder="1"/>
    <xf numFmtId="0" fontId="0" fillId="0" borderId="23" xfId="0" applyBorder="1"/>
    <xf numFmtId="0" fontId="1" fillId="0" borderId="24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3" fontId="1" fillId="0" borderId="34" xfId="0" applyNumberFormat="1" applyFont="1" applyBorder="1"/>
    <xf numFmtId="49" fontId="1" fillId="16" borderId="0" xfId="0" applyNumberFormat="1" applyFont="1" applyFill="1" applyAlignment="1">
      <alignment horizontal="center"/>
    </xf>
    <xf numFmtId="4" fontId="1" fillId="16" borderId="0" xfId="0" applyNumberFormat="1" applyFont="1" applyFill="1"/>
    <xf numFmtId="0" fontId="2" fillId="16" borderId="0" xfId="0" applyFont="1" applyFill="1"/>
    <xf numFmtId="3" fontId="28" fillId="17" borderId="0" xfId="10" applyNumberFormat="1"/>
    <xf numFmtId="0" fontId="20" fillId="16" borderId="0" xfId="0" applyFont="1" applyFill="1"/>
    <xf numFmtId="10" fontId="1" fillId="0" borderId="0" xfId="2" applyNumberFormat="1" applyFont="1" applyBorder="1"/>
    <xf numFmtId="49" fontId="24" fillId="14" borderId="22" xfId="8" applyNumberFormat="1" applyBorder="1" applyAlignment="1">
      <alignment horizontal="center"/>
    </xf>
    <xf numFmtId="49" fontId="24" fillId="14" borderId="23" xfId="8" applyNumberFormat="1" applyBorder="1" applyAlignment="1">
      <alignment horizontal="center"/>
    </xf>
    <xf numFmtId="3" fontId="24" fillId="14" borderId="29" xfId="8" applyNumberFormat="1" applyBorder="1"/>
    <xf numFmtId="49" fontId="28" fillId="17" borderId="22" xfId="10" applyNumberFormat="1" applyBorder="1" applyAlignment="1">
      <alignment horizontal="center"/>
    </xf>
    <xf numFmtId="3" fontId="28" fillId="17" borderId="20" xfId="10" applyNumberFormat="1" applyBorder="1"/>
    <xf numFmtId="49" fontId="16" fillId="8" borderId="21" xfId="3" applyNumberFormat="1" applyBorder="1" applyAlignment="1">
      <alignment horizontal="center"/>
    </xf>
    <xf numFmtId="3" fontId="16" fillId="8" borderId="20" xfId="3" applyNumberFormat="1" applyBorder="1"/>
    <xf numFmtId="49" fontId="24" fillId="14" borderId="31" xfId="8" applyNumberFormat="1" applyBorder="1" applyAlignment="1">
      <alignment horizontal="center"/>
    </xf>
    <xf numFmtId="10" fontId="1" fillId="0" borderId="32" xfId="2" applyNumberFormat="1" applyFont="1" applyBorder="1"/>
    <xf numFmtId="10" fontId="1" fillId="0" borderId="33" xfId="2" applyNumberFormat="1" applyFont="1" applyBorder="1"/>
    <xf numFmtId="3" fontId="1" fillId="0" borderId="35" xfId="0" applyNumberFormat="1" applyFont="1" applyBorder="1"/>
    <xf numFmtId="3" fontId="1" fillId="0" borderId="32" xfId="0" applyNumberFormat="1" applyFont="1" applyBorder="1"/>
    <xf numFmtId="3" fontId="1" fillId="0" borderId="36" xfId="0" applyNumberFormat="1" applyFont="1" applyBorder="1"/>
    <xf numFmtId="0" fontId="0" fillId="0" borderId="32" xfId="0" applyBorder="1"/>
    <xf numFmtId="3" fontId="1" fillId="0" borderId="33" xfId="0" applyNumberFormat="1" applyFont="1" applyBorder="1"/>
    <xf numFmtId="49" fontId="24" fillId="14" borderId="21" xfId="8" applyNumberFormat="1" applyBorder="1" applyAlignment="1">
      <alignment horizontal="center"/>
    </xf>
    <xf numFmtId="164" fontId="16" fillId="8" borderId="0" xfId="3" applyNumberFormat="1"/>
    <xf numFmtId="0" fontId="0" fillId="0" borderId="35" xfId="0" applyBorder="1" applyAlignment="1">
      <alignment horizontal="center"/>
    </xf>
    <xf numFmtId="3" fontId="0" fillId="0" borderId="32" xfId="0" applyNumberFormat="1" applyBorder="1"/>
    <xf numFmtId="3" fontId="0" fillId="0" borderId="33" xfId="0" applyNumberFormat="1" applyBorder="1"/>
    <xf numFmtId="10" fontId="0" fillId="0" borderId="33" xfId="2" applyNumberFormat="1" applyFont="1" applyBorder="1"/>
    <xf numFmtId="0" fontId="0" fillId="0" borderId="33" xfId="0" applyBorder="1" applyAlignment="1">
      <alignment horizontal="center"/>
    </xf>
    <xf numFmtId="3" fontId="1" fillId="0" borderId="27" xfId="0" applyNumberFormat="1" applyFont="1" applyBorder="1"/>
    <xf numFmtId="3" fontId="1" fillId="0" borderId="27" xfId="0" applyNumberFormat="1" applyFont="1" applyBorder="1" applyAlignment="1">
      <alignment horizontal="center"/>
    </xf>
    <xf numFmtId="40" fontId="2" fillId="0" borderId="27" xfId="1" applyNumberFormat="1" applyFont="1" applyBorder="1" applyAlignment="1">
      <alignment horizontal="center" wrapText="1"/>
    </xf>
    <xf numFmtId="10" fontId="1" fillId="0" borderId="27" xfId="2" applyNumberFormat="1" applyFont="1" applyBorder="1"/>
    <xf numFmtId="3" fontId="1" fillId="0" borderId="37" xfId="0" applyNumberFormat="1" applyFont="1" applyBorder="1"/>
    <xf numFmtId="166" fontId="1" fillId="0" borderId="27" xfId="1" applyNumberFormat="1" applyFont="1" applyBorder="1"/>
    <xf numFmtId="49" fontId="2" fillId="0" borderId="37" xfId="0" applyNumberFormat="1" applyFont="1" applyBorder="1" applyAlignment="1">
      <alignment horizontal="center"/>
    </xf>
    <xf numFmtId="3" fontId="1" fillId="9" borderId="27" xfId="0" applyNumberFormat="1" applyFont="1" applyFill="1" applyBorder="1"/>
    <xf numFmtId="164" fontId="1" fillId="0" borderId="27" xfId="0" applyNumberFormat="1" applyFont="1" applyBorder="1"/>
    <xf numFmtId="164" fontId="2" fillId="0" borderId="27" xfId="0" applyNumberFormat="1" applyFont="1" applyBorder="1"/>
    <xf numFmtId="164" fontId="4" fillId="0" borderId="27" xfId="0" applyNumberFormat="1" applyFont="1" applyBorder="1"/>
    <xf numFmtId="164" fontId="4" fillId="0" borderId="37" xfId="0" applyNumberFormat="1" applyFont="1" applyBorder="1"/>
    <xf numFmtId="10" fontId="22" fillId="11" borderId="27" xfId="5" applyNumberFormat="1" applyBorder="1"/>
    <xf numFmtId="10" fontId="22" fillId="10" borderId="27" xfId="4" applyNumberFormat="1" applyBorder="1"/>
    <xf numFmtId="164" fontId="16" fillId="8" borderId="27" xfId="3" applyNumberFormat="1" applyBorder="1"/>
    <xf numFmtId="3" fontId="1" fillId="0" borderId="30" xfId="0" applyNumberFormat="1" applyFont="1" applyBorder="1"/>
    <xf numFmtId="10" fontId="1" fillId="15" borderId="27" xfId="2" applyNumberFormat="1" applyFont="1" applyFill="1" applyBorder="1"/>
    <xf numFmtId="10" fontId="1" fillId="0" borderId="27" xfId="2" applyNumberFormat="1" applyFont="1" applyFill="1" applyBorder="1"/>
    <xf numFmtId="10" fontId="1" fillId="0" borderId="30" xfId="2" applyNumberFormat="1" applyFont="1" applyBorder="1"/>
    <xf numFmtId="3" fontId="1" fillId="16" borderId="27" xfId="0" applyNumberFormat="1" applyFont="1" applyFill="1" applyBorder="1"/>
    <xf numFmtId="49" fontId="23" fillId="0" borderId="21" xfId="0" applyNumberFormat="1" applyFont="1" applyBorder="1" applyAlignment="1">
      <alignment horizontal="center"/>
    </xf>
    <xf numFmtId="165" fontId="1" fillId="0" borderId="27" xfId="9" applyNumberFormat="1" applyFont="1" applyBorder="1"/>
    <xf numFmtId="165" fontId="1" fillId="0" borderId="30" xfId="9" applyNumberFormat="1" applyFont="1" applyBorder="1"/>
    <xf numFmtId="3" fontId="1" fillId="0" borderId="28" xfId="0" applyNumberFormat="1" applyFont="1" applyBorder="1" applyAlignment="1">
      <alignment horizontal="center"/>
    </xf>
    <xf numFmtId="49" fontId="23" fillId="0" borderId="28" xfId="0" applyNumberFormat="1" applyFont="1" applyBorder="1" applyAlignment="1">
      <alignment horizontal="center"/>
    </xf>
    <xf numFmtId="166" fontId="1" fillId="0" borderId="28" xfId="1" applyNumberFormat="1" applyFont="1" applyBorder="1"/>
    <xf numFmtId="3" fontId="28" fillId="17" borderId="28" xfId="10" applyNumberFormat="1" applyBorder="1"/>
    <xf numFmtId="10" fontId="1" fillId="0" borderId="28" xfId="2" applyNumberFormat="1" applyFont="1" applyBorder="1"/>
    <xf numFmtId="3" fontId="2" fillId="0" borderId="28" xfId="0" applyNumberFormat="1" applyFont="1" applyBorder="1"/>
    <xf numFmtId="3" fontId="16" fillId="8" borderId="28" xfId="3" applyNumberFormat="1" applyBorder="1"/>
    <xf numFmtId="49" fontId="2" fillId="0" borderId="34" xfId="0" applyNumberFormat="1" applyFont="1" applyBorder="1" applyAlignment="1">
      <alignment horizontal="center"/>
    </xf>
    <xf numFmtId="3" fontId="1" fillId="9" borderId="28" xfId="0" applyNumberFormat="1" applyFont="1" applyFill="1" applyBorder="1"/>
    <xf numFmtId="164" fontId="1" fillId="0" borderId="28" xfId="0" applyNumberFormat="1" applyFont="1" applyBorder="1"/>
    <xf numFmtId="164" fontId="2" fillId="0" borderId="28" xfId="0" applyNumberFormat="1" applyFont="1" applyBorder="1"/>
    <xf numFmtId="164" fontId="4" fillId="0" borderId="28" xfId="0" applyNumberFormat="1" applyFont="1" applyBorder="1"/>
    <xf numFmtId="164" fontId="4" fillId="0" borderId="34" xfId="0" applyNumberFormat="1" applyFont="1" applyBorder="1"/>
    <xf numFmtId="10" fontId="22" fillId="11" borderId="28" xfId="5" applyNumberFormat="1" applyBorder="1"/>
    <xf numFmtId="10" fontId="22" fillId="10" borderId="28" xfId="4" applyNumberFormat="1" applyBorder="1"/>
    <xf numFmtId="164" fontId="16" fillId="8" borderId="28" xfId="3" applyNumberFormat="1" applyBorder="1"/>
    <xf numFmtId="10" fontId="1" fillId="15" borderId="28" xfId="2" applyNumberFormat="1" applyFont="1" applyFill="1" applyBorder="1"/>
    <xf numFmtId="10" fontId="1" fillId="0" borderId="28" xfId="2" applyNumberFormat="1" applyFont="1" applyFill="1" applyBorder="1"/>
    <xf numFmtId="10" fontId="1" fillId="0" borderId="29" xfId="2" applyNumberFormat="1" applyFont="1" applyBorder="1"/>
    <xf numFmtId="3" fontId="1" fillId="16" borderId="28" xfId="0" applyNumberFormat="1" applyFont="1" applyFill="1" applyBorder="1"/>
    <xf numFmtId="3" fontId="1" fillId="18" borderId="0" xfId="0" applyNumberFormat="1" applyFont="1" applyFill="1"/>
    <xf numFmtId="3" fontId="1" fillId="18" borderId="0" xfId="0" applyNumberFormat="1" applyFont="1" applyFill="1" applyAlignment="1">
      <alignment horizontal="center"/>
    </xf>
    <xf numFmtId="49" fontId="23" fillId="18" borderId="0" xfId="0" applyNumberFormat="1" applyFont="1" applyFill="1" applyAlignment="1">
      <alignment horizontal="center"/>
    </xf>
    <xf numFmtId="3" fontId="1" fillId="18" borderId="1" xfId="0" applyNumberFormat="1" applyFont="1" applyFill="1" applyBorder="1"/>
    <xf numFmtId="166" fontId="1" fillId="18" borderId="0" xfId="1" applyNumberFormat="1" applyFont="1" applyFill="1"/>
    <xf numFmtId="3" fontId="28" fillId="18" borderId="0" xfId="10" applyNumberFormat="1" applyFill="1"/>
    <xf numFmtId="10" fontId="1" fillId="18" borderId="0" xfId="2" applyNumberFormat="1" applyFont="1" applyFill="1"/>
    <xf numFmtId="3" fontId="16" fillId="18" borderId="0" xfId="3" applyNumberFormat="1" applyFill="1"/>
    <xf numFmtId="165" fontId="22" fillId="18" borderId="0" xfId="4" applyNumberFormat="1" applyFill="1" applyBorder="1"/>
    <xf numFmtId="49" fontId="2" fillId="18" borderId="1" xfId="0" applyNumberFormat="1" applyFont="1" applyFill="1" applyBorder="1" applyAlignment="1">
      <alignment horizontal="center"/>
    </xf>
    <xf numFmtId="164" fontId="1" fillId="18" borderId="0" xfId="0" applyNumberFormat="1" applyFont="1" applyFill="1"/>
    <xf numFmtId="164" fontId="2" fillId="18" borderId="0" xfId="0" applyNumberFormat="1" applyFont="1" applyFill="1"/>
    <xf numFmtId="164" fontId="4" fillId="18" borderId="0" xfId="0" applyNumberFormat="1" applyFont="1" applyFill="1"/>
    <xf numFmtId="164" fontId="4" fillId="18" borderId="1" xfId="0" applyNumberFormat="1" applyFont="1" applyFill="1" applyBorder="1"/>
    <xf numFmtId="10" fontId="22" fillId="18" borderId="0" xfId="5" applyNumberFormat="1" applyFill="1"/>
    <xf numFmtId="10" fontId="22" fillId="18" borderId="0" xfId="4" applyNumberFormat="1" applyFill="1"/>
    <xf numFmtId="164" fontId="16" fillId="18" borderId="0" xfId="3" applyNumberFormat="1" applyFill="1"/>
    <xf numFmtId="3" fontId="1" fillId="18" borderId="20" xfId="0" applyNumberFormat="1" applyFont="1" applyFill="1" applyBorder="1"/>
    <xf numFmtId="0" fontId="0" fillId="18" borderId="0" xfId="0" applyFill="1"/>
    <xf numFmtId="10" fontId="1" fillId="18" borderId="20" xfId="2" applyNumberFormat="1" applyFont="1" applyFill="1" applyBorder="1"/>
    <xf numFmtId="49" fontId="23" fillId="18" borderId="22" xfId="0" applyNumberFormat="1" applyFont="1" applyFill="1" applyBorder="1" applyAlignment="1">
      <alignment horizontal="center"/>
    </xf>
    <xf numFmtId="165" fontId="1" fillId="18" borderId="0" xfId="9" applyNumberFormat="1" applyFont="1" applyFill="1" applyBorder="1"/>
    <xf numFmtId="165" fontId="1" fillId="18" borderId="20" xfId="9" applyNumberFormat="1" applyFont="1" applyFill="1" applyBorder="1"/>
    <xf numFmtId="10" fontId="1" fillId="18" borderId="0" xfId="2" applyNumberFormat="1" applyFont="1" applyFill="1" applyBorder="1"/>
    <xf numFmtId="3" fontId="1" fillId="19" borderId="35" xfId="0" applyNumberFormat="1" applyFont="1" applyFill="1" applyBorder="1" applyAlignment="1">
      <alignment horizontal="center"/>
    </xf>
    <xf numFmtId="49" fontId="2" fillId="19" borderId="32" xfId="0" applyNumberFormat="1" applyFont="1" applyFill="1" applyBorder="1" applyAlignment="1">
      <alignment horizontal="center"/>
    </xf>
    <xf numFmtId="3" fontId="1" fillId="19" borderId="32" xfId="0" applyNumberFormat="1" applyFont="1" applyFill="1" applyBorder="1"/>
    <xf numFmtId="3" fontId="1" fillId="19" borderId="36" xfId="0" applyNumberFormat="1" applyFont="1" applyFill="1" applyBorder="1"/>
    <xf numFmtId="166" fontId="1" fillId="19" borderId="32" xfId="1" applyNumberFormat="1" applyFont="1" applyFill="1" applyBorder="1"/>
    <xf numFmtId="3" fontId="28" fillId="19" borderId="32" xfId="10" applyNumberFormat="1" applyFill="1" applyBorder="1"/>
    <xf numFmtId="10" fontId="1" fillId="19" borderId="32" xfId="2" applyNumberFormat="1" applyFont="1" applyFill="1" applyBorder="1"/>
    <xf numFmtId="3" fontId="2" fillId="19" borderId="33" xfId="0" applyNumberFormat="1" applyFont="1" applyFill="1" applyBorder="1"/>
    <xf numFmtId="3" fontId="1" fillId="20" borderId="35" xfId="0" applyNumberFormat="1" applyFont="1" applyFill="1" applyBorder="1" applyAlignment="1">
      <alignment horizontal="center"/>
    </xf>
    <xf numFmtId="49" fontId="23" fillId="20" borderId="32" xfId="0" applyNumberFormat="1" applyFont="1" applyFill="1" applyBorder="1" applyAlignment="1">
      <alignment horizontal="center"/>
    </xf>
    <xf numFmtId="3" fontId="1" fillId="20" borderId="32" xfId="0" applyNumberFormat="1" applyFont="1" applyFill="1" applyBorder="1"/>
    <xf numFmtId="3" fontId="1" fillId="20" borderId="36" xfId="0" applyNumberFormat="1" applyFont="1" applyFill="1" applyBorder="1"/>
    <xf numFmtId="3" fontId="28" fillId="20" borderId="32" xfId="10" applyNumberFormat="1" applyFill="1" applyBorder="1"/>
    <xf numFmtId="3" fontId="2" fillId="20" borderId="33" xfId="0" applyNumberFormat="1" applyFont="1" applyFill="1" applyBorder="1"/>
    <xf numFmtId="3" fontId="1" fillId="15" borderId="0" xfId="0" applyNumberFormat="1" applyFont="1" applyFill="1"/>
    <xf numFmtId="10" fontId="1" fillId="0" borderId="28" xfId="0" applyNumberFormat="1" applyFont="1" applyBorder="1"/>
    <xf numFmtId="38" fontId="1" fillId="0" borderId="0" xfId="1" applyNumberFormat="1" applyFont="1" applyFill="1"/>
    <xf numFmtId="38" fontId="1" fillId="0" borderId="0" xfId="1" applyNumberFormat="1" applyFont="1" applyFill="1" applyBorder="1" applyAlignment="1">
      <alignment horizontal="center"/>
    </xf>
    <xf numFmtId="38" fontId="1" fillId="0" borderId="0" xfId="1" applyNumberFormat="1" applyFont="1" applyFill="1" applyBorder="1"/>
    <xf numFmtId="38" fontId="1" fillId="0" borderId="20" xfId="1" applyNumberFormat="1" applyFont="1" applyFill="1" applyBorder="1"/>
    <xf numFmtId="38" fontId="16" fillId="0" borderId="0" xfId="1" applyNumberFormat="1" applyFont="1" applyFill="1"/>
    <xf numFmtId="38" fontId="1" fillId="0" borderId="1" xfId="1" applyNumberFormat="1" applyFont="1" applyFill="1" applyBorder="1"/>
    <xf numFmtId="38" fontId="0" fillId="0" borderId="0" xfId="1" applyNumberFormat="1" applyFont="1" applyFill="1"/>
    <xf numFmtId="38" fontId="1" fillId="0" borderId="0" xfId="1" applyNumberFormat="1" applyFont="1" applyFill="1" applyAlignment="1">
      <alignment horizontal="center"/>
    </xf>
    <xf numFmtId="38" fontId="2" fillId="0" borderId="1" xfId="1" applyNumberFormat="1" applyFont="1" applyFill="1" applyBorder="1" applyAlignment="1">
      <alignment horizontal="center"/>
    </xf>
    <xf numFmtId="38" fontId="2" fillId="0" borderId="0" xfId="1" applyNumberFormat="1" applyFont="1" applyFill="1"/>
    <xf numFmtId="38" fontId="4" fillId="0" borderId="0" xfId="1" applyNumberFormat="1" applyFont="1" applyFill="1"/>
    <xf numFmtId="38" fontId="4" fillId="0" borderId="1" xfId="1" applyNumberFormat="1" applyFont="1" applyFill="1" applyBorder="1"/>
    <xf numFmtId="38" fontId="23" fillId="0" borderId="22" xfId="1" applyNumberFormat="1" applyFont="1" applyFill="1" applyBorder="1" applyAlignment="1">
      <alignment horizontal="center"/>
    </xf>
    <xf numFmtId="3" fontId="1" fillId="21" borderId="0" xfId="0" applyNumberFormat="1" applyFont="1" applyFill="1"/>
    <xf numFmtId="3" fontId="1" fillId="21" borderId="0" xfId="0" applyNumberFormat="1" applyFont="1" applyFill="1" applyAlignment="1">
      <alignment horizontal="center"/>
    </xf>
    <xf numFmtId="49" fontId="23" fillId="21" borderId="0" xfId="0" applyNumberFormat="1" applyFont="1" applyFill="1" applyAlignment="1">
      <alignment horizontal="center"/>
    </xf>
    <xf numFmtId="3" fontId="1" fillId="21" borderId="1" xfId="0" applyNumberFormat="1" applyFont="1" applyFill="1" applyBorder="1"/>
    <xf numFmtId="3" fontId="28" fillId="21" borderId="0" xfId="10" applyNumberFormat="1" applyFill="1" applyBorder="1"/>
    <xf numFmtId="3" fontId="2" fillId="21" borderId="0" xfId="0" applyNumberFormat="1" applyFont="1" applyFill="1"/>
    <xf numFmtId="3" fontId="16" fillId="21" borderId="0" xfId="3" applyNumberFormat="1" applyFill="1" applyBorder="1"/>
    <xf numFmtId="10" fontId="1" fillId="21" borderId="0" xfId="2" applyNumberFormat="1" applyFont="1" applyFill="1" applyBorder="1"/>
    <xf numFmtId="10" fontId="1" fillId="21" borderId="1" xfId="2" applyNumberFormat="1" applyFont="1" applyFill="1" applyBorder="1"/>
    <xf numFmtId="0" fontId="0" fillId="21" borderId="0" xfId="0" applyFill="1"/>
    <xf numFmtId="49" fontId="2" fillId="21" borderId="1" xfId="0" applyNumberFormat="1" applyFont="1" applyFill="1" applyBorder="1" applyAlignment="1">
      <alignment horizontal="center"/>
    </xf>
    <xf numFmtId="164" fontId="1" fillId="21" borderId="0" xfId="0" applyNumberFormat="1" applyFont="1" applyFill="1"/>
    <xf numFmtId="164" fontId="2" fillId="21" borderId="0" xfId="0" applyNumberFormat="1" applyFont="1" applyFill="1"/>
    <xf numFmtId="164" fontId="4" fillId="21" borderId="0" xfId="0" applyNumberFormat="1" applyFont="1" applyFill="1"/>
    <xf numFmtId="164" fontId="4" fillId="21" borderId="1" xfId="0" applyNumberFormat="1" applyFont="1" applyFill="1" applyBorder="1"/>
    <xf numFmtId="10" fontId="1" fillId="21" borderId="0" xfId="0" applyNumberFormat="1" applyFont="1" applyFill="1"/>
    <xf numFmtId="164" fontId="16" fillId="21" borderId="0" xfId="3" applyNumberFormat="1" applyFill="1" applyBorder="1"/>
    <xf numFmtId="3" fontId="1" fillId="21" borderId="20" xfId="0" applyNumberFormat="1" applyFont="1" applyFill="1" applyBorder="1"/>
    <xf numFmtId="10" fontId="1" fillId="21" borderId="20" xfId="2" applyNumberFormat="1" applyFont="1" applyFill="1" applyBorder="1"/>
    <xf numFmtId="49" fontId="23" fillId="21" borderId="22" xfId="0" applyNumberFormat="1" applyFont="1" applyFill="1" applyBorder="1" applyAlignment="1">
      <alignment horizontal="center"/>
    </xf>
    <xf numFmtId="165" fontId="1" fillId="21" borderId="0" xfId="9" applyNumberFormat="1" applyFont="1" applyFill="1" applyBorder="1"/>
    <xf numFmtId="165" fontId="1" fillId="21" borderId="20" xfId="9" applyNumberFormat="1" applyFont="1" applyFill="1" applyBorder="1"/>
    <xf numFmtId="3" fontId="16" fillId="0" borderId="27" xfId="3" applyNumberFormat="1" applyFill="1" applyBorder="1"/>
    <xf numFmtId="10" fontId="1" fillId="0" borderId="37" xfId="2" applyNumberFormat="1" applyFont="1" applyFill="1" applyBorder="1"/>
    <xf numFmtId="10" fontId="1" fillId="0" borderId="27" xfId="0" applyNumberFormat="1" applyFont="1" applyBorder="1"/>
    <xf numFmtId="164" fontId="16" fillId="0" borderId="27" xfId="3" applyNumberFormat="1" applyFill="1" applyBorder="1"/>
    <xf numFmtId="10" fontId="1" fillId="0" borderId="30" xfId="2" applyNumberFormat="1" applyFont="1" applyFill="1" applyBorder="1"/>
    <xf numFmtId="165" fontId="1" fillId="0" borderId="27" xfId="9" applyNumberFormat="1" applyFont="1" applyFill="1" applyBorder="1"/>
    <xf numFmtId="165" fontId="1" fillId="0" borderId="30" xfId="9" applyNumberFormat="1" applyFont="1" applyFill="1" applyBorder="1"/>
    <xf numFmtId="38" fontId="2" fillId="0" borderId="0" xfId="1" applyNumberFormat="1" applyFont="1" applyFill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38" fontId="1" fillId="0" borderId="0" xfId="1" applyNumberFormat="1" applyFont="1"/>
    <xf numFmtId="38" fontId="1" fillId="0" borderId="0" xfId="1" applyNumberFormat="1" applyFont="1" applyAlignment="1">
      <alignment horizontal="center"/>
    </xf>
    <xf numFmtId="38" fontId="2" fillId="0" borderId="0" xfId="1" applyNumberFormat="1" applyFont="1" applyAlignment="1">
      <alignment horizontal="center" wrapText="1"/>
    </xf>
    <xf numFmtId="38" fontId="1" fillId="0" borderId="1" xfId="1" applyNumberFormat="1" applyFont="1" applyBorder="1"/>
    <xf numFmtId="38" fontId="1" fillId="0" borderId="0" xfId="0" applyNumberFormat="1" applyFont="1"/>
    <xf numFmtId="38" fontId="2" fillId="0" borderId="0" xfId="0" applyNumberFormat="1" applyFont="1"/>
    <xf numFmtId="38" fontId="16" fillId="8" borderId="0" xfId="1" applyNumberFormat="1" applyFont="1" applyFill="1"/>
    <xf numFmtId="38" fontId="2" fillId="0" borderId="1" xfId="1" applyNumberFormat="1" applyFont="1" applyBorder="1" applyAlignment="1">
      <alignment horizontal="center"/>
    </xf>
    <xf numFmtId="38" fontId="1" fillId="9" borderId="0" xfId="1" applyNumberFormat="1" applyFont="1" applyFill="1"/>
    <xf numFmtId="38" fontId="2" fillId="0" borderId="0" xfId="1" applyNumberFormat="1" applyFont="1"/>
    <xf numFmtId="38" fontId="4" fillId="0" borderId="0" xfId="1" applyNumberFormat="1" applyFont="1"/>
    <xf numFmtId="38" fontId="4" fillId="0" borderId="1" xfId="1" applyNumberFormat="1" applyFont="1" applyBorder="1"/>
    <xf numFmtId="38" fontId="22" fillId="11" borderId="0" xfId="1" applyNumberFormat="1" applyFont="1" applyFill="1"/>
    <xf numFmtId="38" fontId="22" fillId="10" borderId="0" xfId="1" applyNumberFormat="1" applyFont="1" applyFill="1"/>
    <xf numFmtId="38" fontId="1" fillId="0" borderId="0" xfId="1" applyNumberFormat="1" applyFont="1" applyBorder="1"/>
    <xf numFmtId="38" fontId="1" fillId="0" borderId="20" xfId="1" applyNumberFormat="1" applyFont="1" applyBorder="1"/>
    <xf numFmtId="38" fontId="0" fillId="0" borderId="0" xfId="1" applyNumberFormat="1" applyFont="1"/>
    <xf numFmtId="38" fontId="1" fillId="15" borderId="0" xfId="1" applyNumberFormat="1" applyFont="1" applyFill="1"/>
    <xf numFmtId="38" fontId="1" fillId="16" borderId="0" xfId="1" applyNumberFormat="1" applyFont="1" applyFill="1"/>
    <xf numFmtId="38" fontId="23" fillId="0" borderId="22" xfId="1" applyNumberFormat="1" applyFont="1" applyBorder="1" applyAlignment="1">
      <alignment horizontal="center"/>
    </xf>
    <xf numFmtId="3" fontId="2" fillId="18" borderId="32" xfId="0" applyNumberFormat="1" applyFont="1" applyFill="1" applyBorder="1"/>
    <xf numFmtId="0" fontId="22" fillId="10" borderId="30" xfId="4" applyBorder="1"/>
    <xf numFmtId="0" fontId="22" fillId="10" borderId="20" xfId="4" applyBorder="1"/>
    <xf numFmtId="165" fontId="22" fillId="10" borderId="29" xfId="4" applyNumberFormat="1" applyBorder="1"/>
    <xf numFmtId="165" fontId="22" fillId="21" borderId="27" xfId="4" applyNumberFormat="1" applyFill="1" applyBorder="1"/>
    <xf numFmtId="38" fontId="22" fillId="21" borderId="0" xfId="1" applyNumberFormat="1" applyFont="1" applyFill="1" applyBorder="1"/>
    <xf numFmtId="165" fontId="22" fillId="21" borderId="0" xfId="4" applyNumberFormat="1" applyFill="1" applyBorder="1"/>
    <xf numFmtId="3" fontId="16" fillId="21" borderId="27" xfId="3" applyNumberFormat="1" applyFill="1" applyBorder="1"/>
    <xf numFmtId="38" fontId="16" fillId="21" borderId="0" xfId="1" applyNumberFormat="1" applyFont="1" applyFill="1"/>
    <xf numFmtId="3" fontId="1" fillId="19" borderId="31" xfId="0" applyNumberFormat="1" applyFont="1" applyFill="1" applyBorder="1"/>
    <xf numFmtId="3" fontId="1" fillId="20" borderId="31" xfId="0" applyNumberFormat="1" applyFont="1" applyFill="1" applyBorder="1"/>
    <xf numFmtId="3" fontId="16" fillId="8" borderId="31" xfId="3" applyNumberFormat="1" applyBorder="1"/>
    <xf numFmtId="10" fontId="29" fillId="22" borderId="0" xfId="2" applyNumberFormat="1" applyFont="1" applyFill="1"/>
    <xf numFmtId="9" fontId="0" fillId="0" borderId="0" xfId="2" applyFont="1"/>
    <xf numFmtId="44" fontId="1" fillId="0" borderId="27" xfId="9" applyFont="1" applyBorder="1"/>
    <xf numFmtId="0" fontId="0" fillId="0" borderId="0" xfId="0" applyAlignment="1">
      <alignment horizontal="center"/>
    </xf>
    <xf numFmtId="44" fontId="1" fillId="0" borderId="0" xfId="9" applyFont="1"/>
    <xf numFmtId="0" fontId="0" fillId="0" borderId="0" xfId="0" applyAlignment="1">
      <alignment wrapText="1"/>
    </xf>
    <xf numFmtId="0" fontId="15" fillId="0" borderId="0" xfId="0" applyFont="1"/>
    <xf numFmtId="44" fontId="0" fillId="0" borderId="0" xfId="9" applyFont="1"/>
    <xf numFmtId="0" fontId="20" fillId="0" borderId="0" xfId="0" applyFont="1" applyAlignment="1">
      <alignment wrapText="1"/>
    </xf>
    <xf numFmtId="44" fontId="15" fillId="0" borderId="0" xfId="9" applyFont="1"/>
    <xf numFmtId="44" fontId="30" fillId="14" borderId="0" xfId="8" applyNumberFormat="1" applyFont="1"/>
    <xf numFmtId="0" fontId="15" fillId="0" borderId="0" xfId="0" applyFont="1" applyAlignment="1">
      <alignment wrapText="1"/>
    </xf>
    <xf numFmtId="44" fontId="31" fillId="8" borderId="0" xfId="3" applyNumberFormat="1" applyFont="1"/>
    <xf numFmtId="0" fontId="15" fillId="0" borderId="20" xfId="0" applyFont="1" applyBorder="1" applyAlignment="1">
      <alignment wrapText="1"/>
    </xf>
    <xf numFmtId="0" fontId="15" fillId="0" borderId="20" xfId="0" applyFont="1" applyBorder="1"/>
    <xf numFmtId="44" fontId="0" fillId="0" borderId="20" xfId="9" applyFont="1" applyBorder="1"/>
    <xf numFmtId="44" fontId="0" fillId="0" borderId="0" xfId="0" applyNumberFormat="1"/>
    <xf numFmtId="0" fontId="15" fillId="0" borderId="38" xfId="0" applyFont="1" applyBorder="1" applyAlignment="1">
      <alignment wrapText="1"/>
    </xf>
    <xf numFmtId="44" fontId="0" fillId="0" borderId="38" xfId="9" applyFont="1" applyBorder="1"/>
    <xf numFmtId="0" fontId="0" fillId="0" borderId="20" xfId="0" applyBorder="1" applyAlignment="1">
      <alignment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43" fontId="31" fillId="8" borderId="20" xfId="1" applyFont="1" applyFill="1" applyBorder="1"/>
    <xf numFmtId="43" fontId="30" fillId="14" borderId="20" xfId="1" applyFont="1" applyFill="1" applyBorder="1"/>
    <xf numFmtId="43" fontId="0" fillId="15" borderId="20" xfId="1" applyFont="1" applyFill="1" applyBorder="1"/>
    <xf numFmtId="43" fontId="0" fillId="23" borderId="20" xfId="1" applyFont="1" applyFill="1" applyBorder="1"/>
    <xf numFmtId="0" fontId="31" fillId="8" borderId="0" xfId="3" applyFont="1" applyAlignment="1">
      <alignment vertical="center" wrapText="1"/>
    </xf>
    <xf numFmtId="0" fontId="30" fillId="14" borderId="0" xfId="8" applyFont="1" applyAlignment="1">
      <alignment vertical="center" wrapText="1"/>
    </xf>
    <xf numFmtId="0" fontId="15" fillId="15" borderId="0" xfId="0" applyFont="1" applyFill="1" applyAlignment="1">
      <alignment vertical="center" wrapText="1"/>
    </xf>
    <xf numFmtId="0" fontId="15" fillId="23" borderId="0" xfId="0" applyFont="1" applyFill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4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4" fontId="0" fillId="0" borderId="0" xfId="9" applyFont="1" applyAlignment="1">
      <alignment vertical="center"/>
    </xf>
    <xf numFmtId="44" fontId="15" fillId="0" borderId="20" xfId="9" applyFont="1" applyBorder="1"/>
    <xf numFmtId="0" fontId="32" fillId="0" borderId="0" xfId="0" applyFont="1" applyAlignment="1">
      <alignment horizontal="left"/>
    </xf>
    <xf numFmtId="0" fontId="33" fillId="0" borderId="0" xfId="0" applyFont="1"/>
    <xf numFmtId="0" fontId="32" fillId="0" borderId="0" xfId="0" applyFont="1" applyAlignment="1">
      <alignment horizontal="center"/>
    </xf>
    <xf numFmtId="0" fontId="32" fillId="0" borderId="39" xfId="0" applyFont="1" applyBorder="1" applyAlignment="1">
      <alignment horizontal="center"/>
    </xf>
    <xf numFmtId="0" fontId="32" fillId="0" borderId="0" xfId="0" applyFont="1"/>
    <xf numFmtId="0" fontId="32" fillId="0" borderId="40" xfId="0" applyFont="1" applyBorder="1" applyAlignment="1">
      <alignment horizontal="center"/>
    </xf>
    <xf numFmtId="0" fontId="32" fillId="0" borderId="41" xfId="0" applyFont="1" applyBorder="1" applyAlignment="1">
      <alignment horizontal="center"/>
    </xf>
    <xf numFmtId="0" fontId="33" fillId="0" borderId="42" xfId="0" applyFont="1" applyBorder="1"/>
    <xf numFmtId="5" fontId="33" fillId="0" borderId="43" xfId="0" applyNumberFormat="1" applyFont="1" applyBorder="1"/>
    <xf numFmtId="5" fontId="33" fillId="0" borderId="44" xfId="0" applyNumberFormat="1" applyFont="1" applyBorder="1"/>
    <xf numFmtId="5" fontId="33" fillId="0" borderId="39" xfId="0" applyNumberFormat="1" applyFont="1" applyBorder="1"/>
    <xf numFmtId="0" fontId="33" fillId="0" borderId="0" xfId="0" applyFont="1" applyAlignment="1">
      <alignment horizontal="left"/>
    </xf>
    <xf numFmtId="5" fontId="33" fillId="0" borderId="45" xfId="0" applyNumberFormat="1" applyFont="1" applyBorder="1"/>
    <xf numFmtId="5" fontId="33" fillId="0" borderId="46" xfId="0" applyNumberFormat="1" applyFont="1" applyBorder="1"/>
    <xf numFmtId="0" fontId="33" fillId="0" borderId="0" xfId="0" quotePrefix="1" applyFont="1" applyAlignment="1">
      <alignment horizontal="left"/>
    </xf>
    <xf numFmtId="0" fontId="34" fillId="0" borderId="0" xfId="0" applyFont="1"/>
    <xf numFmtId="5" fontId="33" fillId="0" borderId="47" xfId="0" applyNumberFormat="1" applyFont="1" applyBorder="1"/>
    <xf numFmtId="0" fontId="32" fillId="0" borderId="47" xfId="0" applyFont="1" applyBorder="1" applyAlignment="1">
      <alignment horizontal="center"/>
    </xf>
    <xf numFmtId="5" fontId="33" fillId="0" borderId="45" xfId="9" applyNumberFormat="1" applyFont="1" applyBorder="1"/>
    <xf numFmtId="5" fontId="33" fillId="0" borderId="46" xfId="9" applyNumberFormat="1" applyFont="1" applyBorder="1"/>
    <xf numFmtId="5" fontId="33" fillId="0" borderId="0" xfId="9" applyNumberFormat="1" applyFont="1" applyBorder="1"/>
    <xf numFmtId="5" fontId="33" fillId="0" borderId="0" xfId="0" applyNumberFormat="1" applyFont="1"/>
    <xf numFmtId="0" fontId="35" fillId="16" borderId="0" xfId="0" applyFont="1" applyFill="1"/>
    <xf numFmtId="5" fontId="33" fillId="16" borderId="39" xfId="0" applyNumberFormat="1" applyFont="1" applyFill="1" applyBorder="1"/>
    <xf numFmtId="5" fontId="33" fillId="16" borderId="0" xfId="0" applyNumberFormat="1" applyFont="1" applyFill="1"/>
    <xf numFmtId="0" fontId="33" fillId="0" borderId="39" xfId="0" applyFont="1" applyBorder="1"/>
    <xf numFmtId="5" fontId="33" fillId="0" borderId="39" xfId="9" applyNumberFormat="1" applyFont="1" applyBorder="1"/>
    <xf numFmtId="5" fontId="33" fillId="0" borderId="0" xfId="9" applyNumberFormat="1" applyFont="1"/>
    <xf numFmtId="5" fontId="33" fillId="0" borderId="48" xfId="9" applyNumberFormat="1" applyFont="1" applyBorder="1"/>
    <xf numFmtId="5" fontId="33" fillId="0" borderId="20" xfId="9" applyNumberFormat="1" applyFont="1" applyBorder="1"/>
    <xf numFmtId="5" fontId="33" fillId="0" borderId="48" xfId="0" applyNumberFormat="1" applyFont="1" applyBorder="1"/>
    <xf numFmtId="5" fontId="32" fillId="0" borderId="39" xfId="0" applyNumberFormat="1" applyFont="1" applyBorder="1"/>
    <xf numFmtId="5" fontId="32" fillId="0" borderId="0" xfId="0" applyNumberFormat="1" applyFont="1"/>
    <xf numFmtId="5" fontId="33" fillId="0" borderId="20" xfId="0" applyNumberFormat="1" applyFont="1" applyBorder="1"/>
    <xf numFmtId="5" fontId="32" fillId="0" borderId="49" xfId="0" applyNumberFormat="1" applyFont="1" applyBorder="1"/>
    <xf numFmtId="5" fontId="0" fillId="0" borderId="0" xfId="0" applyNumberFormat="1"/>
    <xf numFmtId="166" fontId="1" fillId="0" borderId="0" xfId="1" applyNumberFormat="1" applyFont="1"/>
    <xf numFmtId="166" fontId="1" fillId="0" borderId="20" xfId="1" applyNumberFormat="1" applyFont="1" applyBorder="1"/>
    <xf numFmtId="3" fontId="27" fillId="0" borderId="20" xfId="8" applyNumberFormat="1" applyFont="1" applyFill="1" applyBorder="1"/>
    <xf numFmtId="0" fontId="0" fillId="0" borderId="0" xfId="0" applyAlignment="1">
      <alignment horizontal="center" wrapText="1"/>
    </xf>
    <xf numFmtId="0" fontId="0" fillId="0" borderId="20" xfId="0" applyBorder="1" applyAlignment="1">
      <alignment horizontal="center" wrapText="1"/>
    </xf>
    <xf numFmtId="0" fontId="16" fillId="8" borderId="0" xfId="3"/>
    <xf numFmtId="166" fontId="0" fillId="0" borderId="21" xfId="1" applyNumberFormat="1" applyFont="1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66" fontId="0" fillId="0" borderId="27" xfId="1" applyNumberFormat="1" applyFont="1" applyBorder="1"/>
    <xf numFmtId="166" fontId="16" fillId="8" borderId="27" xfId="3" applyNumberFormat="1" applyBorder="1"/>
    <xf numFmtId="0" fontId="16" fillId="8" borderId="0" xfId="3" applyBorder="1"/>
    <xf numFmtId="0" fontId="16" fillId="8" borderId="28" xfId="3" applyBorder="1"/>
    <xf numFmtId="166" fontId="0" fillId="0" borderId="30" xfId="1" applyNumberFormat="1" applyFont="1" applyBorder="1"/>
    <xf numFmtId="10" fontId="17" fillId="0" borderId="0" xfId="2" applyNumberFormat="1" applyFont="1" applyBorder="1" applyAlignment="1">
      <alignment horizontal="center"/>
    </xf>
    <xf numFmtId="0" fontId="0" fillId="16" borderId="24" xfId="0" applyFill="1" applyBorder="1"/>
    <xf numFmtId="0" fontId="0" fillId="16" borderId="25" xfId="0" applyFill="1" applyBorder="1"/>
    <xf numFmtId="3" fontId="1" fillId="16" borderId="25" xfId="0" applyNumberFormat="1" applyFont="1" applyFill="1" applyBorder="1" applyAlignment="1">
      <alignment horizontal="center"/>
    </xf>
    <xf numFmtId="3" fontId="1" fillId="16" borderId="25" xfId="0" applyNumberFormat="1" applyFont="1" applyFill="1" applyBorder="1"/>
    <xf numFmtId="3" fontId="1" fillId="16" borderId="26" xfId="0" applyNumberFormat="1" applyFont="1" applyFill="1" applyBorder="1"/>
    <xf numFmtId="0" fontId="15" fillId="16" borderId="30" xfId="0" applyFont="1" applyFill="1" applyBorder="1" applyAlignment="1">
      <alignment horizontal="center"/>
    </xf>
    <xf numFmtId="0" fontId="15" fillId="16" borderId="20" xfId="0" applyFont="1" applyFill="1" applyBorder="1" applyAlignment="1">
      <alignment horizontal="center"/>
    </xf>
    <xf numFmtId="0" fontId="1" fillId="16" borderId="20" xfId="0" applyFont="1" applyFill="1" applyBorder="1" applyAlignment="1">
      <alignment horizontal="center"/>
    </xf>
    <xf numFmtId="3" fontId="1" fillId="16" borderId="20" xfId="0" applyNumberFormat="1" applyFont="1" applyFill="1" applyBorder="1" applyAlignment="1">
      <alignment horizontal="center" wrapText="1"/>
    </xf>
    <xf numFmtId="1" fontId="1" fillId="16" borderId="20" xfId="0" applyNumberFormat="1" applyFont="1" applyFill="1" applyBorder="1" applyAlignment="1">
      <alignment horizontal="center" wrapText="1"/>
    </xf>
    <xf numFmtId="1" fontId="1" fillId="16" borderId="20" xfId="0" applyNumberFormat="1" applyFont="1" applyFill="1" applyBorder="1" applyAlignment="1">
      <alignment horizontal="center"/>
    </xf>
    <xf numFmtId="3" fontId="1" fillId="16" borderId="20" xfId="0" applyNumberFormat="1" applyFont="1" applyFill="1" applyBorder="1" applyAlignment="1">
      <alignment horizontal="center"/>
    </xf>
    <xf numFmtId="3" fontId="1" fillId="16" borderId="29" xfId="0" applyNumberFormat="1" applyFont="1" applyFill="1" applyBorder="1" applyAlignment="1">
      <alignment horizontal="center"/>
    </xf>
    <xf numFmtId="0" fontId="1" fillId="16" borderId="24" xfId="0" applyFont="1" applyFill="1" applyBorder="1"/>
    <xf numFmtId="0" fontId="1" fillId="16" borderId="25" xfId="0" applyFont="1" applyFill="1" applyBorder="1"/>
    <xf numFmtId="3" fontId="27" fillId="16" borderId="25" xfId="0" applyNumberFormat="1" applyFont="1" applyFill="1" applyBorder="1"/>
    <xf numFmtId="167" fontId="1" fillId="16" borderId="26" xfId="2" applyNumberFormat="1" applyFont="1" applyFill="1" applyBorder="1" applyAlignment="1">
      <alignment horizontal="right" indent="2"/>
    </xf>
    <xf numFmtId="0" fontId="1" fillId="16" borderId="27" xfId="0" applyFont="1" applyFill="1" applyBorder="1"/>
    <xf numFmtId="0" fontId="1" fillId="16" borderId="0" xfId="0" applyFont="1" applyFill="1"/>
    <xf numFmtId="3" fontId="27" fillId="16" borderId="0" xfId="3" applyNumberFormat="1" applyFont="1" applyFill="1" applyBorder="1"/>
    <xf numFmtId="3" fontId="27" fillId="16" borderId="0" xfId="8" applyNumberFormat="1" applyFont="1" applyFill="1" applyBorder="1"/>
    <xf numFmtId="167" fontId="1" fillId="16" borderId="28" xfId="2" applyNumberFormat="1" applyFont="1" applyFill="1" applyBorder="1" applyAlignment="1">
      <alignment horizontal="right" indent="2"/>
    </xf>
    <xf numFmtId="3" fontId="27" fillId="16" borderId="0" xfId="0" applyNumberFormat="1" applyFont="1" applyFill="1"/>
    <xf numFmtId="0" fontId="0" fillId="16" borderId="27" xfId="0" applyFill="1" applyBorder="1"/>
    <xf numFmtId="3" fontId="9" fillId="16" borderId="0" xfId="0" applyNumberFormat="1" applyFont="1" applyFill="1" applyAlignment="1">
      <alignment horizontal="right"/>
    </xf>
    <xf numFmtId="1" fontId="1" fillId="16" borderId="0" xfId="0" applyNumberFormat="1" applyFont="1" applyFill="1"/>
    <xf numFmtId="3" fontId="1" fillId="16" borderId="20" xfId="0" applyNumberFormat="1" applyFont="1" applyFill="1" applyBorder="1"/>
    <xf numFmtId="167" fontId="1" fillId="16" borderId="29" xfId="2" applyNumberFormat="1" applyFont="1" applyFill="1" applyBorder="1" applyAlignment="1">
      <alignment horizontal="right" indent="2"/>
    </xf>
    <xf numFmtId="167" fontId="1" fillId="16" borderId="28" xfId="0" applyNumberFormat="1" applyFont="1" applyFill="1" applyBorder="1" applyAlignment="1">
      <alignment horizontal="right" indent="2"/>
    </xf>
    <xf numFmtId="3" fontId="1" fillId="16" borderId="1" xfId="0" applyNumberFormat="1" applyFont="1" applyFill="1" applyBorder="1"/>
    <xf numFmtId="0" fontId="0" fillId="16" borderId="30" xfId="0" applyFill="1" applyBorder="1"/>
    <xf numFmtId="0" fontId="0" fillId="16" borderId="20" xfId="0" applyFill="1" applyBorder="1"/>
    <xf numFmtId="3" fontId="1" fillId="16" borderId="20" xfId="0" applyNumberFormat="1" applyFont="1" applyFill="1" applyBorder="1" applyAlignment="1">
      <alignment horizontal="right" indent="3"/>
    </xf>
    <xf numFmtId="38" fontId="1" fillId="16" borderId="25" xfId="0" applyNumberFormat="1" applyFont="1" applyFill="1" applyBorder="1" applyAlignment="1">
      <alignment horizontal="right" indent="2"/>
    </xf>
    <xf numFmtId="38" fontId="1" fillId="16" borderId="0" xfId="0" applyNumberFormat="1" applyFont="1" applyFill="1" applyAlignment="1">
      <alignment horizontal="right" indent="2"/>
    </xf>
    <xf numFmtId="38" fontId="1" fillId="16" borderId="20" xfId="0" applyNumberFormat="1" applyFont="1" applyFill="1" applyBorder="1" applyAlignment="1">
      <alignment horizontal="right" indent="2"/>
    </xf>
    <xf numFmtId="38" fontId="1" fillId="16" borderId="1" xfId="0" applyNumberFormat="1" applyFont="1" applyFill="1" applyBorder="1" applyAlignment="1">
      <alignment horizontal="right" indent="2"/>
    </xf>
    <xf numFmtId="3" fontId="1" fillId="16" borderId="29" xfId="0" applyNumberFormat="1" applyFont="1" applyFill="1" applyBorder="1" applyAlignment="1">
      <alignment horizontal="right"/>
    </xf>
    <xf numFmtId="167" fontId="1" fillId="0" borderId="0" xfId="2" applyNumberFormat="1" applyFont="1" applyBorder="1" applyAlignment="1">
      <alignment horizontal="center"/>
    </xf>
    <xf numFmtId="165" fontId="0" fillId="0" borderId="0" xfId="9" applyNumberFormat="1" applyFont="1"/>
    <xf numFmtId="49" fontId="2" fillId="0" borderId="22" xfId="0" applyNumberFormat="1" applyFont="1" applyBorder="1" applyAlignment="1">
      <alignment horizontal="center"/>
    </xf>
    <xf numFmtId="0" fontId="0" fillId="0" borderId="0" xfId="1" applyNumberFormat="1" applyFont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1" applyNumberFormat="1" applyFont="1" applyBorder="1" applyAlignment="1">
      <alignment horizontal="center"/>
    </xf>
    <xf numFmtId="166" fontId="0" fillId="0" borderId="0" xfId="1" applyNumberFormat="1" applyFont="1" applyBorder="1"/>
    <xf numFmtId="0" fontId="0" fillId="0" borderId="0" xfId="0" quotePrefix="1"/>
    <xf numFmtId="49" fontId="2" fillId="0" borderId="30" xfId="0" applyNumberFormat="1" applyFont="1" applyBorder="1" applyAlignment="1">
      <alignment horizontal="center"/>
    </xf>
    <xf numFmtId="38" fontId="2" fillId="0" borderId="20" xfId="1" applyNumberFormat="1" applyFont="1" applyFill="1" applyBorder="1" applyAlignment="1">
      <alignment horizontal="center"/>
    </xf>
    <xf numFmtId="10" fontId="2" fillId="0" borderId="27" xfId="2" applyNumberFormat="1" applyFont="1" applyFill="1" applyBorder="1"/>
    <xf numFmtId="38" fontId="2" fillId="0" borderId="0" xfId="1" applyNumberFormat="1" applyFont="1" applyFill="1" applyBorder="1"/>
    <xf numFmtId="10" fontId="1" fillId="0" borderId="0" xfId="2" applyNumberFormat="1" applyFont="1" applyFill="1" applyBorder="1"/>
    <xf numFmtId="10" fontId="1" fillId="0" borderId="20" xfId="2" applyNumberFormat="1" applyFont="1" applyFill="1" applyBorder="1"/>
    <xf numFmtId="49" fontId="1" fillId="0" borderId="21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/>
    </xf>
    <xf numFmtId="0" fontId="8" fillId="0" borderId="0" xfId="0" applyFont="1" applyAlignment="1">
      <alignment horizontal="left" vertical="top"/>
    </xf>
    <xf numFmtId="0" fontId="0" fillId="0" borderId="0" xfId="0"/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top"/>
    </xf>
    <xf numFmtId="0" fontId="9" fillId="0" borderId="0" xfId="0" applyFont="1"/>
    <xf numFmtId="0" fontId="12" fillId="0" borderId="5" xfId="0" applyFont="1" applyBorder="1"/>
    <xf numFmtId="0" fontId="11" fillId="0" borderId="12" xfId="0" applyFont="1" applyBorder="1"/>
    <xf numFmtId="0" fontId="7" fillId="0" borderId="0" xfId="0" applyFont="1" applyAlignment="1">
      <alignment vertical="top"/>
    </xf>
    <xf numFmtId="0" fontId="11" fillId="0" borderId="10" xfId="0" applyFont="1" applyBorder="1"/>
    <xf numFmtId="0" fontId="12" fillId="0" borderId="11" xfId="0" applyFont="1" applyBorder="1"/>
    <xf numFmtId="0" fontId="11" fillId="0" borderId="3" xfId="0" applyFont="1" applyBorder="1"/>
    <xf numFmtId="0" fontId="12" fillId="0" borderId="3" xfId="0" applyFont="1" applyBorder="1"/>
    <xf numFmtId="0" fontId="10" fillId="0" borderId="0" xfId="0" applyFont="1" applyAlignment="1">
      <alignment horizontal="left"/>
    </xf>
    <xf numFmtId="0" fontId="11" fillId="3" borderId="2" xfId="0" applyFont="1" applyFill="1" applyBorder="1"/>
    <xf numFmtId="0" fontId="12" fillId="0" borderId="4" xfId="0" applyFont="1" applyBorder="1"/>
    <xf numFmtId="0" fontId="11" fillId="0" borderId="0" xfId="0" applyFont="1"/>
    <xf numFmtId="0" fontId="11" fillId="0" borderId="2" xfId="0" applyFont="1" applyBorder="1"/>
    <xf numFmtId="38" fontId="1" fillId="16" borderId="0" xfId="1" applyNumberFormat="1" applyFont="1" applyFill="1" applyBorder="1"/>
    <xf numFmtId="3" fontId="1" fillId="16" borderId="0" xfId="0" applyNumberFormat="1" applyFont="1" applyFill="1" applyBorder="1"/>
    <xf numFmtId="10" fontId="1" fillId="16" borderId="27" xfId="2" applyNumberFormat="1" applyFont="1" applyFill="1" applyBorder="1"/>
    <xf numFmtId="10" fontId="1" fillId="16" borderId="30" xfId="2" applyNumberFormat="1" applyFont="1" applyFill="1" applyBorder="1"/>
    <xf numFmtId="38" fontId="1" fillId="16" borderId="20" xfId="1" applyNumberFormat="1" applyFont="1" applyFill="1" applyBorder="1"/>
    <xf numFmtId="3" fontId="1" fillId="16" borderId="34" xfId="0" applyNumberFormat="1" applyFont="1" applyFill="1" applyBorder="1"/>
    <xf numFmtId="166" fontId="1" fillId="16" borderId="32" xfId="1" applyNumberFormat="1" applyFont="1" applyFill="1" applyBorder="1"/>
    <xf numFmtId="3" fontId="28" fillId="16" borderId="0" xfId="10" applyNumberFormat="1" applyFill="1" applyBorder="1"/>
    <xf numFmtId="3" fontId="28" fillId="16" borderId="28" xfId="10" applyNumberFormat="1" applyFill="1" applyBorder="1"/>
    <xf numFmtId="3" fontId="2" fillId="16" borderId="27" xfId="0" applyNumberFormat="1" applyFont="1" applyFill="1" applyBorder="1"/>
    <xf numFmtId="3" fontId="2" fillId="16" borderId="0" xfId="0" applyNumberFormat="1" applyFont="1" applyFill="1" applyBorder="1"/>
    <xf numFmtId="3" fontId="24" fillId="16" borderId="28" xfId="8" applyNumberFormat="1" applyFill="1" applyBorder="1"/>
    <xf numFmtId="0" fontId="1" fillId="16" borderId="30" xfId="0" applyFont="1" applyFill="1" applyBorder="1"/>
    <xf numFmtId="3" fontId="1" fillId="16" borderId="29" xfId="0" applyNumberFormat="1" applyFont="1" applyFill="1" applyBorder="1"/>
    <xf numFmtId="49" fontId="23" fillId="16" borderId="21" xfId="0" applyNumberFormat="1" applyFont="1" applyFill="1" applyBorder="1" applyAlignment="1">
      <alignment horizontal="center"/>
    </xf>
    <xf numFmtId="49" fontId="2" fillId="16" borderId="21" xfId="0" applyNumberFormat="1" applyFont="1" applyFill="1" applyBorder="1" applyAlignment="1">
      <alignment horizontal="center"/>
    </xf>
    <xf numFmtId="38" fontId="2" fillId="16" borderId="22" xfId="1" applyNumberFormat="1" applyFont="1" applyFill="1" applyBorder="1" applyAlignment="1">
      <alignment horizontal="center"/>
    </xf>
    <xf numFmtId="49" fontId="23" fillId="16" borderId="22" xfId="0" applyNumberFormat="1" applyFont="1" applyFill="1" applyBorder="1" applyAlignment="1">
      <alignment horizontal="center"/>
    </xf>
    <xf numFmtId="49" fontId="23" fillId="16" borderId="23" xfId="0" applyNumberFormat="1" applyFont="1" applyFill="1" applyBorder="1" applyAlignment="1">
      <alignment horizontal="center"/>
    </xf>
    <xf numFmtId="0" fontId="38" fillId="16" borderId="27" xfId="0" applyFont="1" applyFill="1" applyBorder="1"/>
    <xf numFmtId="0" fontId="1" fillId="16" borderId="27" xfId="0" applyFont="1" applyFill="1" applyBorder="1" applyAlignment="1">
      <alignment horizontal="left" indent="1"/>
    </xf>
    <xf numFmtId="0" fontId="36" fillId="16" borderId="0" xfId="0" applyFont="1" applyFill="1" applyAlignment="1">
      <alignment vertical="center"/>
    </xf>
    <xf numFmtId="0" fontId="37" fillId="16" borderId="20" xfId="0" applyFont="1" applyFill="1" applyBorder="1" applyAlignment="1">
      <alignment vertical="center"/>
    </xf>
    <xf numFmtId="49" fontId="2" fillId="16" borderId="22" xfId="0" applyNumberFormat="1" applyFont="1" applyFill="1" applyBorder="1" applyAlignment="1">
      <alignment horizontal="center"/>
    </xf>
    <xf numFmtId="4" fontId="0" fillId="0" borderId="0" xfId="0" applyNumberFormat="1"/>
  </cellXfs>
  <cellStyles count="11">
    <cellStyle name="Accent2" xfId="4" builtinId="33"/>
    <cellStyle name="Accent4" xfId="5" builtinId="41"/>
    <cellStyle name="Accent5" xfId="6" builtinId="45"/>
    <cellStyle name="Accent6" xfId="7" builtinId="49"/>
    <cellStyle name="Bad" xfId="3" builtinId="27"/>
    <cellStyle name="Comma" xfId="1" builtinId="3"/>
    <cellStyle name="Currency" xfId="9" builtinId="4"/>
    <cellStyle name="Good" xfId="8" builtinId="26"/>
    <cellStyle name="Neutral" xfId="10" builtinId="28"/>
    <cellStyle name="Normal" xfId="0" builtinId="0"/>
    <cellStyle name="Percent" xfId="2" builtinId="5"/>
  </cellStyles>
  <dxfs count="8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n-US" b="0">
                <a:solidFill>
                  <a:srgbClr val="757575"/>
                </a:solidFill>
                <a:latin typeface="+mn-lt"/>
              </a:rPr>
              <a:t>Total GF Revenue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'FY2026-FY2015'!$C$5</c:f>
              <c:strCache>
                <c:ptCount val="1"/>
                <c:pt idx="0">
                  <c:v>Local Sources</c:v>
                </c:pt>
              </c:strCache>
            </c:strRef>
          </c:tx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('FY2026-FY2015'!$J$3,'FY2026-FY2015'!$N$3:$V$3)</c:f>
              <c:strCache>
                <c:ptCount val="9"/>
                <c:pt idx="0">
                  <c:v>2024</c:v>
                </c:pt>
                <c:pt idx="1">
                  <c:v>2023</c:v>
                </c:pt>
                <c:pt idx="2">
                  <c:v>2022</c:v>
                </c:pt>
                <c:pt idx="3">
                  <c:v>2021</c:v>
                </c:pt>
                <c:pt idx="4">
                  <c:v>2020</c:v>
                </c:pt>
                <c:pt idx="5">
                  <c:v>2019</c:v>
                </c:pt>
                <c:pt idx="6">
                  <c:v>2018</c:v>
                </c:pt>
                <c:pt idx="7">
                  <c:v>2017</c:v>
                </c:pt>
                <c:pt idx="8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'FY2026-FY2015'!$E$5:$W$5</c15:sqref>
                  </c15:fullRef>
                </c:ext>
              </c:extLst>
              <c:f>('FY2026-FY2015'!$J$5,'FY2026-FY2015'!$N$5:$V$5)</c:f>
              <c:numCache>
                <c:formatCode>#,##0</c:formatCode>
                <c:ptCount val="9"/>
                <c:pt idx="0">
                  <c:v>731835</c:v>
                </c:pt>
                <c:pt idx="1">
                  <c:v>755952</c:v>
                </c:pt>
                <c:pt idx="2">
                  <c:v>582494</c:v>
                </c:pt>
                <c:pt idx="3">
                  <c:v>46991384</c:v>
                </c:pt>
                <c:pt idx="4">
                  <c:v>41543182</c:v>
                </c:pt>
                <c:pt idx="5">
                  <c:v>41248262</c:v>
                </c:pt>
                <c:pt idx="6">
                  <c:v>39206004</c:v>
                </c:pt>
                <c:pt idx="7">
                  <c:v>37219831</c:v>
                </c:pt>
                <c:pt idx="8">
                  <c:v>37355817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030-4D10-AAAF-0AC3073B6CB4}"/>
            </c:ext>
          </c:extLst>
        </c:ser>
        <c:ser>
          <c:idx val="1"/>
          <c:order val="1"/>
          <c:tx>
            <c:strRef>
              <c:f>'FY2026-FY2015'!$C$6</c:f>
              <c:strCache>
                <c:ptCount val="1"/>
                <c:pt idx="0">
                  <c:v>State Sources</c:v>
                </c:pt>
              </c:strCache>
            </c:strRef>
          </c:tx>
          <c:spPr>
            <a:solidFill>
              <a:srgbClr val="7AD693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('FY2026-FY2015'!$J$3,'FY2026-FY2015'!$N$3:$V$3)</c:f>
              <c:strCache>
                <c:ptCount val="9"/>
                <c:pt idx="0">
                  <c:v>2024</c:v>
                </c:pt>
                <c:pt idx="1">
                  <c:v>2023</c:v>
                </c:pt>
                <c:pt idx="2">
                  <c:v>2022</c:v>
                </c:pt>
                <c:pt idx="3">
                  <c:v>2021</c:v>
                </c:pt>
                <c:pt idx="4">
                  <c:v>2020</c:v>
                </c:pt>
                <c:pt idx="5">
                  <c:v>2019</c:v>
                </c:pt>
                <c:pt idx="6">
                  <c:v>2018</c:v>
                </c:pt>
                <c:pt idx="7">
                  <c:v>2017</c:v>
                </c:pt>
                <c:pt idx="8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'FY2026-FY2015'!$E$6:$W$6</c15:sqref>
                  </c15:fullRef>
                </c:ext>
              </c:extLst>
              <c:f>('FY2026-FY2015'!$J$6,'FY2026-FY2015'!$N$6:$V$6)</c:f>
              <c:numCache>
                <c:formatCode>#,##0</c:formatCode>
                <c:ptCount val="9"/>
                <c:pt idx="0">
                  <c:v>57690410</c:v>
                </c:pt>
                <c:pt idx="1">
                  <c:v>54492791</c:v>
                </c:pt>
                <c:pt idx="2">
                  <c:v>58888252</c:v>
                </c:pt>
                <c:pt idx="3">
                  <c:v>7930203</c:v>
                </c:pt>
                <c:pt idx="4">
                  <c:v>11721372</c:v>
                </c:pt>
                <c:pt idx="5">
                  <c:v>12798551</c:v>
                </c:pt>
                <c:pt idx="6">
                  <c:v>13802093</c:v>
                </c:pt>
                <c:pt idx="7">
                  <c:v>13456581</c:v>
                </c:pt>
                <c:pt idx="8">
                  <c:v>13518543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3030-4D10-AAAF-0AC3073B6CB4}"/>
            </c:ext>
          </c:extLst>
        </c:ser>
        <c:ser>
          <c:idx val="2"/>
          <c:order val="2"/>
          <c:tx>
            <c:strRef>
              <c:f>'FY2026-FY2015'!$C$7</c:f>
              <c:strCache>
                <c:ptCount val="1"/>
                <c:pt idx="0">
                  <c:v>Federal Sources</c:v>
                </c:pt>
              </c:strCache>
            </c:strRef>
          </c:tx>
          <c:spPr>
            <a:solidFill>
              <a:srgbClr val="FBBC04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('FY2026-FY2015'!$J$3,'FY2026-FY2015'!$N$3:$V$3)</c:f>
              <c:strCache>
                <c:ptCount val="9"/>
                <c:pt idx="0">
                  <c:v>2024</c:v>
                </c:pt>
                <c:pt idx="1">
                  <c:v>2023</c:v>
                </c:pt>
                <c:pt idx="2">
                  <c:v>2022</c:v>
                </c:pt>
                <c:pt idx="3">
                  <c:v>2021</c:v>
                </c:pt>
                <c:pt idx="4">
                  <c:v>2020</c:v>
                </c:pt>
                <c:pt idx="5">
                  <c:v>2019</c:v>
                </c:pt>
                <c:pt idx="6">
                  <c:v>2018</c:v>
                </c:pt>
                <c:pt idx="7">
                  <c:v>2017</c:v>
                </c:pt>
                <c:pt idx="8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'FY2026-FY2015'!$E$7:$W$7</c15:sqref>
                  </c15:fullRef>
                </c:ext>
              </c:extLst>
              <c:f>('FY2026-FY2015'!$J$7,'FY2026-FY2015'!$N$7:$V$7)</c:f>
              <c:numCache>
                <c:formatCode>#,##0</c:formatCode>
                <c:ptCount val="9"/>
                <c:pt idx="4">
                  <c:v>20416</c:v>
                </c:pt>
                <c:pt idx="5">
                  <c:v>0</c:v>
                </c:pt>
                <c:pt idx="6">
                  <c:v>0</c:v>
                </c:pt>
                <c:pt idx="7">
                  <c:v>29015</c:v>
                </c:pt>
                <c:pt idx="8">
                  <c:v>43384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3030-4D10-AAAF-0AC3073B6CB4}"/>
            </c:ext>
          </c:extLst>
        </c:ser>
        <c:ser>
          <c:idx val="3"/>
          <c:order val="3"/>
          <c:tx>
            <c:strRef>
              <c:f>'FY2026-FY2015'!$C$8</c:f>
              <c:strCache>
                <c:ptCount val="1"/>
                <c:pt idx="0">
                  <c:v>Other Sources</c:v>
                </c:pt>
              </c:strCache>
            </c:strRef>
          </c:tx>
          <c:spPr>
            <a:solidFill>
              <a:srgbClr val="34A853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('FY2026-FY2015'!$J$3,'FY2026-FY2015'!$N$3:$V$3)</c:f>
              <c:strCache>
                <c:ptCount val="9"/>
                <c:pt idx="0">
                  <c:v>2024</c:v>
                </c:pt>
                <c:pt idx="1">
                  <c:v>2023</c:v>
                </c:pt>
                <c:pt idx="2">
                  <c:v>2022</c:v>
                </c:pt>
                <c:pt idx="3">
                  <c:v>2021</c:v>
                </c:pt>
                <c:pt idx="4">
                  <c:v>2020</c:v>
                </c:pt>
                <c:pt idx="5">
                  <c:v>2019</c:v>
                </c:pt>
                <c:pt idx="6">
                  <c:v>2018</c:v>
                </c:pt>
                <c:pt idx="7">
                  <c:v>2017</c:v>
                </c:pt>
                <c:pt idx="8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'FY2026-FY2015'!$E$8:$W$8</c15:sqref>
                  </c15:fullRef>
                </c:ext>
              </c:extLst>
              <c:f>('FY2026-FY2015'!$J$8,'FY2026-FY2015'!$N$8:$V$8)</c:f>
              <c:numCache>
                <c:formatCode>#,##0</c:formatCode>
                <c:ptCount val="9"/>
                <c:pt idx="0">
                  <c:v>-18218</c:v>
                </c:pt>
                <c:pt idx="1">
                  <c:v>38001</c:v>
                </c:pt>
                <c:pt idx="2">
                  <c:v>23781</c:v>
                </c:pt>
                <c:pt idx="3">
                  <c:v>90562</c:v>
                </c:pt>
                <c:pt idx="4">
                  <c:v>15808</c:v>
                </c:pt>
                <c:pt idx="5">
                  <c:v>11403</c:v>
                </c:pt>
                <c:pt idx="6">
                  <c:v>18269</c:v>
                </c:pt>
                <c:pt idx="7">
                  <c:v>23475</c:v>
                </c:pt>
                <c:pt idx="8">
                  <c:v>-659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3030-4D10-AAAF-0AC3073B6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8509046"/>
        <c:axId val="1487132303"/>
      </c:barChart>
      <c:catAx>
        <c:axId val="388509046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 lvl="0">
              <a:defRPr sz="600" b="0" baseline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87132303"/>
        <c:crosses val="autoZero"/>
        <c:auto val="1"/>
        <c:lblAlgn val="ctr"/>
        <c:lblOffset val="100"/>
        <c:noMultiLvlLbl val="1"/>
      </c:catAx>
      <c:valAx>
        <c:axId val="1487132303"/>
        <c:scaling>
          <c:orientation val="minMax"/>
          <c:min val="0"/>
        </c:scaling>
        <c:delete val="0"/>
        <c:axPos val="r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#,##0" sourceLinked="1"/>
        <c:majorTickMark val="none"/>
        <c:minorTickMark val="none"/>
        <c:tickLblPos val="high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88509046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Instruction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'FY2026-FY2015'!$C$12</c:f>
              <c:strCache>
                <c:ptCount val="1"/>
                <c:pt idx="0">
                  <c:v>Regular Programs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'FY2026-FY2015'!$E$3:$W$3</c:f>
              <c:strCache>
                <c:ptCount val="12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  <c:pt idx="11">
                  <c:v>2015</c:v>
                </c:pt>
              </c:strCache>
            </c:strRef>
          </c:cat>
          <c:val>
            <c:numRef>
              <c:f>'FY2026-FY2015'!$E$12:$W$12</c:f>
              <c:numCache>
                <c:formatCode>#,##0</c:formatCode>
                <c:ptCount val="12"/>
                <c:pt idx="0">
                  <c:v>25749569</c:v>
                </c:pt>
                <c:pt idx="1">
                  <c:v>26091473</c:v>
                </c:pt>
                <c:pt idx="2">
                  <c:v>26367255</c:v>
                </c:pt>
                <c:pt idx="3">
                  <c:v>23731546</c:v>
                </c:pt>
                <c:pt idx="4">
                  <c:v>24043897</c:v>
                </c:pt>
                <c:pt idx="5">
                  <c:v>23770863</c:v>
                </c:pt>
                <c:pt idx="6">
                  <c:v>23940497</c:v>
                </c:pt>
                <c:pt idx="7">
                  <c:v>23181589</c:v>
                </c:pt>
                <c:pt idx="8">
                  <c:v>23223660</c:v>
                </c:pt>
                <c:pt idx="9">
                  <c:v>22003433</c:v>
                </c:pt>
                <c:pt idx="10">
                  <c:v>22298368</c:v>
                </c:pt>
                <c:pt idx="11">
                  <c:v>21832519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82-4059-A7AB-90F33BB47F0A}"/>
            </c:ext>
          </c:extLst>
        </c:ser>
        <c:ser>
          <c:idx val="1"/>
          <c:order val="1"/>
          <c:tx>
            <c:strRef>
              <c:f>'FY2026-FY2015'!$C$13</c:f>
              <c:strCache>
                <c:ptCount val="1"/>
                <c:pt idx="0">
                  <c:v>Special Programs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'FY2026-FY2015'!$E$3:$W$3</c:f>
              <c:strCache>
                <c:ptCount val="12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  <c:pt idx="11">
                  <c:v>2015</c:v>
                </c:pt>
              </c:strCache>
            </c:strRef>
          </c:cat>
          <c:val>
            <c:numRef>
              <c:f>'FY2026-FY2015'!$E$13:$W$13</c:f>
              <c:numCache>
                <c:formatCode>#,##0</c:formatCode>
                <c:ptCount val="12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3610338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82-4059-A7AB-90F33BB47F0A}"/>
            </c:ext>
          </c:extLst>
        </c:ser>
        <c:ser>
          <c:idx val="2"/>
          <c:order val="2"/>
          <c:tx>
            <c:strRef>
              <c:f>'FY2026-FY2015'!$C$14</c:f>
              <c:strCache>
                <c:ptCount val="1"/>
                <c:pt idx="0">
                  <c:v>Vocational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'FY2026-FY2015'!$E$3:$W$3</c:f>
              <c:strCache>
                <c:ptCount val="12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  <c:pt idx="11">
                  <c:v>2015</c:v>
                </c:pt>
              </c:strCache>
            </c:strRef>
          </c:cat>
          <c:val>
            <c:numRef>
              <c:f>'FY2026-FY2015'!$E$14:$W$14</c:f>
              <c:numCache>
                <c:formatCode>#,##0</c:formatCode>
                <c:ptCount val="12"/>
                <c:pt idx="0">
                  <c:v>898299</c:v>
                </c:pt>
                <c:pt idx="1">
                  <c:v>847419</c:v>
                </c:pt>
                <c:pt idx="2">
                  <c:v>791444</c:v>
                </c:pt>
                <c:pt idx="3">
                  <c:v>665874</c:v>
                </c:pt>
                <c:pt idx="4">
                  <c:v>680474</c:v>
                </c:pt>
                <c:pt idx="5">
                  <c:v>848351</c:v>
                </c:pt>
                <c:pt idx="6">
                  <c:v>813805</c:v>
                </c:pt>
                <c:pt idx="7">
                  <c:v>817917</c:v>
                </c:pt>
                <c:pt idx="8">
                  <c:v>843819</c:v>
                </c:pt>
                <c:pt idx="9">
                  <c:v>843983</c:v>
                </c:pt>
                <c:pt idx="10">
                  <c:v>890201</c:v>
                </c:pt>
                <c:pt idx="11">
                  <c:v>697563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82-4059-A7AB-90F33BB47F0A}"/>
            </c:ext>
          </c:extLst>
        </c:ser>
        <c:ser>
          <c:idx val="3"/>
          <c:order val="3"/>
          <c:tx>
            <c:strRef>
              <c:f>'FY2026-FY2015'!$C$15</c:f>
              <c:strCache>
                <c:ptCount val="1"/>
                <c:pt idx="0">
                  <c:v>Adult Education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'FY2026-FY2015'!$E$3:$W$3</c:f>
              <c:strCache>
                <c:ptCount val="12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  <c:pt idx="11">
                  <c:v>2015</c:v>
                </c:pt>
              </c:strCache>
            </c:strRef>
          </c:cat>
          <c:val>
            <c:numRef>
              <c:f>'FY2026-FY2015'!$E$15:$W$15</c:f>
              <c:numCache>
                <c:formatCode>#,##0</c:formatCode>
                <c:ptCount val="12"/>
                <c:pt idx="1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82-4059-A7AB-90F33BB47F0A}"/>
            </c:ext>
          </c:extLst>
        </c:ser>
        <c:ser>
          <c:idx val="4"/>
          <c:order val="4"/>
          <c:tx>
            <c:strRef>
              <c:f>'FY2026-FY2015'!$C$16</c:f>
              <c:strCache>
                <c:ptCount val="1"/>
                <c:pt idx="0">
                  <c:v>Extra and Cocurricular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'FY2026-FY2015'!$E$3:$W$3</c:f>
              <c:strCache>
                <c:ptCount val="12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  <c:pt idx="11">
                  <c:v>2015</c:v>
                </c:pt>
              </c:strCache>
            </c:strRef>
          </c:cat>
          <c:val>
            <c:numRef>
              <c:f>'FY2026-FY2015'!$E$16:$W$16</c:f>
              <c:numCache>
                <c:formatCode>#,##0</c:formatCode>
                <c:ptCount val="12"/>
                <c:pt idx="0">
                  <c:v>652113</c:v>
                </c:pt>
                <c:pt idx="1">
                  <c:v>698159</c:v>
                </c:pt>
                <c:pt idx="2">
                  <c:v>647677</c:v>
                </c:pt>
                <c:pt idx="3">
                  <c:v>583832</c:v>
                </c:pt>
                <c:pt idx="4">
                  <c:v>540868</c:v>
                </c:pt>
                <c:pt idx="5">
                  <c:v>433684</c:v>
                </c:pt>
                <c:pt idx="6">
                  <c:v>528054</c:v>
                </c:pt>
                <c:pt idx="7">
                  <c:v>503532</c:v>
                </c:pt>
                <c:pt idx="8">
                  <c:v>529309</c:v>
                </c:pt>
                <c:pt idx="9">
                  <c:v>504412</c:v>
                </c:pt>
                <c:pt idx="10">
                  <c:v>499105</c:v>
                </c:pt>
                <c:pt idx="11">
                  <c:v>494989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82-4059-A7AB-90F33BB47F0A}"/>
            </c:ext>
          </c:extLst>
        </c:ser>
        <c:ser>
          <c:idx val="5"/>
          <c:order val="5"/>
          <c:tx>
            <c:strRef>
              <c:f>'FY2026-FY2015'!$C$17</c:f>
              <c:strCache>
                <c:ptCount val="1"/>
                <c:pt idx="0">
                  <c:v>Other Instructional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'FY2026-FY2015'!$E$3:$W$3</c:f>
              <c:strCache>
                <c:ptCount val="12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  <c:pt idx="11">
                  <c:v>2015</c:v>
                </c:pt>
              </c:strCache>
            </c:strRef>
          </c:cat>
          <c:val>
            <c:numRef>
              <c:f>'FY2026-FY2015'!$E$17:$W$17</c:f>
              <c:numCache>
                <c:formatCode>#,##0</c:formatCode>
                <c:ptCount val="12"/>
                <c:pt idx="0">
                  <c:v>1496377</c:v>
                </c:pt>
                <c:pt idx="1">
                  <c:v>1553052</c:v>
                </c:pt>
                <c:pt idx="2">
                  <c:v>1285598</c:v>
                </c:pt>
                <c:pt idx="3">
                  <c:v>1651616</c:v>
                </c:pt>
                <c:pt idx="4">
                  <c:v>1559521</c:v>
                </c:pt>
                <c:pt idx="5">
                  <c:v>1796188</c:v>
                </c:pt>
                <c:pt idx="6">
                  <c:v>1740005</c:v>
                </c:pt>
                <c:pt idx="7">
                  <c:v>1678720</c:v>
                </c:pt>
                <c:pt idx="8">
                  <c:v>1639952</c:v>
                </c:pt>
                <c:pt idx="9">
                  <c:v>1621300</c:v>
                </c:pt>
                <c:pt idx="10">
                  <c:v>1614534</c:v>
                </c:pt>
                <c:pt idx="11">
                  <c:v>1555271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382-4059-A7AB-90F33BB47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31436624"/>
        <c:axId val="831434824"/>
      </c:barChart>
      <c:catAx>
        <c:axId val="83143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1434824"/>
        <c:crosses val="autoZero"/>
        <c:auto val="1"/>
        <c:lblAlgn val="ctr"/>
        <c:lblOffset val="100"/>
        <c:noMultiLvlLbl val="0"/>
      </c:catAx>
      <c:valAx>
        <c:axId val="831434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1436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Support Services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'FY2026-FY2015'!$C$19</c:f>
              <c:strCache>
                <c:ptCount val="1"/>
                <c:pt idx="0">
                  <c:v>Student Support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'FY2026-FY2015'!$E$3:$W$3</c:f>
              <c:strCache>
                <c:ptCount val="12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  <c:pt idx="11">
                  <c:v>2015</c:v>
                </c:pt>
              </c:strCache>
            </c:strRef>
          </c:cat>
          <c:val>
            <c:numRef>
              <c:f>'FY2026-FY2015'!$E$19:$W$19</c:f>
              <c:numCache>
                <c:formatCode>#,##0</c:formatCode>
                <c:ptCount val="12"/>
                <c:pt idx="0">
                  <c:v>4081174</c:v>
                </c:pt>
                <c:pt idx="1">
                  <c:v>4290020</c:v>
                </c:pt>
                <c:pt idx="2">
                  <c:v>4068388</c:v>
                </c:pt>
                <c:pt idx="3">
                  <c:v>3243822</c:v>
                </c:pt>
                <c:pt idx="4">
                  <c:v>2938044</c:v>
                </c:pt>
                <c:pt idx="5">
                  <c:v>2713693</c:v>
                </c:pt>
                <c:pt idx="6">
                  <c:v>2650416</c:v>
                </c:pt>
                <c:pt idx="7">
                  <c:v>2552319</c:v>
                </c:pt>
                <c:pt idx="8">
                  <c:v>2515678</c:v>
                </c:pt>
                <c:pt idx="9">
                  <c:v>2425889</c:v>
                </c:pt>
                <c:pt idx="10">
                  <c:v>2411128</c:v>
                </c:pt>
                <c:pt idx="11">
                  <c:v>2353463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88-4546-A65B-B39F531429A7}"/>
            </c:ext>
          </c:extLst>
        </c:ser>
        <c:ser>
          <c:idx val="1"/>
          <c:order val="1"/>
          <c:tx>
            <c:strRef>
              <c:f>'FY2026-FY2015'!$C$20</c:f>
              <c:strCache>
                <c:ptCount val="1"/>
                <c:pt idx="0">
                  <c:v>Instructional Staff Support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'FY2026-FY2015'!$E$3:$W$3</c:f>
              <c:strCache>
                <c:ptCount val="12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  <c:pt idx="11">
                  <c:v>2015</c:v>
                </c:pt>
              </c:strCache>
            </c:strRef>
          </c:cat>
          <c:val>
            <c:numRef>
              <c:f>'FY2026-FY2015'!$E$20:$W$20</c:f>
              <c:numCache>
                <c:formatCode>#,##0</c:formatCode>
                <c:ptCount val="12"/>
                <c:pt idx="0">
                  <c:v>1472599</c:v>
                </c:pt>
                <c:pt idx="1">
                  <c:v>1393978</c:v>
                </c:pt>
                <c:pt idx="2">
                  <c:v>1363659</c:v>
                </c:pt>
                <c:pt idx="3">
                  <c:v>1260085</c:v>
                </c:pt>
                <c:pt idx="4">
                  <c:v>1151545</c:v>
                </c:pt>
                <c:pt idx="5">
                  <c:v>1218660</c:v>
                </c:pt>
                <c:pt idx="6">
                  <c:v>1195312</c:v>
                </c:pt>
                <c:pt idx="7">
                  <c:v>1222032</c:v>
                </c:pt>
                <c:pt idx="8">
                  <c:v>1186674</c:v>
                </c:pt>
                <c:pt idx="9">
                  <c:v>1110507</c:v>
                </c:pt>
                <c:pt idx="10">
                  <c:v>1083057</c:v>
                </c:pt>
                <c:pt idx="11">
                  <c:v>1170410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88-4546-A65B-B39F531429A7}"/>
            </c:ext>
          </c:extLst>
        </c:ser>
        <c:ser>
          <c:idx val="2"/>
          <c:order val="2"/>
          <c:tx>
            <c:strRef>
              <c:f>'FY2026-FY2015'!$C$21</c:f>
              <c:strCache>
                <c:ptCount val="1"/>
                <c:pt idx="0">
                  <c:v>General Admin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'FY2026-FY2015'!$E$3:$W$3</c:f>
              <c:strCache>
                <c:ptCount val="12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  <c:pt idx="11">
                  <c:v>2015</c:v>
                </c:pt>
              </c:strCache>
            </c:strRef>
          </c:cat>
          <c:val>
            <c:numRef>
              <c:f>'FY2026-FY2015'!$E$21:$W$21</c:f>
              <c:numCache>
                <c:formatCode>#,##0</c:formatCode>
                <c:ptCount val="12"/>
                <c:pt idx="0">
                  <c:v>1104258</c:v>
                </c:pt>
                <c:pt idx="1">
                  <c:v>1167701</c:v>
                </c:pt>
                <c:pt idx="2">
                  <c:v>1194283</c:v>
                </c:pt>
                <c:pt idx="3">
                  <c:v>839799</c:v>
                </c:pt>
                <c:pt idx="4">
                  <c:v>559549</c:v>
                </c:pt>
                <c:pt idx="5">
                  <c:v>520113</c:v>
                </c:pt>
                <c:pt idx="6">
                  <c:v>540943</c:v>
                </c:pt>
                <c:pt idx="7">
                  <c:v>494028</c:v>
                </c:pt>
                <c:pt idx="8">
                  <c:v>620788</c:v>
                </c:pt>
                <c:pt idx="9">
                  <c:v>508548</c:v>
                </c:pt>
                <c:pt idx="10">
                  <c:v>564339</c:v>
                </c:pt>
                <c:pt idx="11">
                  <c:v>601407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88-4546-A65B-B39F531429A7}"/>
            </c:ext>
          </c:extLst>
        </c:ser>
        <c:ser>
          <c:idx val="3"/>
          <c:order val="3"/>
          <c:tx>
            <c:strRef>
              <c:f>'FY2026-FY2015'!$C$22</c:f>
              <c:strCache>
                <c:ptCount val="1"/>
                <c:pt idx="0">
                  <c:v>School Admin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'FY2026-FY2015'!$E$3:$W$3</c:f>
              <c:strCache>
                <c:ptCount val="12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  <c:pt idx="11">
                  <c:v>2015</c:v>
                </c:pt>
              </c:strCache>
            </c:strRef>
          </c:cat>
          <c:val>
            <c:numRef>
              <c:f>'FY2026-FY2015'!$E$22:$W$22</c:f>
              <c:numCache>
                <c:formatCode>#,##0</c:formatCode>
                <c:ptCount val="12"/>
                <c:pt idx="0">
                  <c:v>5782358</c:v>
                </c:pt>
                <c:pt idx="1">
                  <c:v>5713320</c:v>
                </c:pt>
                <c:pt idx="2">
                  <c:v>5537265</c:v>
                </c:pt>
                <c:pt idx="3">
                  <c:v>4686654</c:v>
                </c:pt>
                <c:pt idx="4">
                  <c:v>4702143</c:v>
                </c:pt>
                <c:pt idx="5">
                  <c:v>4571372</c:v>
                </c:pt>
                <c:pt idx="6">
                  <c:v>4640348</c:v>
                </c:pt>
                <c:pt idx="7">
                  <c:v>4629819</c:v>
                </c:pt>
                <c:pt idx="8">
                  <c:v>4532689</c:v>
                </c:pt>
                <c:pt idx="9">
                  <c:v>4460265</c:v>
                </c:pt>
                <c:pt idx="10">
                  <c:v>4390233</c:v>
                </c:pt>
                <c:pt idx="11">
                  <c:v>4224923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C88-4546-A65B-B39F531429A7}"/>
            </c:ext>
          </c:extLst>
        </c:ser>
        <c:ser>
          <c:idx val="4"/>
          <c:order val="4"/>
          <c:tx>
            <c:strRef>
              <c:f>'FY2026-FY2015'!$C$23</c:f>
              <c:strCache>
                <c:ptCount val="1"/>
                <c:pt idx="0">
                  <c:v>Central Services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'FY2026-FY2015'!$E$3:$W$3</c:f>
              <c:strCache>
                <c:ptCount val="12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  <c:pt idx="11">
                  <c:v>2015</c:v>
                </c:pt>
              </c:strCache>
            </c:strRef>
          </c:cat>
          <c:val>
            <c:numRef>
              <c:f>'FY2026-FY2015'!$E$23:$W$23</c:f>
              <c:numCache>
                <c:formatCode>#,##0</c:formatCode>
                <c:ptCount val="12"/>
                <c:pt idx="0">
                  <c:v>2650472</c:v>
                </c:pt>
                <c:pt idx="1">
                  <c:v>2629933</c:v>
                </c:pt>
                <c:pt idx="2">
                  <c:v>2334015</c:v>
                </c:pt>
                <c:pt idx="3">
                  <c:v>2113268</c:v>
                </c:pt>
                <c:pt idx="4">
                  <c:v>2219839</c:v>
                </c:pt>
                <c:pt idx="5">
                  <c:v>1957897</c:v>
                </c:pt>
                <c:pt idx="6">
                  <c:v>1908362</c:v>
                </c:pt>
                <c:pt idx="7">
                  <c:v>1959263</c:v>
                </c:pt>
                <c:pt idx="8">
                  <c:v>1858376</c:v>
                </c:pt>
                <c:pt idx="9">
                  <c:v>2037145</c:v>
                </c:pt>
                <c:pt idx="10">
                  <c:v>2000349</c:v>
                </c:pt>
                <c:pt idx="11">
                  <c:v>1842395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C88-4546-A65B-B39F531429A7}"/>
            </c:ext>
          </c:extLst>
        </c:ser>
        <c:ser>
          <c:idx val="5"/>
          <c:order val="5"/>
          <c:tx>
            <c:strRef>
              <c:f>'FY2026-FY2015'!$C$24</c:f>
              <c:strCache>
                <c:ptCount val="1"/>
                <c:pt idx="0">
                  <c:v>Operations and Maintenance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'FY2026-FY2015'!$E$3:$W$3</c:f>
              <c:strCache>
                <c:ptCount val="12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  <c:pt idx="11">
                  <c:v>2015</c:v>
                </c:pt>
              </c:strCache>
            </c:strRef>
          </c:cat>
          <c:val>
            <c:numRef>
              <c:f>'FY2026-FY2015'!$E$24:$W$24</c:f>
              <c:numCache>
                <c:formatCode>#,##0</c:formatCode>
                <c:ptCount val="12"/>
                <c:pt idx="0">
                  <c:v>9219953</c:v>
                </c:pt>
                <c:pt idx="1">
                  <c:v>8578252</c:v>
                </c:pt>
                <c:pt idx="2">
                  <c:v>8988620</c:v>
                </c:pt>
                <c:pt idx="3">
                  <c:v>7933611</c:v>
                </c:pt>
                <c:pt idx="4">
                  <c:v>7404702</c:v>
                </c:pt>
                <c:pt idx="5">
                  <c:v>7096878</c:v>
                </c:pt>
                <c:pt idx="6">
                  <c:v>7277101</c:v>
                </c:pt>
                <c:pt idx="7">
                  <c:v>6967627</c:v>
                </c:pt>
                <c:pt idx="8">
                  <c:v>6903401</c:v>
                </c:pt>
                <c:pt idx="9">
                  <c:v>6514568</c:v>
                </c:pt>
                <c:pt idx="10">
                  <c:v>6913432</c:v>
                </c:pt>
                <c:pt idx="11">
                  <c:v>6591666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C88-4546-A65B-B39F531429A7}"/>
            </c:ext>
          </c:extLst>
        </c:ser>
        <c:ser>
          <c:idx val="6"/>
          <c:order val="6"/>
          <c:tx>
            <c:strRef>
              <c:f>'FY2026-FY2015'!$C$25</c:f>
              <c:strCache>
                <c:ptCount val="1"/>
                <c:pt idx="0">
                  <c:v>Student Transportation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'FY2026-FY2015'!$E$3:$W$3</c:f>
              <c:strCache>
                <c:ptCount val="12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  <c:pt idx="11">
                  <c:v>2015</c:v>
                </c:pt>
              </c:strCache>
            </c:strRef>
          </c:cat>
          <c:val>
            <c:numRef>
              <c:f>'FY2026-FY2015'!$E$25:$W$25</c:f>
              <c:numCache>
                <c:formatCode>#,##0</c:formatCode>
                <c:ptCount val="12"/>
                <c:pt idx="0">
                  <c:v>4475510</c:v>
                </c:pt>
                <c:pt idx="1">
                  <c:v>4085890</c:v>
                </c:pt>
                <c:pt idx="2">
                  <c:v>4565158</c:v>
                </c:pt>
                <c:pt idx="3">
                  <c:v>3247471</c:v>
                </c:pt>
                <c:pt idx="4">
                  <c:v>3835158</c:v>
                </c:pt>
                <c:pt idx="5">
                  <c:v>3557877</c:v>
                </c:pt>
                <c:pt idx="6">
                  <c:v>3465564</c:v>
                </c:pt>
                <c:pt idx="7">
                  <c:v>3454141</c:v>
                </c:pt>
                <c:pt idx="8">
                  <c:v>3298899</c:v>
                </c:pt>
                <c:pt idx="9">
                  <c:v>3147481</c:v>
                </c:pt>
                <c:pt idx="10">
                  <c:v>3217340</c:v>
                </c:pt>
                <c:pt idx="11">
                  <c:v>3301776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C88-4546-A65B-B39F531429A7}"/>
            </c:ext>
          </c:extLst>
        </c:ser>
        <c:ser>
          <c:idx val="7"/>
          <c:order val="7"/>
          <c:tx>
            <c:strRef>
              <c:f>'FY2026-FY2015'!$C$26</c:f>
              <c:strCache>
                <c:ptCount val="1"/>
                <c:pt idx="0">
                  <c:v>Other Support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'FY2026-FY2015'!$E$3:$W$3</c:f>
              <c:strCache>
                <c:ptCount val="12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  <c:pt idx="11">
                  <c:v>2015</c:v>
                </c:pt>
              </c:strCache>
            </c:strRef>
          </c:cat>
          <c:val>
            <c:numRef>
              <c:f>'FY2026-FY2015'!$E$26:$W$26</c:f>
              <c:numCache>
                <c:formatCode>#,##0</c:formatCode>
                <c:ptCount val="12"/>
                <c:pt idx="0">
                  <c:v>291600</c:v>
                </c:pt>
                <c:pt idx="1">
                  <c:v>180250</c:v>
                </c:pt>
                <c:pt idx="2">
                  <c:v>252436</c:v>
                </c:pt>
                <c:pt idx="3">
                  <c:v>247232</c:v>
                </c:pt>
                <c:pt idx="4">
                  <c:v>913250</c:v>
                </c:pt>
                <c:pt idx="5">
                  <c:v>112329</c:v>
                </c:pt>
                <c:pt idx="6">
                  <c:v>147378</c:v>
                </c:pt>
                <c:pt idx="7">
                  <c:v>167651</c:v>
                </c:pt>
                <c:pt idx="8">
                  <c:v>152659</c:v>
                </c:pt>
                <c:pt idx="9">
                  <c:v>141343</c:v>
                </c:pt>
                <c:pt idx="10">
                  <c:v>83439</c:v>
                </c:pt>
                <c:pt idx="11">
                  <c:v>51960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C88-4546-A65B-B39F531429A7}"/>
            </c:ext>
          </c:extLst>
        </c:ser>
        <c:ser>
          <c:idx val="8"/>
          <c:order val="8"/>
          <c:tx>
            <c:strRef>
              <c:f>'FY2026-FY2015'!$C$27</c:f>
              <c:strCache>
                <c:ptCount val="1"/>
                <c:pt idx="0">
                  <c:v>Facilities Capital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'FY2026-FY2015'!$E$3:$W$3</c:f>
              <c:strCache>
                <c:ptCount val="12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  <c:pt idx="11">
                  <c:v>2015</c:v>
                </c:pt>
              </c:strCache>
            </c:strRef>
          </c:cat>
          <c:val>
            <c:numRef>
              <c:f>'FY2026-FY2015'!$E$27:$W$27</c:f>
              <c:numCache>
                <c:formatCode>#,##0</c:formatCode>
                <c:ptCount val="12"/>
                <c:pt idx="0">
                  <c:v>462000</c:v>
                </c:pt>
                <c:pt idx="1">
                  <c:v>376990</c:v>
                </c:pt>
                <c:pt idx="2">
                  <c:v>434716</c:v>
                </c:pt>
                <c:pt idx="3">
                  <c:v>299008</c:v>
                </c:pt>
                <c:pt idx="4">
                  <c:v>321344</c:v>
                </c:pt>
                <c:pt idx="5">
                  <c:v>509250</c:v>
                </c:pt>
                <c:pt idx="6">
                  <c:v>903301</c:v>
                </c:pt>
                <c:pt idx="7">
                  <c:v>603</c:v>
                </c:pt>
                <c:pt idx="8">
                  <c:v>110649</c:v>
                </c:pt>
                <c:pt idx="9">
                  <c:v>1064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C88-4546-A65B-B39F53142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9930704"/>
        <c:axId val="569929264"/>
        <c:extLst>
          <c:ext xmlns:c15="http://schemas.microsoft.com/office/drawing/2012/chart" uri="{02D57815-91ED-43cb-92C2-25804820EDAC}">
            <c15:filteredBarSeries>
              <c15:ser>
                <c:idx val="9"/>
                <c:order val="9"/>
                <c:tx>
                  <c:strRef>
                    <c:extLst>
                      <c:ext uri="{02D57815-91ED-43cb-92C2-25804820EDAC}">
                        <c15:formulaRef>
                          <c15:sqref>'FY2026-FY2015'!$C$28</c15:sqref>
                        </c15:formulaRef>
                      </c:ext>
                    </c:extLst>
                    <c:strCache>
                      <c:ptCount val="1"/>
                      <c:pt idx="0">
                        <c:v>Debt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'FY2026-FY2015'!$E$3:$W$3</c15:sqref>
                        </c15:formulaRef>
                      </c:ext>
                    </c:extLst>
                    <c:strCache>
                      <c:ptCount val="12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  <c:pt idx="11">
                        <c:v>2015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'FY2026-FY2015'!$E$28:$W$28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2">
                        <c:v>322589</c:v>
                      </c:pt>
                      <c:pt idx="3">
                        <c:v>522750</c:v>
                      </c:pt>
                      <c:pt idx="4">
                        <c:v>522966</c:v>
                      </c:pt>
                      <c:pt idx="5">
                        <c:v>522946</c:v>
                      </c:pt>
                      <c:pt idx="6">
                        <c:v>522668</c:v>
                      </c:pt>
                      <c:pt idx="7">
                        <c:v>476388</c:v>
                      </c:pt>
                      <c:pt idx="8">
                        <c:v>514265</c:v>
                      </c:pt>
                      <c:pt idx="9">
                        <c:v>499895</c:v>
                      </c:pt>
                      <c:pt idx="10">
                        <c:v>486006</c:v>
                      </c:pt>
                      <c:pt idx="11">
                        <c:v>475660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9-DC88-4546-A65B-B39F531429A7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'FY2026-FY2015'!$C$29</c15:sqref>
                        </c15:formulaRef>
                      </c:ext>
                    </c:extLst>
                    <c:strCache>
                      <c:ptCount val="1"/>
                      <c:pt idx="0">
                        <c:v>Transfers to Other Funds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'FY2026-FY2015'!$E$3:$W$3</c15:sqref>
                        </c15:formulaRef>
                      </c:ext>
                    </c:extLst>
                    <c:strCache>
                      <c:ptCount val="12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  <c:pt idx="11">
                        <c:v>2015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'FY2026-FY2015'!$E$29:$W$29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6600000</c:v>
                      </c:pt>
                      <c:pt idx="1">
                        <c:v>6600000</c:v>
                      </c:pt>
                      <c:pt idx="2">
                        <c:v>6700000</c:v>
                      </c:pt>
                      <c:pt idx="3">
                        <c:v>5200000</c:v>
                      </c:pt>
                      <c:pt idx="4">
                        <c:v>1395956</c:v>
                      </c:pt>
                      <c:pt idx="5">
                        <c:v>4000000</c:v>
                      </c:pt>
                      <c:pt idx="6">
                        <c:v>3800000</c:v>
                      </c:pt>
                      <c:pt idx="7">
                        <c:v>4200000</c:v>
                      </c:pt>
                      <c:pt idx="8">
                        <c:v>4300000</c:v>
                      </c:pt>
                      <c:pt idx="9">
                        <c:v>4261000</c:v>
                      </c:pt>
                      <c:pt idx="10">
                        <c:v>4920000</c:v>
                      </c:pt>
                      <c:pt idx="11">
                        <c:v>5200000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DC88-4546-A65B-B39F531429A7}"/>
                  </c:ext>
                </c:extLst>
              </c15:ser>
            </c15:filteredBarSeries>
          </c:ext>
        </c:extLst>
      </c:barChart>
      <c:catAx>
        <c:axId val="56993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9929264"/>
        <c:crosses val="autoZero"/>
        <c:auto val="1"/>
        <c:lblAlgn val="ctr"/>
        <c:lblOffset val="100"/>
        <c:noMultiLvlLbl val="0"/>
      </c:catAx>
      <c:valAx>
        <c:axId val="569929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9930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Ending Fund Balance (GF)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'FY2026-FY2015'!$C$36</c:f>
              <c:strCache>
                <c:ptCount val="1"/>
                <c:pt idx="0">
                  <c:v>Ending Fund Balance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('FY2026-FY2015'!$P$3,'FY2026-FY2015'!$V$3)</c:f>
              <c:strCache>
                <c:ptCount val="2"/>
                <c:pt idx="0">
                  <c:v>2022</c:v>
                </c:pt>
                <c:pt idx="1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'FY2026-FY2015'!$E$36:$W$36</c15:sqref>
                  </c15:fullRef>
                </c:ext>
              </c:extLst>
              <c:f>('FY2026-FY2015'!$P$36,'FY2026-FY2015'!$V$36)</c:f>
              <c:numCache>
                <c:formatCode>#,##0</c:formatCode>
                <c:ptCount val="2"/>
                <c:pt idx="0">
                  <c:v>11558853</c:v>
                </c:pt>
                <c:pt idx="1">
                  <c:v>4658644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ED-4557-A49B-DCE8634D91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99904696"/>
        <c:axId val="899901456"/>
      </c:barChart>
      <c:catAx>
        <c:axId val="89990469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9901456"/>
        <c:crosses val="autoZero"/>
        <c:auto val="1"/>
        <c:lblAlgn val="ctr"/>
        <c:lblOffset val="100"/>
        <c:noMultiLvlLbl val="0"/>
      </c:catAx>
      <c:valAx>
        <c:axId val="89990145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9904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n-US" b="0">
                <a:solidFill>
                  <a:srgbClr val="757575"/>
                </a:solidFill>
                <a:latin typeface="+mn-lt"/>
              </a:rPr>
              <a:t>Total GF Expenditures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'FY2026-FY2015'!$C$12</c:f>
              <c:strCache>
                <c:ptCount val="1"/>
                <c:pt idx="0">
                  <c:v>Regular Programs</c:v>
                </c:pt>
              </c:strCache>
            </c:strRef>
          </c:tx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'FY2026-FY2015'!$E$12:$W$12</c15:sqref>
                  </c15:fullRef>
                </c:ext>
              </c:extLst>
              <c:f>'FY2026-FY2015'!$E$12:$V$12</c:f>
              <c:numCache>
                <c:formatCode>#,##0</c:formatCode>
                <c:ptCount val="11"/>
                <c:pt idx="0">
                  <c:v>25749569</c:v>
                </c:pt>
                <c:pt idx="1">
                  <c:v>26091473</c:v>
                </c:pt>
                <c:pt idx="2">
                  <c:v>26367255</c:v>
                </c:pt>
                <c:pt idx="3">
                  <c:v>23731546</c:v>
                </c:pt>
                <c:pt idx="4">
                  <c:v>24043897</c:v>
                </c:pt>
                <c:pt idx="5">
                  <c:v>23770863</c:v>
                </c:pt>
                <c:pt idx="6">
                  <c:v>23940497</c:v>
                </c:pt>
                <c:pt idx="7">
                  <c:v>23181589</c:v>
                </c:pt>
                <c:pt idx="8">
                  <c:v>23223660</c:v>
                </c:pt>
                <c:pt idx="9">
                  <c:v>22003433</c:v>
                </c:pt>
                <c:pt idx="10">
                  <c:v>22298368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098-4EE2-B9B1-23E3273E1971}"/>
            </c:ext>
          </c:extLst>
        </c:ser>
        <c:ser>
          <c:idx val="1"/>
          <c:order val="1"/>
          <c:tx>
            <c:strRef>
              <c:f>'FY2026-FY2015'!$C$13</c:f>
              <c:strCache>
                <c:ptCount val="1"/>
                <c:pt idx="0">
                  <c:v>Special Programs</c:v>
                </c:pt>
              </c:strCache>
            </c:strRef>
          </c:tx>
          <c:spPr>
            <a:solidFill>
              <a:srgbClr val="EA4335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'FY2026-FY2015'!$E$13:$W$13</c15:sqref>
                  </c15:fullRef>
                </c:ext>
              </c:extLst>
              <c:f>'FY2026-FY2015'!$E$13:$V$13</c:f>
              <c:numCache>
                <c:formatCode>#,##0</c:formatCode>
                <c:ptCount val="11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3610338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4098-4EE2-B9B1-23E3273E1971}"/>
            </c:ext>
          </c:extLst>
        </c:ser>
        <c:ser>
          <c:idx val="2"/>
          <c:order val="2"/>
          <c:tx>
            <c:strRef>
              <c:f>'FY2026-FY2015'!$C$14</c:f>
              <c:strCache>
                <c:ptCount val="1"/>
                <c:pt idx="0">
                  <c:v>Vocational </c:v>
                </c:pt>
              </c:strCache>
            </c:strRef>
          </c:tx>
          <c:spPr>
            <a:solidFill>
              <a:srgbClr val="FBBC04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'FY2026-FY2015'!$E$14:$W$14</c15:sqref>
                  </c15:fullRef>
                </c:ext>
              </c:extLst>
              <c:f>'FY2026-FY2015'!$E$14:$V$14</c:f>
              <c:numCache>
                <c:formatCode>#,##0</c:formatCode>
                <c:ptCount val="11"/>
                <c:pt idx="0">
                  <c:v>898299</c:v>
                </c:pt>
                <c:pt idx="1">
                  <c:v>847419</c:v>
                </c:pt>
                <c:pt idx="2">
                  <c:v>791444</c:v>
                </c:pt>
                <c:pt idx="3">
                  <c:v>665874</c:v>
                </c:pt>
                <c:pt idx="4">
                  <c:v>680474</c:v>
                </c:pt>
                <c:pt idx="5">
                  <c:v>848351</c:v>
                </c:pt>
                <c:pt idx="6">
                  <c:v>813805</c:v>
                </c:pt>
                <c:pt idx="7">
                  <c:v>817917</c:v>
                </c:pt>
                <c:pt idx="8">
                  <c:v>843819</c:v>
                </c:pt>
                <c:pt idx="9">
                  <c:v>843983</c:v>
                </c:pt>
                <c:pt idx="10">
                  <c:v>890201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4098-4EE2-B9B1-23E3273E1971}"/>
            </c:ext>
          </c:extLst>
        </c:ser>
        <c:ser>
          <c:idx val="4"/>
          <c:order val="4"/>
          <c:tx>
            <c:strRef>
              <c:f>'FY2026-FY2015'!$C$16</c:f>
              <c:strCache>
                <c:ptCount val="1"/>
                <c:pt idx="0">
                  <c:v>Extra and Cocurricular</c:v>
                </c:pt>
              </c:strCache>
            </c:strRef>
          </c:tx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'FY2026-FY2015'!$E$16:$W$16</c15:sqref>
                  </c15:fullRef>
                </c:ext>
              </c:extLst>
              <c:f>'FY2026-FY2015'!$E$16:$V$16</c:f>
              <c:numCache>
                <c:formatCode>#,##0</c:formatCode>
                <c:ptCount val="11"/>
                <c:pt idx="0">
                  <c:v>652113</c:v>
                </c:pt>
                <c:pt idx="1">
                  <c:v>698159</c:v>
                </c:pt>
                <c:pt idx="2">
                  <c:v>647677</c:v>
                </c:pt>
                <c:pt idx="3">
                  <c:v>583832</c:v>
                </c:pt>
                <c:pt idx="4">
                  <c:v>540868</c:v>
                </c:pt>
                <c:pt idx="5">
                  <c:v>433684</c:v>
                </c:pt>
                <c:pt idx="6">
                  <c:v>528054</c:v>
                </c:pt>
                <c:pt idx="7">
                  <c:v>503532</c:v>
                </c:pt>
                <c:pt idx="8">
                  <c:v>529309</c:v>
                </c:pt>
                <c:pt idx="9">
                  <c:v>504412</c:v>
                </c:pt>
                <c:pt idx="10">
                  <c:v>499105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98-4EE2-B9B1-23E3273E1971}"/>
            </c:ext>
          </c:extLst>
        </c:ser>
        <c:ser>
          <c:idx val="5"/>
          <c:order val="5"/>
          <c:tx>
            <c:strRef>
              <c:f>'FY2026-FY2015'!$C$17</c:f>
              <c:strCache>
                <c:ptCount val="1"/>
                <c:pt idx="0">
                  <c:v>Other Instructional</c:v>
                </c:pt>
              </c:strCache>
            </c:strRef>
          </c:tx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'FY2026-FY2015'!$E$17:$W$17</c15:sqref>
                  </c15:fullRef>
                </c:ext>
              </c:extLst>
              <c:f>'FY2026-FY2015'!$E$17:$V$17</c:f>
              <c:numCache>
                <c:formatCode>#,##0</c:formatCode>
                <c:ptCount val="11"/>
                <c:pt idx="0">
                  <c:v>1496377</c:v>
                </c:pt>
                <c:pt idx="1">
                  <c:v>1553052</c:v>
                </c:pt>
                <c:pt idx="2">
                  <c:v>1285598</c:v>
                </c:pt>
                <c:pt idx="3">
                  <c:v>1651616</c:v>
                </c:pt>
                <c:pt idx="4">
                  <c:v>1559521</c:v>
                </c:pt>
                <c:pt idx="5">
                  <c:v>1796188</c:v>
                </c:pt>
                <c:pt idx="6">
                  <c:v>1740005</c:v>
                </c:pt>
                <c:pt idx="7">
                  <c:v>1678720</c:v>
                </c:pt>
                <c:pt idx="8">
                  <c:v>1639952</c:v>
                </c:pt>
                <c:pt idx="9">
                  <c:v>1621300</c:v>
                </c:pt>
                <c:pt idx="10">
                  <c:v>1614534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098-4EE2-B9B1-23E3273E1971}"/>
            </c:ext>
          </c:extLst>
        </c:ser>
        <c:ser>
          <c:idx val="7"/>
          <c:order val="7"/>
          <c:tx>
            <c:strRef>
              <c:f>'FY2026-FY2015'!$C$19</c:f>
              <c:strCache>
                <c:ptCount val="1"/>
                <c:pt idx="0">
                  <c:v>Student Support</c:v>
                </c:pt>
              </c:strCache>
            </c:strRef>
          </c:tx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'FY2026-FY2015'!$E$19:$W$19</c15:sqref>
                  </c15:fullRef>
                </c:ext>
              </c:extLst>
              <c:f>'FY2026-FY2015'!$E$19:$V$19</c:f>
              <c:numCache>
                <c:formatCode>#,##0</c:formatCode>
                <c:ptCount val="11"/>
                <c:pt idx="0">
                  <c:v>4081174</c:v>
                </c:pt>
                <c:pt idx="1">
                  <c:v>4290020</c:v>
                </c:pt>
                <c:pt idx="2">
                  <c:v>4068388</c:v>
                </c:pt>
                <c:pt idx="3">
                  <c:v>3243822</c:v>
                </c:pt>
                <c:pt idx="4">
                  <c:v>2938044</c:v>
                </c:pt>
                <c:pt idx="5">
                  <c:v>2713693</c:v>
                </c:pt>
                <c:pt idx="6">
                  <c:v>2650416</c:v>
                </c:pt>
                <c:pt idx="7">
                  <c:v>2552319</c:v>
                </c:pt>
                <c:pt idx="8">
                  <c:v>2515678</c:v>
                </c:pt>
                <c:pt idx="9">
                  <c:v>2425889</c:v>
                </c:pt>
                <c:pt idx="10">
                  <c:v>2411128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098-4EE2-B9B1-23E3273E1971}"/>
            </c:ext>
          </c:extLst>
        </c:ser>
        <c:ser>
          <c:idx val="8"/>
          <c:order val="8"/>
          <c:tx>
            <c:strRef>
              <c:f>'FY2026-FY2015'!$C$20</c:f>
              <c:strCache>
                <c:ptCount val="1"/>
                <c:pt idx="0">
                  <c:v>Instructional Staff Support</c:v>
                </c:pt>
              </c:strCache>
            </c:strRef>
          </c:tx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'FY2026-FY2015'!$E$20:$W$20</c15:sqref>
                  </c15:fullRef>
                </c:ext>
              </c:extLst>
              <c:f>'FY2026-FY2015'!$E$20:$V$20</c:f>
              <c:numCache>
                <c:formatCode>#,##0</c:formatCode>
                <c:ptCount val="11"/>
                <c:pt idx="0">
                  <c:v>1472599</c:v>
                </c:pt>
                <c:pt idx="1">
                  <c:v>1393978</c:v>
                </c:pt>
                <c:pt idx="2">
                  <c:v>1363659</c:v>
                </c:pt>
                <c:pt idx="3">
                  <c:v>1260085</c:v>
                </c:pt>
                <c:pt idx="4">
                  <c:v>1151545</c:v>
                </c:pt>
                <c:pt idx="5">
                  <c:v>1218660</c:v>
                </c:pt>
                <c:pt idx="6">
                  <c:v>1195312</c:v>
                </c:pt>
                <c:pt idx="7">
                  <c:v>1222032</c:v>
                </c:pt>
                <c:pt idx="8">
                  <c:v>1186674</c:v>
                </c:pt>
                <c:pt idx="9">
                  <c:v>1110507</c:v>
                </c:pt>
                <c:pt idx="10">
                  <c:v>1083057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098-4EE2-B9B1-23E3273E1971}"/>
            </c:ext>
          </c:extLst>
        </c:ser>
        <c:ser>
          <c:idx val="9"/>
          <c:order val="9"/>
          <c:tx>
            <c:strRef>
              <c:f>'FY2026-FY2015'!$C$21</c:f>
              <c:strCache>
                <c:ptCount val="1"/>
                <c:pt idx="0">
                  <c:v>General Admin</c:v>
                </c:pt>
              </c:strCache>
            </c:strRef>
          </c:tx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'FY2026-FY2015'!$E$21:$W$21</c15:sqref>
                  </c15:fullRef>
                </c:ext>
              </c:extLst>
              <c:f>'FY2026-FY2015'!$E$21:$V$21</c:f>
              <c:numCache>
                <c:formatCode>#,##0</c:formatCode>
                <c:ptCount val="11"/>
                <c:pt idx="0">
                  <c:v>1104258</c:v>
                </c:pt>
                <c:pt idx="1">
                  <c:v>1167701</c:v>
                </c:pt>
                <c:pt idx="2">
                  <c:v>1194283</c:v>
                </c:pt>
                <c:pt idx="3">
                  <c:v>839799</c:v>
                </c:pt>
                <c:pt idx="4">
                  <c:v>559549</c:v>
                </c:pt>
                <c:pt idx="5">
                  <c:v>520113</c:v>
                </c:pt>
                <c:pt idx="6">
                  <c:v>540943</c:v>
                </c:pt>
                <c:pt idx="7">
                  <c:v>494028</c:v>
                </c:pt>
                <c:pt idx="8">
                  <c:v>620788</c:v>
                </c:pt>
                <c:pt idx="9">
                  <c:v>508548</c:v>
                </c:pt>
                <c:pt idx="10">
                  <c:v>564339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098-4EE2-B9B1-23E3273E1971}"/>
            </c:ext>
          </c:extLst>
        </c:ser>
        <c:ser>
          <c:idx val="10"/>
          <c:order val="10"/>
          <c:tx>
            <c:strRef>
              <c:f>'FY2026-FY2015'!$C$22</c:f>
              <c:strCache>
                <c:ptCount val="1"/>
                <c:pt idx="0">
                  <c:v>School Admin</c:v>
                </c:pt>
              </c:strCache>
            </c:strRef>
          </c:tx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'FY2026-FY2015'!$E$22:$W$22</c15:sqref>
                  </c15:fullRef>
                </c:ext>
              </c:extLst>
              <c:f>'FY2026-FY2015'!$E$22:$V$22</c:f>
              <c:numCache>
                <c:formatCode>#,##0</c:formatCode>
                <c:ptCount val="11"/>
                <c:pt idx="0">
                  <c:v>5782358</c:v>
                </c:pt>
                <c:pt idx="1">
                  <c:v>5713320</c:v>
                </c:pt>
                <c:pt idx="2">
                  <c:v>5537265</c:v>
                </c:pt>
                <c:pt idx="3">
                  <c:v>4686654</c:v>
                </c:pt>
                <c:pt idx="4">
                  <c:v>4702143</c:v>
                </c:pt>
                <c:pt idx="5">
                  <c:v>4571372</c:v>
                </c:pt>
                <c:pt idx="6">
                  <c:v>4640348</c:v>
                </c:pt>
                <c:pt idx="7">
                  <c:v>4629819</c:v>
                </c:pt>
                <c:pt idx="8">
                  <c:v>4532689</c:v>
                </c:pt>
                <c:pt idx="9">
                  <c:v>4460265</c:v>
                </c:pt>
                <c:pt idx="10">
                  <c:v>4390233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098-4EE2-B9B1-23E3273E1971}"/>
            </c:ext>
          </c:extLst>
        </c:ser>
        <c:ser>
          <c:idx val="11"/>
          <c:order val="11"/>
          <c:tx>
            <c:strRef>
              <c:f>'FY2026-FY2015'!$C$23</c:f>
              <c:strCache>
                <c:ptCount val="1"/>
                <c:pt idx="0">
                  <c:v>Central Services</c:v>
                </c:pt>
              </c:strCache>
            </c:strRef>
          </c:tx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'FY2026-FY2015'!$E$23:$W$23</c15:sqref>
                  </c15:fullRef>
                </c:ext>
              </c:extLst>
              <c:f>'FY2026-FY2015'!$E$23:$V$23</c:f>
              <c:numCache>
                <c:formatCode>#,##0</c:formatCode>
                <c:ptCount val="11"/>
                <c:pt idx="0">
                  <c:v>2650472</c:v>
                </c:pt>
                <c:pt idx="1">
                  <c:v>2629933</c:v>
                </c:pt>
                <c:pt idx="2">
                  <c:v>2334015</c:v>
                </c:pt>
                <c:pt idx="3">
                  <c:v>2113268</c:v>
                </c:pt>
                <c:pt idx="4">
                  <c:v>2219839</c:v>
                </c:pt>
                <c:pt idx="5">
                  <c:v>1957897</c:v>
                </c:pt>
                <c:pt idx="6">
                  <c:v>1908362</c:v>
                </c:pt>
                <c:pt idx="7">
                  <c:v>1959263</c:v>
                </c:pt>
                <c:pt idx="8">
                  <c:v>1858376</c:v>
                </c:pt>
                <c:pt idx="9">
                  <c:v>2037145</c:v>
                </c:pt>
                <c:pt idx="10">
                  <c:v>2000349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098-4EE2-B9B1-23E3273E1971}"/>
            </c:ext>
          </c:extLst>
        </c:ser>
        <c:ser>
          <c:idx val="12"/>
          <c:order val="12"/>
          <c:tx>
            <c:strRef>
              <c:f>'FY2026-FY2015'!$C$24</c:f>
              <c:strCache>
                <c:ptCount val="1"/>
                <c:pt idx="0">
                  <c:v>Operations and Maintenance</c:v>
                </c:pt>
              </c:strCache>
            </c:strRef>
          </c:tx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'FY2026-FY2015'!$E$24:$W$24</c15:sqref>
                  </c15:fullRef>
                </c:ext>
              </c:extLst>
              <c:f>'FY2026-FY2015'!$E$24:$V$24</c:f>
              <c:numCache>
                <c:formatCode>#,##0</c:formatCode>
                <c:ptCount val="11"/>
                <c:pt idx="0">
                  <c:v>9219953</c:v>
                </c:pt>
                <c:pt idx="1">
                  <c:v>8578252</c:v>
                </c:pt>
                <c:pt idx="2">
                  <c:v>8988620</c:v>
                </c:pt>
                <c:pt idx="3">
                  <c:v>7933611</c:v>
                </c:pt>
                <c:pt idx="4">
                  <c:v>7404702</c:v>
                </c:pt>
                <c:pt idx="5">
                  <c:v>7096878</c:v>
                </c:pt>
                <c:pt idx="6">
                  <c:v>7277101</c:v>
                </c:pt>
                <c:pt idx="7">
                  <c:v>6967627</c:v>
                </c:pt>
                <c:pt idx="8">
                  <c:v>6903401</c:v>
                </c:pt>
                <c:pt idx="9">
                  <c:v>6514568</c:v>
                </c:pt>
                <c:pt idx="10">
                  <c:v>6913432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098-4EE2-B9B1-23E3273E1971}"/>
            </c:ext>
          </c:extLst>
        </c:ser>
        <c:ser>
          <c:idx val="13"/>
          <c:order val="13"/>
          <c:tx>
            <c:strRef>
              <c:f>'FY2026-FY2015'!$C$25</c:f>
              <c:strCache>
                <c:ptCount val="1"/>
                <c:pt idx="0">
                  <c:v>Student Transportation</c:v>
                </c:pt>
              </c:strCache>
            </c:strRef>
          </c:tx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'FY2026-FY2015'!$E$25:$W$25</c15:sqref>
                  </c15:fullRef>
                </c:ext>
              </c:extLst>
              <c:f>'FY2026-FY2015'!$E$25:$V$25</c:f>
              <c:numCache>
                <c:formatCode>#,##0</c:formatCode>
                <c:ptCount val="11"/>
                <c:pt idx="0">
                  <c:v>4475510</c:v>
                </c:pt>
                <c:pt idx="1">
                  <c:v>4085890</c:v>
                </c:pt>
                <c:pt idx="2">
                  <c:v>4565158</c:v>
                </c:pt>
                <c:pt idx="3">
                  <c:v>3247471</c:v>
                </c:pt>
                <c:pt idx="4">
                  <c:v>3835158</c:v>
                </c:pt>
                <c:pt idx="5">
                  <c:v>3557877</c:v>
                </c:pt>
                <c:pt idx="6">
                  <c:v>3465564</c:v>
                </c:pt>
                <c:pt idx="7">
                  <c:v>3454141</c:v>
                </c:pt>
                <c:pt idx="8">
                  <c:v>3298899</c:v>
                </c:pt>
                <c:pt idx="9">
                  <c:v>3147481</c:v>
                </c:pt>
                <c:pt idx="10">
                  <c:v>3217340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098-4EE2-B9B1-23E3273E1971}"/>
            </c:ext>
          </c:extLst>
        </c:ser>
        <c:ser>
          <c:idx val="14"/>
          <c:order val="14"/>
          <c:tx>
            <c:strRef>
              <c:f>'FY2026-FY2015'!$C$26</c:f>
              <c:strCache>
                <c:ptCount val="1"/>
                <c:pt idx="0">
                  <c:v>Other Support</c:v>
                </c:pt>
              </c:strCache>
            </c:strRef>
          </c:tx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'FY2026-FY2015'!$E$26:$W$26</c15:sqref>
                  </c15:fullRef>
                </c:ext>
              </c:extLst>
              <c:f>'FY2026-FY2015'!$E$26:$V$26</c:f>
              <c:numCache>
                <c:formatCode>#,##0</c:formatCode>
                <c:ptCount val="11"/>
                <c:pt idx="0">
                  <c:v>291600</c:v>
                </c:pt>
                <c:pt idx="1">
                  <c:v>180250</c:v>
                </c:pt>
                <c:pt idx="2">
                  <c:v>252436</c:v>
                </c:pt>
                <c:pt idx="3">
                  <c:v>247232</c:v>
                </c:pt>
                <c:pt idx="4">
                  <c:v>913250</c:v>
                </c:pt>
                <c:pt idx="5">
                  <c:v>112329</c:v>
                </c:pt>
                <c:pt idx="6">
                  <c:v>147378</c:v>
                </c:pt>
                <c:pt idx="7">
                  <c:v>167651</c:v>
                </c:pt>
                <c:pt idx="8">
                  <c:v>152659</c:v>
                </c:pt>
                <c:pt idx="9">
                  <c:v>141343</c:v>
                </c:pt>
                <c:pt idx="10">
                  <c:v>83439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098-4EE2-B9B1-23E3273E1971}"/>
            </c:ext>
          </c:extLst>
        </c:ser>
        <c:ser>
          <c:idx val="15"/>
          <c:order val="15"/>
          <c:tx>
            <c:strRef>
              <c:f>'FY2026-FY2015'!$C$27</c:f>
              <c:strCache>
                <c:ptCount val="1"/>
                <c:pt idx="0">
                  <c:v>Facilities Capital</c:v>
                </c:pt>
              </c:strCache>
            </c:strRef>
          </c:tx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'FY2026-FY2015'!$E$27:$W$27</c15:sqref>
                  </c15:fullRef>
                </c:ext>
              </c:extLst>
              <c:f>'FY2026-FY2015'!$E$27:$V$27</c:f>
              <c:numCache>
                <c:formatCode>#,##0</c:formatCode>
                <c:ptCount val="11"/>
                <c:pt idx="0">
                  <c:v>462000</c:v>
                </c:pt>
                <c:pt idx="1">
                  <c:v>376990</c:v>
                </c:pt>
                <c:pt idx="2">
                  <c:v>434716</c:v>
                </c:pt>
                <c:pt idx="3">
                  <c:v>299008</c:v>
                </c:pt>
                <c:pt idx="4">
                  <c:v>321344</c:v>
                </c:pt>
                <c:pt idx="5">
                  <c:v>509250</c:v>
                </c:pt>
                <c:pt idx="6">
                  <c:v>903301</c:v>
                </c:pt>
                <c:pt idx="7">
                  <c:v>603</c:v>
                </c:pt>
                <c:pt idx="8">
                  <c:v>110649</c:v>
                </c:pt>
                <c:pt idx="9">
                  <c:v>1064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098-4EE2-B9B1-23E3273E1971}"/>
            </c:ext>
          </c:extLst>
        </c:ser>
        <c:ser>
          <c:idx val="16"/>
          <c:order val="16"/>
          <c:tx>
            <c:strRef>
              <c:f>'FY2026-FY2015'!$C$28</c:f>
              <c:strCache>
                <c:ptCount val="1"/>
                <c:pt idx="0">
                  <c:v>Debt</c:v>
                </c:pt>
              </c:strCache>
            </c:strRef>
          </c:tx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'FY2026-FY2015'!$E$28:$W$28</c15:sqref>
                  </c15:fullRef>
                </c:ext>
              </c:extLst>
              <c:f>'FY2026-FY2015'!$E$28:$V$28</c:f>
              <c:numCache>
                <c:formatCode>#,##0</c:formatCode>
                <c:ptCount val="11"/>
                <c:pt idx="2">
                  <c:v>322589</c:v>
                </c:pt>
                <c:pt idx="3">
                  <c:v>522750</c:v>
                </c:pt>
                <c:pt idx="4">
                  <c:v>522966</c:v>
                </c:pt>
                <c:pt idx="5">
                  <c:v>522946</c:v>
                </c:pt>
                <c:pt idx="6">
                  <c:v>522668</c:v>
                </c:pt>
                <c:pt idx="7">
                  <c:v>476388</c:v>
                </c:pt>
                <c:pt idx="8">
                  <c:v>514265</c:v>
                </c:pt>
                <c:pt idx="9">
                  <c:v>499895</c:v>
                </c:pt>
                <c:pt idx="10">
                  <c:v>486006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098-4EE2-B9B1-23E3273E1971}"/>
            </c:ext>
          </c:extLst>
        </c:ser>
        <c:ser>
          <c:idx val="17"/>
          <c:order val="17"/>
          <c:tx>
            <c:strRef>
              <c:f>'FY2026-FY2015'!$C$29</c:f>
              <c:strCache>
                <c:ptCount val="1"/>
                <c:pt idx="0">
                  <c:v>Transfers to Other Funds</c:v>
                </c:pt>
              </c:strCache>
            </c:strRef>
          </c:tx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'FY2026-FY2015'!$E$29:$W$29</c15:sqref>
                  </c15:fullRef>
                </c:ext>
              </c:extLst>
              <c:f>'FY2026-FY2015'!$E$29:$V$29</c:f>
              <c:numCache>
                <c:formatCode>#,##0</c:formatCode>
                <c:ptCount val="11"/>
                <c:pt idx="0">
                  <c:v>6600000</c:v>
                </c:pt>
                <c:pt idx="1">
                  <c:v>6600000</c:v>
                </c:pt>
                <c:pt idx="2">
                  <c:v>6700000</c:v>
                </c:pt>
                <c:pt idx="3">
                  <c:v>5200000</c:v>
                </c:pt>
                <c:pt idx="4">
                  <c:v>1395956</c:v>
                </c:pt>
                <c:pt idx="5">
                  <c:v>4000000</c:v>
                </c:pt>
                <c:pt idx="6">
                  <c:v>3800000</c:v>
                </c:pt>
                <c:pt idx="7">
                  <c:v>4200000</c:v>
                </c:pt>
                <c:pt idx="8">
                  <c:v>4300000</c:v>
                </c:pt>
                <c:pt idx="9">
                  <c:v>4261000</c:v>
                </c:pt>
                <c:pt idx="10">
                  <c:v>4920000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098-4EE2-B9B1-23E3273E1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8509046"/>
        <c:axId val="1487132303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'FY2026-FY2015'!$C$15</c15:sqref>
                        </c15:formulaRef>
                      </c:ext>
                    </c:extLst>
                    <c:strCache>
                      <c:ptCount val="1"/>
                      <c:pt idx="0">
                        <c:v>Adult Education</c:v>
                      </c:pt>
                    </c:strCache>
                  </c:strRef>
                </c:tx>
                <c:spPr>
                  <a:solidFill>
                    <a:srgbClr val="34A853"/>
                  </a:solidFill>
                  <a:ln cmpd="sng">
                    <a:solidFill>
                      <a:srgbClr val="000000"/>
                    </a:solidFill>
                  </a:ln>
                </c:spPr>
                <c:invertIfNegative val="1"/>
                <c:cat>
                  <c:strRef>
                    <c:extLst>
                      <c:ext uri="{02D57815-91ED-43cb-92C2-25804820EDAC}">
                        <c15:fullRef>
                          <c15:sqref>'FY2026-FY2015'!$E$3:$W$3</c15:sqref>
                        </c15:fullRef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'FY2026-FY2015'!$E$15:$W$15</c15:sqref>
                        </c15:fullRef>
                        <c15:formulaRef>
                          <c15:sqref>'FY2026-FY2015'!$E$15:$V$15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1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extLst>
                  <c:ext xmlns:c14="http://schemas.microsoft.com/office/drawing/2007/8/2/chart" uri="{6F2FDCE9-48DA-4B69-8628-5D25D57E5C99}">
                    <c14:invertSolidFillFmt>
                      <c14:spPr xmlns:c14="http://schemas.microsoft.com/office/drawing/2007/8/2/chart">
                        <a:solidFill>
                          <a:srgbClr val="FFFFFF"/>
                        </a:solidFill>
                        <a:ln cmpd="sng">
                          <a:solidFill>
                            <a:srgbClr val="000000"/>
                          </a:solidFill>
                        </a:ln>
                      </c14:spPr>
                    </c14:invertSolidFillFmt>
                  </c:ext>
                  <c:ext xmlns:c16="http://schemas.microsoft.com/office/drawing/2014/chart" uri="{C3380CC4-5D6E-409C-BE32-E72D297353CC}">
                    <c16:uniqueId val="{00000003-4098-4EE2-B9B1-23E3273E197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'FY2026-FY2015'!$C$18</c15:sqref>
                        </c15:formulaRef>
                      </c:ext>
                    </c:extLst>
                    <c:strCache>
                      <c:ptCount val="1"/>
                      <c:pt idx="0">
                        <c:v>Community Services</c:v>
                      </c:pt>
                    </c:strCache>
                  </c:strRef>
                </c:tx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'FY2026-FY2015'!$E$18:$W$18</c15:sqref>
                        </c15:fullRef>
                        <c15:formulaRef>
                          <c15:sqref>'FY2026-FY2015'!$E$18:$V$18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1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098-4EE2-B9B1-23E3273E1971}"/>
                  </c:ext>
                </c:extLst>
              </c15:ser>
            </c15:filteredBarSeries>
          </c:ext>
        </c:extLst>
      </c:barChart>
      <c:catAx>
        <c:axId val="388509046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 lvl="0">
              <a:defRPr sz="800" b="0" baseline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87132303"/>
        <c:crosses val="autoZero"/>
        <c:auto val="1"/>
        <c:lblAlgn val="ctr"/>
        <c:lblOffset val="100"/>
        <c:noMultiLvlLbl val="1"/>
      </c:catAx>
      <c:valAx>
        <c:axId val="1487132303"/>
        <c:scaling>
          <c:orientation val="minMax"/>
          <c:min val="0"/>
        </c:scaling>
        <c:delete val="0"/>
        <c:axPos val="r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#,##0" sourceLinked="1"/>
        <c:majorTickMark val="none"/>
        <c:minorTickMark val="none"/>
        <c:tickLblPos val="high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8850904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4615638161508879"/>
          <c:y val="5.4600242277407632E-2"/>
          <c:w val="0.24144051760971738"/>
          <c:h val="0.92797900262467192"/>
        </c:manualLayout>
      </c:layout>
      <c:overlay val="0"/>
      <c:txPr>
        <a:bodyPr/>
        <a:lstStyle/>
        <a:p>
          <a:pPr>
            <a:defRPr sz="800" baseline="0"/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Revenue/Expense</a:t>
            </a:r>
            <a:r>
              <a:rPr lang="en-US" baseline="0"/>
              <a:t> Comparison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061020291245321"/>
          <c:y val="0.22920703674151754"/>
          <c:w val="0.76216475478636236"/>
          <c:h val="0.46230699364214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'FY2026-FY2015'!$C$9</c:f>
              <c:strCache>
                <c:ptCount val="1"/>
                <c:pt idx="0">
                  <c:v>Total Revenue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4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('FY2026-FY2015'!$F$3:$O$3,'FY2026-FY2015'!$Q$3:$V$3)</c:f>
              <c:strCach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'FY2026-FY2015'!$E$9:$W$9</c15:sqref>
                  </c15:fullRef>
                </c:ext>
              </c:extLst>
              <c:f>('FY2026-FY2015'!$F$9:$O$9,'FY2026-FY2015'!$Q$9:$V$9)</c:f>
              <c:numCache>
                <c:formatCode>#,##0</c:formatCode>
                <c:ptCount val="10"/>
                <c:pt idx="0">
                  <c:v>59087573</c:v>
                </c:pt>
                <c:pt idx="1">
                  <c:v>58404027</c:v>
                </c:pt>
                <c:pt idx="2">
                  <c:v>55286744</c:v>
                </c:pt>
                <c:pt idx="3">
                  <c:v>59494527</c:v>
                </c:pt>
                <c:pt idx="4">
                  <c:v>55012149</c:v>
                </c:pt>
                <c:pt idx="5">
                  <c:v>53300778</c:v>
                </c:pt>
                <c:pt idx="6">
                  <c:v>54058216</c:v>
                </c:pt>
                <c:pt idx="7">
                  <c:v>53026366</c:v>
                </c:pt>
                <c:pt idx="8">
                  <c:v>50728902</c:v>
                </c:pt>
                <c:pt idx="9">
                  <c:v>50917085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81-4F40-A42B-D48537F40D61}"/>
            </c:ext>
          </c:extLst>
        </c:ser>
        <c:ser>
          <c:idx val="23"/>
          <c:order val="23"/>
          <c:tx>
            <c:strRef>
              <c:f>'FY2026-FY2015'!$C$32</c:f>
              <c:strCache>
                <c:ptCount val="1"/>
                <c:pt idx="0">
                  <c:v>Total Expenditures (exc. EFB &amp; Cont)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cat>
            <c:strRef>
              <c:extLst>
                <c:ext xmlns:c15="http://schemas.microsoft.com/office/drawing/2012/chart" uri="{02D57815-91ED-43cb-92C2-25804820EDAC}">
                  <c15:fullRef>
                    <c15:sqref>'FY2026-FY2015'!$E$3:$W$3</c15:sqref>
                  </c15:fullRef>
                </c:ext>
              </c:extLst>
              <c:f>('FY2026-FY2015'!$F$3:$O$3,'FY2026-FY2015'!$Q$3:$V$3)</c:f>
              <c:strCach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'FY2026-FY2015'!$E$32:$W$32</c15:sqref>
                  </c15:fullRef>
                </c:ext>
              </c:extLst>
              <c:f>('FY2026-FY2015'!$F$32:$O$32,'FY2026-FY2015'!$Q$32:$V$32)</c:f>
              <c:numCache>
                <c:formatCode>#,##0</c:formatCode>
                <c:ptCount val="10"/>
                <c:pt idx="0">
                  <c:v>64206437</c:v>
                </c:pt>
                <c:pt idx="1">
                  <c:v>64853103</c:v>
                </c:pt>
                <c:pt idx="2">
                  <c:v>56226568</c:v>
                </c:pt>
                <c:pt idx="3">
                  <c:v>56399594</c:v>
                </c:pt>
                <c:pt idx="4">
                  <c:v>53630101</c:v>
                </c:pt>
                <c:pt idx="5">
                  <c:v>54073754</c:v>
                </c:pt>
                <c:pt idx="6">
                  <c:v>52305629</c:v>
                </c:pt>
                <c:pt idx="7">
                  <c:v>52230818</c:v>
                </c:pt>
                <c:pt idx="8">
                  <c:v>50080833</c:v>
                </c:pt>
                <c:pt idx="9">
                  <c:v>51371531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281-4F40-A42B-D48537F40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47006320"/>
        <c:axId val="921754776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'FY2026-FY2015'!#REF!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'FY2026-FY2015'!$C$10:$W$10</c15:sqref>
                        </c15:fullRef>
                        <c15:formulaRef>
                          <c15:sqref>('FY2026-FY2015'!$D$10:$M$10,'FY2026-FY2015'!$O$10:$T$10,'FY2026-FY2015'!$V$10:$W$10)</c15:sqref>
                        </c15:formulaRef>
                      </c:ext>
                    </c:extLst>
                    <c:numCache>
                      <c:formatCode>0.00%</c:formatCode>
                      <c:ptCount val="12"/>
                      <c:pt idx="0">
                        <c:v>1.2268129543922882E-2</c:v>
                      </c:pt>
                      <c:pt idx="1" formatCode="General">
                        <c:v>59233467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1281-4F40-A42B-D48537F40D6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'FY2026-FY2015'!$C$11</c15:sqref>
                        </c15:formulaRef>
                      </c:ext>
                    </c:extLst>
                    <c:strCache>
                      <c:ptCount val="1"/>
                      <c:pt idx="0">
                        <c:v>Expenditures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'FY2026-FY2015'!$E$11:$W$11</c15:sqref>
                        </c15:fullRef>
                        <c15:formulaRef>
                          <c15:sqref>('FY2026-FY2015'!$F$11:$O$11,'FY2026-FY2015'!$Q$11:$V$11)</c15:sqref>
                        </c15:formulaRef>
                      </c:ext>
                    </c:extLst>
                    <c:numCache>
                      <c:formatCode>#,##0</c:formatCode>
                      <c:ptCount val="10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281-4F40-A42B-D48537F40D6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'FY2026-FY2015'!$C$12</c15:sqref>
                        </c15:formulaRef>
                      </c:ext>
                    </c:extLst>
                    <c:strCache>
                      <c:ptCount val="1"/>
                      <c:pt idx="0">
                        <c:v>Regular Programs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'FY2026-FY2015'!$E$12:$W$12</c15:sqref>
                        </c15:fullRef>
                        <c15:formulaRef>
                          <c15:sqref>('FY2026-FY2015'!$F$12:$O$12,'FY2026-FY2015'!$Q$12:$V$12)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26091473</c:v>
                      </c:pt>
                      <c:pt idx="1">
                        <c:v>26367255</c:v>
                      </c:pt>
                      <c:pt idx="2">
                        <c:v>23731546</c:v>
                      </c:pt>
                      <c:pt idx="3">
                        <c:v>24043897</c:v>
                      </c:pt>
                      <c:pt idx="4">
                        <c:v>23770863</c:v>
                      </c:pt>
                      <c:pt idx="5">
                        <c:v>23940497</c:v>
                      </c:pt>
                      <c:pt idx="6">
                        <c:v>23181589</c:v>
                      </c:pt>
                      <c:pt idx="7">
                        <c:v>23223660</c:v>
                      </c:pt>
                      <c:pt idx="8">
                        <c:v>22003433</c:v>
                      </c:pt>
                      <c:pt idx="9">
                        <c:v>22298368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281-4F40-A42B-D48537F40D6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</c15:sqref>
                        </c15:formulaRef>
                      </c:ext>
                    </c:extLst>
                    <c:strCache>
                      <c:ptCount val="1"/>
                      <c:pt idx="0">
                        <c:v>Special Programs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'FY2026-FY2015'!$E$13:$W$13</c15:sqref>
                        </c15:fullRef>
                        <c15:formulaRef>
                          <c15:sqref>('FY2026-FY2015'!$F$13:$O$13,'FY2026-FY2015'!$Q$13:$V$13)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3610338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281-4F40-A42B-D48537F40D61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'FY2026-FY2015'!$C$14</c15:sqref>
                        </c15:formulaRef>
                      </c:ext>
                    </c:extLst>
                    <c:strCache>
                      <c:ptCount val="1"/>
                      <c:pt idx="0">
                        <c:v>Vocational 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'FY2026-FY2015'!$E$14:$W$14</c15:sqref>
                        </c15:fullRef>
                        <c15:formulaRef>
                          <c15:sqref>('FY2026-FY2015'!$F$14:$O$14,'FY2026-FY2015'!$Q$14:$V$14)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847419</c:v>
                      </c:pt>
                      <c:pt idx="1">
                        <c:v>791444</c:v>
                      </c:pt>
                      <c:pt idx="2">
                        <c:v>665874</c:v>
                      </c:pt>
                      <c:pt idx="3">
                        <c:v>680474</c:v>
                      </c:pt>
                      <c:pt idx="4">
                        <c:v>848351</c:v>
                      </c:pt>
                      <c:pt idx="5">
                        <c:v>813805</c:v>
                      </c:pt>
                      <c:pt idx="6">
                        <c:v>817917</c:v>
                      </c:pt>
                      <c:pt idx="7">
                        <c:v>843819</c:v>
                      </c:pt>
                      <c:pt idx="8">
                        <c:v>843983</c:v>
                      </c:pt>
                      <c:pt idx="9">
                        <c:v>890201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281-4F40-A42B-D48537F40D6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'FY2026-FY2015'!$C$15</c15:sqref>
                        </c15:formulaRef>
                      </c:ext>
                    </c:extLst>
                    <c:strCache>
                      <c:ptCount val="1"/>
                      <c:pt idx="0">
                        <c:v>Adult Education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'FY2026-FY2015'!$E$15:$W$15</c15:sqref>
                        </c15:fullRef>
                        <c15:formulaRef>
                          <c15:sqref>('FY2026-FY2015'!$F$15:$O$15,'FY2026-FY2015'!$Q$15:$V$15)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281-4F40-A42B-D48537F40D6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'FY2026-FY2015'!$C$16</c15:sqref>
                        </c15:formulaRef>
                      </c:ext>
                    </c:extLst>
                    <c:strCache>
                      <c:ptCount val="1"/>
                      <c:pt idx="0">
                        <c:v>Extra and Cocurricular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'FY2026-FY2015'!$E$16:$W$16</c15:sqref>
                        </c15:fullRef>
                        <c15:formulaRef>
                          <c15:sqref>('FY2026-FY2015'!$F$16:$O$16,'FY2026-FY2015'!$Q$16:$V$16)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698159</c:v>
                      </c:pt>
                      <c:pt idx="1">
                        <c:v>647677</c:v>
                      </c:pt>
                      <c:pt idx="2">
                        <c:v>583832</c:v>
                      </c:pt>
                      <c:pt idx="3">
                        <c:v>540868</c:v>
                      </c:pt>
                      <c:pt idx="4">
                        <c:v>433684</c:v>
                      </c:pt>
                      <c:pt idx="5">
                        <c:v>528054</c:v>
                      </c:pt>
                      <c:pt idx="6">
                        <c:v>503532</c:v>
                      </c:pt>
                      <c:pt idx="7">
                        <c:v>529309</c:v>
                      </c:pt>
                      <c:pt idx="8">
                        <c:v>504412</c:v>
                      </c:pt>
                      <c:pt idx="9">
                        <c:v>499105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281-4F40-A42B-D48537F40D6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'FY2026-FY2015'!$C$17</c15:sqref>
                        </c15:formulaRef>
                      </c:ext>
                    </c:extLst>
                    <c:strCache>
                      <c:ptCount val="1"/>
                      <c:pt idx="0">
                        <c:v>Other Instructional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'FY2026-FY2015'!$E$17:$W$17</c15:sqref>
                        </c15:fullRef>
                        <c15:formulaRef>
                          <c15:sqref>('FY2026-FY2015'!$F$17:$O$17,'FY2026-FY2015'!$Q$17:$V$17)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1553052</c:v>
                      </c:pt>
                      <c:pt idx="1">
                        <c:v>1285598</c:v>
                      </c:pt>
                      <c:pt idx="2">
                        <c:v>1651616</c:v>
                      </c:pt>
                      <c:pt idx="3">
                        <c:v>1559521</c:v>
                      </c:pt>
                      <c:pt idx="4">
                        <c:v>1796188</c:v>
                      </c:pt>
                      <c:pt idx="5">
                        <c:v>1740005</c:v>
                      </c:pt>
                      <c:pt idx="6">
                        <c:v>1678720</c:v>
                      </c:pt>
                      <c:pt idx="7">
                        <c:v>1639952</c:v>
                      </c:pt>
                      <c:pt idx="8">
                        <c:v>1621300</c:v>
                      </c:pt>
                      <c:pt idx="9">
                        <c:v>1614534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281-4F40-A42B-D48537F40D6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'FY2026-FY2015'!$C$18</c15:sqref>
                        </c15:formulaRef>
                      </c:ext>
                    </c:extLst>
                    <c:strCache>
                      <c:ptCount val="1"/>
                      <c:pt idx="0">
                        <c:v>Community Services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'FY2026-FY2015'!$E$18:$W$18</c15:sqref>
                        </c15:fullRef>
                        <c15:formulaRef>
                          <c15:sqref>('FY2026-FY2015'!$F$18:$O$18,'FY2026-FY2015'!$Q$18:$V$18)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281-4F40-A42B-D48537F40D61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'FY2026-FY2015'!$C$19</c15:sqref>
                        </c15:formulaRef>
                      </c:ext>
                    </c:extLst>
                    <c:strCache>
                      <c:ptCount val="1"/>
                      <c:pt idx="0">
                        <c:v>Student Support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'FY2026-FY2015'!$E$19:$W$19</c15:sqref>
                        </c15:fullRef>
                        <c15:formulaRef>
                          <c15:sqref>('FY2026-FY2015'!$F$19:$O$19,'FY2026-FY2015'!$Q$19:$V$19)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4290020</c:v>
                      </c:pt>
                      <c:pt idx="1">
                        <c:v>4068388</c:v>
                      </c:pt>
                      <c:pt idx="2">
                        <c:v>3243822</c:v>
                      </c:pt>
                      <c:pt idx="3">
                        <c:v>2938044</c:v>
                      </c:pt>
                      <c:pt idx="4">
                        <c:v>2713693</c:v>
                      </c:pt>
                      <c:pt idx="5">
                        <c:v>2650416</c:v>
                      </c:pt>
                      <c:pt idx="6">
                        <c:v>2552319</c:v>
                      </c:pt>
                      <c:pt idx="7">
                        <c:v>2515678</c:v>
                      </c:pt>
                      <c:pt idx="8">
                        <c:v>2425889</c:v>
                      </c:pt>
                      <c:pt idx="9">
                        <c:v>2411128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1281-4F40-A42B-D48537F40D61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'FY2026-FY2015'!$C$20</c15:sqref>
                        </c15:formulaRef>
                      </c:ext>
                    </c:extLst>
                    <c:strCache>
                      <c:ptCount val="1"/>
                      <c:pt idx="0">
                        <c:v>Instructional Staff Support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'FY2026-FY2015'!$E$20:$W$20</c15:sqref>
                        </c15:fullRef>
                        <c15:formulaRef>
                          <c15:sqref>('FY2026-FY2015'!$F$20:$O$20,'FY2026-FY2015'!$Q$20:$V$20)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1393978</c:v>
                      </c:pt>
                      <c:pt idx="1">
                        <c:v>1363659</c:v>
                      </c:pt>
                      <c:pt idx="2">
                        <c:v>1260085</c:v>
                      </c:pt>
                      <c:pt idx="3">
                        <c:v>1151545</c:v>
                      </c:pt>
                      <c:pt idx="4">
                        <c:v>1218660</c:v>
                      </c:pt>
                      <c:pt idx="5">
                        <c:v>1195312</c:v>
                      </c:pt>
                      <c:pt idx="6">
                        <c:v>1222032</c:v>
                      </c:pt>
                      <c:pt idx="7">
                        <c:v>1186674</c:v>
                      </c:pt>
                      <c:pt idx="8">
                        <c:v>1110507</c:v>
                      </c:pt>
                      <c:pt idx="9">
                        <c:v>1083057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1281-4F40-A42B-D48537F40D61}"/>
                  </c:ext>
                </c:extLst>
              </c15:ser>
            </c15:filteredBarSeries>
            <c15:filteredBar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'FY2026-FY2015'!$C$21</c15:sqref>
                        </c15:formulaRef>
                      </c:ext>
                    </c:extLst>
                    <c:strCache>
                      <c:ptCount val="1"/>
                      <c:pt idx="0">
                        <c:v>General Admin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'FY2026-FY2015'!$E$21:$W$21</c15:sqref>
                        </c15:fullRef>
                        <c15:formulaRef>
                          <c15:sqref>('FY2026-FY2015'!$F$21:$O$21,'FY2026-FY2015'!$Q$21:$V$21)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1167701</c:v>
                      </c:pt>
                      <c:pt idx="1">
                        <c:v>1194283</c:v>
                      </c:pt>
                      <c:pt idx="2">
                        <c:v>839799</c:v>
                      </c:pt>
                      <c:pt idx="3">
                        <c:v>559549</c:v>
                      </c:pt>
                      <c:pt idx="4">
                        <c:v>520113</c:v>
                      </c:pt>
                      <c:pt idx="5">
                        <c:v>540943</c:v>
                      </c:pt>
                      <c:pt idx="6">
                        <c:v>494028</c:v>
                      </c:pt>
                      <c:pt idx="7">
                        <c:v>620788</c:v>
                      </c:pt>
                      <c:pt idx="8">
                        <c:v>508548</c:v>
                      </c:pt>
                      <c:pt idx="9">
                        <c:v>564339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1281-4F40-A42B-D48537F40D61}"/>
                  </c:ext>
                </c:extLst>
              </c15:ser>
            </c15:filteredBarSeries>
            <c15:filteredBar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'FY2026-FY2015'!$C$22</c15:sqref>
                        </c15:formulaRef>
                      </c:ext>
                    </c:extLst>
                    <c:strCache>
                      <c:ptCount val="1"/>
                      <c:pt idx="0">
                        <c:v>School Admin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'FY2026-FY2015'!$E$22:$W$22</c15:sqref>
                        </c15:fullRef>
                        <c15:formulaRef>
                          <c15:sqref>('FY2026-FY2015'!$F$22:$O$22,'FY2026-FY2015'!$Q$22:$V$22)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5713320</c:v>
                      </c:pt>
                      <c:pt idx="1">
                        <c:v>5537265</c:v>
                      </c:pt>
                      <c:pt idx="2">
                        <c:v>4686654</c:v>
                      </c:pt>
                      <c:pt idx="3">
                        <c:v>4702143</c:v>
                      </c:pt>
                      <c:pt idx="4">
                        <c:v>4571372</c:v>
                      </c:pt>
                      <c:pt idx="5">
                        <c:v>4640348</c:v>
                      </c:pt>
                      <c:pt idx="6">
                        <c:v>4629819</c:v>
                      </c:pt>
                      <c:pt idx="7">
                        <c:v>4532689</c:v>
                      </c:pt>
                      <c:pt idx="8">
                        <c:v>4460265</c:v>
                      </c:pt>
                      <c:pt idx="9">
                        <c:v>4390233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1281-4F40-A42B-D48537F40D61}"/>
                  </c:ext>
                </c:extLst>
              </c15:ser>
            </c15:filteredBarSeries>
            <c15:filteredBar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'FY2026-FY2015'!$C$23</c15:sqref>
                        </c15:formulaRef>
                      </c:ext>
                    </c:extLst>
                    <c:strCache>
                      <c:ptCount val="1"/>
                      <c:pt idx="0">
                        <c:v>Central Services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'FY2026-FY2015'!$E$23:$W$23</c15:sqref>
                        </c15:fullRef>
                        <c15:formulaRef>
                          <c15:sqref>('FY2026-FY2015'!$F$23:$O$23,'FY2026-FY2015'!$Q$23:$V$23)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2629933</c:v>
                      </c:pt>
                      <c:pt idx="1">
                        <c:v>2334015</c:v>
                      </c:pt>
                      <c:pt idx="2">
                        <c:v>2113268</c:v>
                      </c:pt>
                      <c:pt idx="3">
                        <c:v>2219839</c:v>
                      </c:pt>
                      <c:pt idx="4">
                        <c:v>1957897</c:v>
                      </c:pt>
                      <c:pt idx="5">
                        <c:v>1908362</c:v>
                      </c:pt>
                      <c:pt idx="6">
                        <c:v>1959263</c:v>
                      </c:pt>
                      <c:pt idx="7">
                        <c:v>1858376</c:v>
                      </c:pt>
                      <c:pt idx="8">
                        <c:v>2037145</c:v>
                      </c:pt>
                      <c:pt idx="9">
                        <c:v>2000349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1281-4F40-A42B-D48537F40D61}"/>
                  </c:ext>
                </c:extLst>
              </c15:ser>
            </c15:filteredBarSeries>
            <c15:filteredBar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'FY2026-FY2015'!$C$24</c15:sqref>
                        </c15:formulaRef>
                      </c:ext>
                    </c:extLst>
                    <c:strCache>
                      <c:ptCount val="1"/>
                      <c:pt idx="0">
                        <c:v>Operations and Maintenance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'FY2026-FY2015'!$E$24:$W$24</c15:sqref>
                        </c15:fullRef>
                        <c15:formulaRef>
                          <c15:sqref>('FY2026-FY2015'!$F$24:$O$24,'FY2026-FY2015'!$Q$24:$V$24)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8578252</c:v>
                      </c:pt>
                      <c:pt idx="1">
                        <c:v>8988620</c:v>
                      </c:pt>
                      <c:pt idx="2">
                        <c:v>7933611</c:v>
                      </c:pt>
                      <c:pt idx="3">
                        <c:v>7404702</c:v>
                      </c:pt>
                      <c:pt idx="4">
                        <c:v>7096878</c:v>
                      </c:pt>
                      <c:pt idx="5">
                        <c:v>7277101</c:v>
                      </c:pt>
                      <c:pt idx="6">
                        <c:v>6967627</c:v>
                      </c:pt>
                      <c:pt idx="7">
                        <c:v>6903401</c:v>
                      </c:pt>
                      <c:pt idx="8">
                        <c:v>6514568</c:v>
                      </c:pt>
                      <c:pt idx="9">
                        <c:v>6913432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1281-4F40-A42B-D48537F40D61}"/>
                  </c:ext>
                </c:extLst>
              </c15:ser>
            </c15:filteredBarSeries>
            <c15:filteredBar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'FY2026-FY2015'!$C$25</c15:sqref>
                        </c15:formulaRef>
                      </c:ext>
                    </c:extLst>
                    <c:strCache>
                      <c:ptCount val="1"/>
                      <c:pt idx="0">
                        <c:v>Student Transportation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'FY2026-FY2015'!$E$25:$W$25</c15:sqref>
                        </c15:fullRef>
                        <c15:formulaRef>
                          <c15:sqref>('FY2026-FY2015'!$F$25:$O$25,'FY2026-FY2015'!$Q$25:$V$25)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4085890</c:v>
                      </c:pt>
                      <c:pt idx="1">
                        <c:v>4565158</c:v>
                      </c:pt>
                      <c:pt idx="2">
                        <c:v>3247471</c:v>
                      </c:pt>
                      <c:pt idx="3">
                        <c:v>3835158</c:v>
                      </c:pt>
                      <c:pt idx="4">
                        <c:v>3557877</c:v>
                      </c:pt>
                      <c:pt idx="5">
                        <c:v>3465564</c:v>
                      </c:pt>
                      <c:pt idx="6">
                        <c:v>3454141</c:v>
                      </c:pt>
                      <c:pt idx="7">
                        <c:v>3298899</c:v>
                      </c:pt>
                      <c:pt idx="8">
                        <c:v>3147481</c:v>
                      </c:pt>
                      <c:pt idx="9">
                        <c:v>3217340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1281-4F40-A42B-D48537F40D61}"/>
                  </c:ext>
                </c:extLst>
              </c15:ser>
            </c15:filteredBarSeries>
            <c15:filteredBar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'FY2026-FY2015'!$C$26</c15:sqref>
                        </c15:formulaRef>
                      </c:ext>
                    </c:extLst>
                    <c:strCache>
                      <c:ptCount val="1"/>
                      <c:pt idx="0">
                        <c:v>Other Support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'FY2026-FY2015'!$E$26:$W$26</c15:sqref>
                        </c15:fullRef>
                        <c15:formulaRef>
                          <c15:sqref>('FY2026-FY2015'!$F$26:$O$26,'FY2026-FY2015'!$Q$26:$V$26)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180250</c:v>
                      </c:pt>
                      <c:pt idx="1">
                        <c:v>252436</c:v>
                      </c:pt>
                      <c:pt idx="2">
                        <c:v>247232</c:v>
                      </c:pt>
                      <c:pt idx="3">
                        <c:v>913250</c:v>
                      </c:pt>
                      <c:pt idx="4">
                        <c:v>112329</c:v>
                      </c:pt>
                      <c:pt idx="5">
                        <c:v>147378</c:v>
                      </c:pt>
                      <c:pt idx="6">
                        <c:v>167651</c:v>
                      </c:pt>
                      <c:pt idx="7">
                        <c:v>152659</c:v>
                      </c:pt>
                      <c:pt idx="8">
                        <c:v>141343</c:v>
                      </c:pt>
                      <c:pt idx="9">
                        <c:v>83439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1281-4F40-A42B-D48537F40D61}"/>
                  </c:ext>
                </c:extLst>
              </c15:ser>
            </c15:filteredBarSeries>
            <c15:filteredBar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'FY2026-FY2015'!$C$27</c15:sqref>
                        </c15:formulaRef>
                      </c:ext>
                    </c:extLst>
                    <c:strCache>
                      <c:ptCount val="1"/>
                      <c:pt idx="0">
                        <c:v>Facilities Capital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'FY2026-FY2015'!$E$27:$W$27</c15:sqref>
                        </c15:fullRef>
                        <c15:formulaRef>
                          <c15:sqref>('FY2026-FY2015'!$F$27:$O$27,'FY2026-FY2015'!$Q$27:$V$27)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376990</c:v>
                      </c:pt>
                      <c:pt idx="1">
                        <c:v>434716</c:v>
                      </c:pt>
                      <c:pt idx="2">
                        <c:v>299008</c:v>
                      </c:pt>
                      <c:pt idx="3">
                        <c:v>321344</c:v>
                      </c:pt>
                      <c:pt idx="4">
                        <c:v>509250</c:v>
                      </c:pt>
                      <c:pt idx="5">
                        <c:v>903301</c:v>
                      </c:pt>
                      <c:pt idx="6">
                        <c:v>603</c:v>
                      </c:pt>
                      <c:pt idx="7">
                        <c:v>110649</c:v>
                      </c:pt>
                      <c:pt idx="8">
                        <c:v>1064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1281-4F40-A42B-D48537F40D61}"/>
                  </c:ext>
                </c:extLst>
              </c15:ser>
            </c15:filteredBarSeries>
            <c15:filteredBar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'FY2026-FY2015'!$C$28</c15:sqref>
                        </c15:formulaRef>
                      </c:ext>
                    </c:extLst>
                    <c:strCache>
                      <c:ptCount val="1"/>
                      <c:pt idx="0">
                        <c:v>Debt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'FY2026-FY2015'!$E$28:$W$28</c15:sqref>
                        </c15:fullRef>
                        <c15:formulaRef>
                          <c15:sqref>('FY2026-FY2015'!$F$28:$O$28,'FY2026-FY2015'!$Q$28:$V$28)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322589</c:v>
                      </c:pt>
                      <c:pt idx="2">
                        <c:v>522750</c:v>
                      </c:pt>
                      <c:pt idx="3">
                        <c:v>522966</c:v>
                      </c:pt>
                      <c:pt idx="4">
                        <c:v>522946</c:v>
                      </c:pt>
                      <c:pt idx="5">
                        <c:v>522668</c:v>
                      </c:pt>
                      <c:pt idx="6">
                        <c:v>476388</c:v>
                      </c:pt>
                      <c:pt idx="7">
                        <c:v>514265</c:v>
                      </c:pt>
                      <c:pt idx="8">
                        <c:v>499895</c:v>
                      </c:pt>
                      <c:pt idx="9">
                        <c:v>486006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1281-4F40-A42B-D48537F40D61}"/>
                  </c:ext>
                </c:extLst>
              </c15:ser>
            </c15:filteredBarSeries>
            <c15:filteredBar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'FY2026-FY2015'!$C$29</c15:sqref>
                        </c15:formulaRef>
                      </c:ext>
                    </c:extLst>
                    <c:strCache>
                      <c:ptCount val="1"/>
                      <c:pt idx="0">
                        <c:v>Transfers to Other Funds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'FY2026-FY2015'!$E$29:$W$29</c15:sqref>
                        </c15:fullRef>
                        <c15:formulaRef>
                          <c15:sqref>('FY2026-FY2015'!$F$29:$O$29,'FY2026-FY2015'!$Q$29:$V$29)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6600000</c:v>
                      </c:pt>
                      <c:pt idx="1">
                        <c:v>6700000</c:v>
                      </c:pt>
                      <c:pt idx="2">
                        <c:v>5200000</c:v>
                      </c:pt>
                      <c:pt idx="3">
                        <c:v>1395956</c:v>
                      </c:pt>
                      <c:pt idx="4">
                        <c:v>4000000</c:v>
                      </c:pt>
                      <c:pt idx="5">
                        <c:v>3800000</c:v>
                      </c:pt>
                      <c:pt idx="6">
                        <c:v>4200000</c:v>
                      </c:pt>
                      <c:pt idx="7">
                        <c:v>4300000</c:v>
                      </c:pt>
                      <c:pt idx="8">
                        <c:v>4261000</c:v>
                      </c:pt>
                      <c:pt idx="9">
                        <c:v>4920000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1281-4F40-A42B-D48537F40D61}"/>
                  </c:ext>
                </c:extLst>
              </c15:ser>
            </c15:filteredBarSeries>
            <c15:filteredBar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'FY2026-FY2015'!$C$30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'FY2026-FY2015'!$E$30:$W$30</c15:sqref>
                        </c15:fullRef>
                        <c15:formulaRef>
                          <c15:sqref>('FY2026-FY2015'!$F$30:$O$30,'FY2026-FY2015'!$Q$30:$V$30)</c15:sqref>
                        </c15:formulaRef>
                      </c:ext>
                    </c:extLst>
                    <c:numCache>
                      <c:formatCode>#,##0</c:formatCode>
                      <c:ptCount val="10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1281-4F40-A42B-D48537F40D61}"/>
                  </c:ext>
                </c:extLst>
              </c15:ser>
            </c15:filteredBarSeries>
            <c15:filteredBarSeries>
              <c15:ser>
                <c:idx val="22"/>
                <c:order val="2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'FY2026-FY2015'!$C$31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'FY2026-FY2015'!$E$3:$W$3</c15:sqref>
                        </c15:fullRef>
                        <c15:formulaRef>
                          <c15:sqref>('FY2026-FY2015'!$F$3:$O$3,'FY2026-FY2015'!$Q$3:$V$3)</c15:sqref>
                        </c15:formulaRef>
                      </c:ext>
                    </c:extLst>
                    <c:strCache>
                      <c:ptCount val="10"/>
                      <c:pt idx="0">
                        <c:v>2025</c:v>
                      </c:pt>
                      <c:pt idx="1">
                        <c:v>2024</c:v>
                      </c:pt>
                      <c:pt idx="2">
                        <c:v>2023</c:v>
                      </c:pt>
                      <c:pt idx="3">
                        <c:v>2022</c:v>
                      </c:pt>
                      <c:pt idx="4">
                        <c:v>2021</c:v>
                      </c:pt>
                      <c:pt idx="5">
                        <c:v>2020</c:v>
                      </c:pt>
                      <c:pt idx="6">
                        <c:v>2019</c:v>
                      </c:pt>
                      <c:pt idx="7">
                        <c:v>2018</c:v>
                      </c:pt>
                      <c:pt idx="8">
                        <c:v>2017</c:v>
                      </c:pt>
                      <c:pt idx="9">
                        <c:v>2016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'FY2026-FY2015'!$E$31:$W$31</c15:sqref>
                        </c15:fullRef>
                        <c15:formulaRef>
                          <c15:sqref>('FY2026-FY2015'!$F$31:$O$31,'FY2026-FY2015'!$Q$31:$V$31)</c15:sqref>
                        </c15:formulaRef>
                      </c:ext>
                    </c:extLst>
                    <c:numCache>
                      <c:formatCode>#,##0</c:formatCode>
                      <c:ptCount val="10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6-1281-4F40-A42B-D48537F40D61}"/>
                  </c:ext>
                </c:extLst>
              </c15:ser>
            </c15:filteredBarSeries>
          </c:ext>
        </c:extLst>
      </c:barChart>
      <c:catAx>
        <c:axId val="104700632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1754776"/>
        <c:crosses val="autoZero"/>
        <c:auto val="1"/>
        <c:lblAlgn val="ctr"/>
        <c:lblOffset val="100"/>
        <c:noMultiLvlLbl val="0"/>
      </c:catAx>
      <c:valAx>
        <c:axId val="92175477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7006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v Exp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'FY2026-FY2015'!$E$3:$P$3</c:f>
              <c:strCache>
                <c:ptCount val="5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</c:strCache>
            </c:strRef>
          </c:cat>
          <c:val>
            <c:numRef>
              <c:f>'FY2026-FY2015'!$E$9:$P$9</c:f>
              <c:numCache>
                <c:formatCode>#,##0</c:formatCode>
                <c:ptCount val="5"/>
                <c:pt idx="0">
                  <c:v>59812467</c:v>
                </c:pt>
                <c:pt idx="1">
                  <c:v>59087573</c:v>
                </c:pt>
                <c:pt idx="2">
                  <c:v>58404027</c:v>
                </c:pt>
                <c:pt idx="3">
                  <c:v>55286744</c:v>
                </c:pt>
                <c:pt idx="4">
                  <c:v>59494527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5-44C5-9429-85E03B94B3E1}"/>
            </c:ext>
          </c:extLst>
        </c:ser>
        <c:ser>
          <c:idx val="1"/>
          <c:order val="1"/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'FY2026-FY2015'!$E$3:$P$3</c:f>
              <c:strCache>
                <c:ptCount val="5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</c:strCache>
            </c:strRef>
          </c:cat>
          <c:val>
            <c:numRef>
              <c:f>'FY2026-FY2015'!$E$32:$P$32</c:f>
              <c:numCache>
                <c:formatCode>#,##0</c:formatCode>
                <c:ptCount val="5"/>
                <c:pt idx="0">
                  <c:v>64936282</c:v>
                </c:pt>
                <c:pt idx="1">
                  <c:v>64206437</c:v>
                </c:pt>
                <c:pt idx="2">
                  <c:v>64853103</c:v>
                </c:pt>
                <c:pt idx="3">
                  <c:v>56226568</c:v>
                </c:pt>
                <c:pt idx="4">
                  <c:v>56399594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35-44C5-9429-85E03B94B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8016280"/>
        <c:axId val="1168007280"/>
      </c:barChart>
      <c:catAx>
        <c:axId val="116801628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8007280"/>
        <c:crosses val="autoZero"/>
        <c:auto val="1"/>
        <c:lblAlgn val="ctr"/>
        <c:lblOffset val="100"/>
        <c:noMultiLvlLbl val="0"/>
      </c:catAx>
      <c:valAx>
        <c:axId val="1168007280"/>
        <c:scaling>
          <c:orientation val="minMax"/>
          <c:max val="70000000"/>
          <c:min val="20000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8016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GF Expenditures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'FY2026-FY2015'!$C$97</c:f>
              <c:strCache>
                <c:ptCount val="1"/>
                <c:pt idx="0">
                  <c:v>Instruction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'FY2026-FY2015'!$E$97:$V$97</c:f>
              <c:numCache>
                <c:formatCode>#,##0</c:formatCode>
                <c:ptCount val="11"/>
                <c:pt idx="0">
                  <c:v>28796358</c:v>
                </c:pt>
                <c:pt idx="1">
                  <c:v>29190103</c:v>
                </c:pt>
                <c:pt idx="2">
                  <c:v>29091974</c:v>
                </c:pt>
                <c:pt idx="3">
                  <c:v>26632868</c:v>
                </c:pt>
                <c:pt idx="4">
                  <c:v>30435098</c:v>
                </c:pt>
                <c:pt idx="5">
                  <c:v>26849086</c:v>
                </c:pt>
                <c:pt idx="6">
                  <c:v>27022361</c:v>
                </c:pt>
                <c:pt idx="7">
                  <c:v>26181758</c:v>
                </c:pt>
                <c:pt idx="8">
                  <c:v>26236740</c:v>
                </c:pt>
                <c:pt idx="9">
                  <c:v>24973128</c:v>
                </c:pt>
                <c:pt idx="10">
                  <c:v>25302208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82-465B-A2C1-93FC207D9295}"/>
            </c:ext>
          </c:extLst>
        </c:ser>
        <c:ser>
          <c:idx val="1"/>
          <c:order val="1"/>
          <c:tx>
            <c:strRef>
              <c:f>'FY2026-FY2015'!$C$98</c:f>
              <c:strCache>
                <c:ptCount val="1"/>
                <c:pt idx="0">
                  <c:v>Student Support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'FY2026-FY2015'!$E$98:$V$98</c:f>
              <c:numCache>
                <c:formatCode>#,##0</c:formatCode>
                <c:ptCount val="11"/>
                <c:pt idx="0">
                  <c:v>4081174</c:v>
                </c:pt>
                <c:pt idx="1">
                  <c:v>4290020</c:v>
                </c:pt>
                <c:pt idx="2">
                  <c:v>4068388</c:v>
                </c:pt>
                <c:pt idx="3">
                  <c:v>3243822</c:v>
                </c:pt>
                <c:pt idx="4">
                  <c:v>2938044</c:v>
                </c:pt>
                <c:pt idx="5">
                  <c:v>2713693</c:v>
                </c:pt>
                <c:pt idx="6">
                  <c:v>2650416</c:v>
                </c:pt>
                <c:pt idx="7">
                  <c:v>2552319</c:v>
                </c:pt>
                <c:pt idx="8">
                  <c:v>2515678</c:v>
                </c:pt>
                <c:pt idx="9">
                  <c:v>2425889</c:v>
                </c:pt>
                <c:pt idx="10">
                  <c:v>2411128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82-465B-A2C1-93FC207D9295}"/>
            </c:ext>
          </c:extLst>
        </c:ser>
        <c:ser>
          <c:idx val="2"/>
          <c:order val="2"/>
          <c:tx>
            <c:strRef>
              <c:f>'FY2026-FY2015'!$C$99</c:f>
              <c:strCache>
                <c:ptCount val="1"/>
                <c:pt idx="0">
                  <c:v>Instructional Staff Support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'FY2026-FY2015'!$E$99:$V$99</c:f>
              <c:numCache>
                <c:formatCode>#,##0</c:formatCode>
                <c:ptCount val="11"/>
                <c:pt idx="0">
                  <c:v>1472599</c:v>
                </c:pt>
                <c:pt idx="1">
                  <c:v>1393978</c:v>
                </c:pt>
                <c:pt idx="2">
                  <c:v>1363659</c:v>
                </c:pt>
                <c:pt idx="3">
                  <c:v>1260085</c:v>
                </c:pt>
                <c:pt idx="4">
                  <c:v>1151545</c:v>
                </c:pt>
                <c:pt idx="5">
                  <c:v>1218660</c:v>
                </c:pt>
                <c:pt idx="6">
                  <c:v>1195312</c:v>
                </c:pt>
                <c:pt idx="7">
                  <c:v>1222032</c:v>
                </c:pt>
                <c:pt idx="8">
                  <c:v>1186674</c:v>
                </c:pt>
                <c:pt idx="9">
                  <c:v>1110507</c:v>
                </c:pt>
                <c:pt idx="10">
                  <c:v>1083057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82-465B-A2C1-93FC207D9295}"/>
            </c:ext>
          </c:extLst>
        </c:ser>
        <c:ser>
          <c:idx val="3"/>
          <c:order val="3"/>
          <c:tx>
            <c:strRef>
              <c:f>'FY2026-FY2015'!$C$100</c:f>
              <c:strCache>
                <c:ptCount val="1"/>
                <c:pt idx="0">
                  <c:v>General Admin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'FY2026-FY2015'!$E$100:$V$100</c:f>
              <c:numCache>
                <c:formatCode>#,##0</c:formatCode>
                <c:ptCount val="11"/>
                <c:pt idx="0">
                  <c:v>1104258</c:v>
                </c:pt>
                <c:pt idx="1">
                  <c:v>1167701</c:v>
                </c:pt>
                <c:pt idx="2">
                  <c:v>1194283</c:v>
                </c:pt>
                <c:pt idx="3">
                  <c:v>839799</c:v>
                </c:pt>
                <c:pt idx="4">
                  <c:v>559549</c:v>
                </c:pt>
                <c:pt idx="5">
                  <c:v>520113</c:v>
                </c:pt>
                <c:pt idx="6">
                  <c:v>540943</c:v>
                </c:pt>
                <c:pt idx="7">
                  <c:v>494028</c:v>
                </c:pt>
                <c:pt idx="8">
                  <c:v>620788</c:v>
                </c:pt>
                <c:pt idx="9">
                  <c:v>508548</c:v>
                </c:pt>
                <c:pt idx="10">
                  <c:v>564339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82-465B-A2C1-93FC207D9295}"/>
            </c:ext>
          </c:extLst>
        </c:ser>
        <c:ser>
          <c:idx val="4"/>
          <c:order val="4"/>
          <c:tx>
            <c:strRef>
              <c:f>'FY2026-FY2015'!$C$101</c:f>
              <c:strCache>
                <c:ptCount val="1"/>
                <c:pt idx="0">
                  <c:v>School Admin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'FY2026-FY2015'!$E$101:$V$101</c:f>
              <c:numCache>
                <c:formatCode>#,##0</c:formatCode>
                <c:ptCount val="11"/>
                <c:pt idx="0">
                  <c:v>5782358</c:v>
                </c:pt>
                <c:pt idx="1">
                  <c:v>5713320</c:v>
                </c:pt>
                <c:pt idx="2">
                  <c:v>5537265</c:v>
                </c:pt>
                <c:pt idx="3">
                  <c:v>4686654</c:v>
                </c:pt>
                <c:pt idx="4">
                  <c:v>4702143</c:v>
                </c:pt>
                <c:pt idx="5">
                  <c:v>4571372</c:v>
                </c:pt>
                <c:pt idx="6">
                  <c:v>4640348</c:v>
                </c:pt>
                <c:pt idx="7">
                  <c:v>4629819</c:v>
                </c:pt>
                <c:pt idx="8">
                  <c:v>4532689</c:v>
                </c:pt>
                <c:pt idx="9">
                  <c:v>4460265</c:v>
                </c:pt>
                <c:pt idx="10">
                  <c:v>4390233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82-465B-A2C1-93FC207D9295}"/>
            </c:ext>
          </c:extLst>
        </c:ser>
        <c:ser>
          <c:idx val="5"/>
          <c:order val="5"/>
          <c:tx>
            <c:strRef>
              <c:f>'FY2026-FY2015'!$C$102</c:f>
              <c:strCache>
                <c:ptCount val="1"/>
                <c:pt idx="0">
                  <c:v>Central Services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'FY2026-FY2015'!$E$102:$V$102</c:f>
              <c:numCache>
                <c:formatCode>#,##0</c:formatCode>
                <c:ptCount val="11"/>
                <c:pt idx="0">
                  <c:v>2650472</c:v>
                </c:pt>
                <c:pt idx="1">
                  <c:v>2629933</c:v>
                </c:pt>
                <c:pt idx="2">
                  <c:v>2334015</c:v>
                </c:pt>
                <c:pt idx="3">
                  <c:v>2113268</c:v>
                </c:pt>
                <c:pt idx="4">
                  <c:v>2219839</c:v>
                </c:pt>
                <c:pt idx="5">
                  <c:v>1957897</c:v>
                </c:pt>
                <c:pt idx="6">
                  <c:v>1908362</c:v>
                </c:pt>
                <c:pt idx="7">
                  <c:v>1959263</c:v>
                </c:pt>
                <c:pt idx="8">
                  <c:v>1858376</c:v>
                </c:pt>
                <c:pt idx="9">
                  <c:v>2037145</c:v>
                </c:pt>
                <c:pt idx="10">
                  <c:v>2000349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382-465B-A2C1-93FC207D9295}"/>
            </c:ext>
          </c:extLst>
        </c:ser>
        <c:ser>
          <c:idx val="6"/>
          <c:order val="6"/>
          <c:tx>
            <c:strRef>
              <c:f>'FY2026-FY2015'!$C$103</c:f>
              <c:strCache>
                <c:ptCount val="1"/>
                <c:pt idx="0">
                  <c:v>Operations and Maintenance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'FY2026-FY2015'!$E$103:$V$103</c:f>
              <c:numCache>
                <c:formatCode>#,##0</c:formatCode>
                <c:ptCount val="11"/>
                <c:pt idx="0">
                  <c:v>9219953</c:v>
                </c:pt>
                <c:pt idx="1">
                  <c:v>8578252</c:v>
                </c:pt>
                <c:pt idx="2">
                  <c:v>8988620</c:v>
                </c:pt>
                <c:pt idx="3">
                  <c:v>7933611</c:v>
                </c:pt>
                <c:pt idx="4">
                  <c:v>7404702</c:v>
                </c:pt>
                <c:pt idx="5">
                  <c:v>7096878</c:v>
                </c:pt>
                <c:pt idx="6">
                  <c:v>7277101</c:v>
                </c:pt>
                <c:pt idx="7">
                  <c:v>6967627</c:v>
                </c:pt>
                <c:pt idx="8">
                  <c:v>6903401</c:v>
                </c:pt>
                <c:pt idx="9">
                  <c:v>6514568</c:v>
                </c:pt>
                <c:pt idx="10">
                  <c:v>6913432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382-465B-A2C1-93FC207D9295}"/>
            </c:ext>
          </c:extLst>
        </c:ser>
        <c:ser>
          <c:idx val="7"/>
          <c:order val="7"/>
          <c:tx>
            <c:strRef>
              <c:f>'FY2026-FY2015'!$C$104</c:f>
              <c:strCache>
                <c:ptCount val="1"/>
                <c:pt idx="0">
                  <c:v>Student Transportation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'FY2026-FY2015'!$E$104:$V$104</c:f>
              <c:numCache>
                <c:formatCode>#,##0</c:formatCode>
                <c:ptCount val="11"/>
                <c:pt idx="0">
                  <c:v>4475510</c:v>
                </c:pt>
                <c:pt idx="1">
                  <c:v>4085890</c:v>
                </c:pt>
                <c:pt idx="2">
                  <c:v>4565158</c:v>
                </c:pt>
                <c:pt idx="3">
                  <c:v>3247471</c:v>
                </c:pt>
                <c:pt idx="4">
                  <c:v>3835158</c:v>
                </c:pt>
                <c:pt idx="5">
                  <c:v>3557877</c:v>
                </c:pt>
                <c:pt idx="6">
                  <c:v>3465564</c:v>
                </c:pt>
                <c:pt idx="7">
                  <c:v>3454141</c:v>
                </c:pt>
                <c:pt idx="8">
                  <c:v>3298899</c:v>
                </c:pt>
                <c:pt idx="9">
                  <c:v>3147481</c:v>
                </c:pt>
                <c:pt idx="10">
                  <c:v>3217340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382-465B-A2C1-93FC207D9295}"/>
            </c:ext>
          </c:extLst>
        </c:ser>
        <c:ser>
          <c:idx val="8"/>
          <c:order val="8"/>
          <c:tx>
            <c:strRef>
              <c:f>'FY2026-FY2015'!$C$105</c:f>
              <c:strCache>
                <c:ptCount val="1"/>
                <c:pt idx="0">
                  <c:v>Other Support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'FY2026-FY2015'!$E$105:$V$105</c:f>
              <c:numCache>
                <c:formatCode>#,##0</c:formatCode>
                <c:ptCount val="11"/>
                <c:pt idx="0">
                  <c:v>291600</c:v>
                </c:pt>
                <c:pt idx="1">
                  <c:v>180250</c:v>
                </c:pt>
                <c:pt idx="2">
                  <c:v>252436</c:v>
                </c:pt>
                <c:pt idx="3">
                  <c:v>247232</c:v>
                </c:pt>
                <c:pt idx="4">
                  <c:v>913250</c:v>
                </c:pt>
                <c:pt idx="5">
                  <c:v>112329</c:v>
                </c:pt>
                <c:pt idx="6">
                  <c:v>147378</c:v>
                </c:pt>
                <c:pt idx="7">
                  <c:v>167651</c:v>
                </c:pt>
                <c:pt idx="8">
                  <c:v>152659</c:v>
                </c:pt>
                <c:pt idx="9">
                  <c:v>141343</c:v>
                </c:pt>
                <c:pt idx="10">
                  <c:v>83439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382-465B-A2C1-93FC207D9295}"/>
            </c:ext>
          </c:extLst>
        </c:ser>
        <c:ser>
          <c:idx val="9"/>
          <c:order val="9"/>
          <c:tx>
            <c:strRef>
              <c:f>'FY2026-FY2015'!$C$106</c:f>
              <c:strCache>
                <c:ptCount val="1"/>
                <c:pt idx="0">
                  <c:v>Facilities Capital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'FY2026-FY2015'!$E$106:$V$106</c:f>
              <c:numCache>
                <c:formatCode>#,##0</c:formatCode>
                <c:ptCount val="11"/>
                <c:pt idx="0">
                  <c:v>462000</c:v>
                </c:pt>
                <c:pt idx="1">
                  <c:v>376990</c:v>
                </c:pt>
                <c:pt idx="2">
                  <c:v>434716</c:v>
                </c:pt>
                <c:pt idx="3">
                  <c:v>299008</c:v>
                </c:pt>
                <c:pt idx="4">
                  <c:v>321344</c:v>
                </c:pt>
                <c:pt idx="5">
                  <c:v>509250</c:v>
                </c:pt>
                <c:pt idx="6">
                  <c:v>903301</c:v>
                </c:pt>
                <c:pt idx="7">
                  <c:v>603</c:v>
                </c:pt>
                <c:pt idx="8">
                  <c:v>110649</c:v>
                </c:pt>
                <c:pt idx="9">
                  <c:v>1064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382-465B-A2C1-93FC207D9295}"/>
            </c:ext>
          </c:extLst>
        </c:ser>
        <c:ser>
          <c:idx val="10"/>
          <c:order val="10"/>
          <c:tx>
            <c:strRef>
              <c:f>'FY2026-FY2015'!$C$107</c:f>
              <c:strCache>
                <c:ptCount val="1"/>
                <c:pt idx="0">
                  <c:v>Debt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'FY2026-FY2015'!$E$107:$V$107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322589</c:v>
                </c:pt>
                <c:pt idx="3">
                  <c:v>522750</c:v>
                </c:pt>
                <c:pt idx="4">
                  <c:v>522966</c:v>
                </c:pt>
                <c:pt idx="5">
                  <c:v>522946</c:v>
                </c:pt>
                <c:pt idx="6">
                  <c:v>522668</c:v>
                </c:pt>
                <c:pt idx="7">
                  <c:v>476388</c:v>
                </c:pt>
                <c:pt idx="8">
                  <c:v>514265</c:v>
                </c:pt>
                <c:pt idx="9">
                  <c:v>499895</c:v>
                </c:pt>
                <c:pt idx="10">
                  <c:v>486006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382-465B-A2C1-93FC207D9295}"/>
            </c:ext>
          </c:extLst>
        </c:ser>
        <c:ser>
          <c:idx val="11"/>
          <c:order val="11"/>
          <c:tx>
            <c:strRef>
              <c:f>'FY2026-FY2015'!$C$108</c:f>
              <c:strCache>
                <c:ptCount val="1"/>
                <c:pt idx="0">
                  <c:v>Transfers to Other Funds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'FY2026-FY2015'!$E$108:$V$108</c:f>
              <c:numCache>
                <c:formatCode>#,##0</c:formatCode>
                <c:ptCount val="11"/>
                <c:pt idx="0">
                  <c:v>6600000</c:v>
                </c:pt>
                <c:pt idx="1">
                  <c:v>6600000</c:v>
                </c:pt>
                <c:pt idx="2">
                  <c:v>6700000</c:v>
                </c:pt>
                <c:pt idx="3">
                  <c:v>5200000</c:v>
                </c:pt>
                <c:pt idx="4">
                  <c:v>1395956</c:v>
                </c:pt>
                <c:pt idx="5">
                  <c:v>4000000</c:v>
                </c:pt>
                <c:pt idx="6">
                  <c:v>3800000</c:v>
                </c:pt>
                <c:pt idx="7">
                  <c:v>4200000</c:v>
                </c:pt>
                <c:pt idx="8">
                  <c:v>4300000</c:v>
                </c:pt>
                <c:pt idx="9">
                  <c:v>4261000</c:v>
                </c:pt>
                <c:pt idx="10">
                  <c:v>4920000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382-465B-A2C1-93FC207D9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07587968"/>
        <c:axId val="1307589048"/>
      </c:barChart>
      <c:catAx>
        <c:axId val="130758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7589048"/>
        <c:crosses val="autoZero"/>
        <c:auto val="1"/>
        <c:lblAlgn val="ctr"/>
        <c:lblOffset val="100"/>
        <c:noMultiLvlLbl val="0"/>
      </c:catAx>
      <c:valAx>
        <c:axId val="1307589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7587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GF Expenditures</a:t>
            </a:r>
          </a:p>
          <a:p>
            <a:pPr>
              <a:defRPr/>
            </a:pPr>
            <a:r>
              <a:rPr lang="en-US" sz="1000" baseline="0"/>
              <a:t>(Instruction - 100, 300, 400, 900)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'FY2026-FY2015'!$C$97</c:f>
              <c:strCache>
                <c:ptCount val="1"/>
                <c:pt idx="0">
                  <c:v>Instruction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'FY2026-FY2015'!$E$97:$V$97</c:f>
              <c:numCache>
                <c:formatCode>#,##0</c:formatCode>
                <c:ptCount val="11"/>
                <c:pt idx="0">
                  <c:v>28796358</c:v>
                </c:pt>
                <c:pt idx="1">
                  <c:v>29190103</c:v>
                </c:pt>
                <c:pt idx="2">
                  <c:v>29091974</c:v>
                </c:pt>
                <c:pt idx="3">
                  <c:v>26632868</c:v>
                </c:pt>
                <c:pt idx="4">
                  <c:v>30435098</c:v>
                </c:pt>
                <c:pt idx="5">
                  <c:v>26849086</c:v>
                </c:pt>
                <c:pt idx="6">
                  <c:v>27022361</c:v>
                </c:pt>
                <c:pt idx="7">
                  <c:v>26181758</c:v>
                </c:pt>
                <c:pt idx="8">
                  <c:v>26236740</c:v>
                </c:pt>
                <c:pt idx="9">
                  <c:v>24973128</c:v>
                </c:pt>
                <c:pt idx="10">
                  <c:v>25302208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CD-4F9D-9683-EBD6E790A9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07587968"/>
        <c:axId val="130758904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'FY2026-FY2015'!$C$98</c15:sqref>
                        </c15:formulaRef>
                      </c:ext>
                    </c:extLst>
                    <c:strCache>
                      <c:ptCount val="1"/>
                      <c:pt idx="0">
                        <c:v>Student Support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'FY2026-FY2015'!$E$98:$V$98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4081174</c:v>
                      </c:pt>
                      <c:pt idx="1">
                        <c:v>4290020</c:v>
                      </c:pt>
                      <c:pt idx="2">
                        <c:v>4068388</c:v>
                      </c:pt>
                      <c:pt idx="3">
                        <c:v>3243822</c:v>
                      </c:pt>
                      <c:pt idx="4">
                        <c:v>2938044</c:v>
                      </c:pt>
                      <c:pt idx="5">
                        <c:v>2713693</c:v>
                      </c:pt>
                      <c:pt idx="6">
                        <c:v>2650416</c:v>
                      </c:pt>
                      <c:pt idx="7">
                        <c:v>2552319</c:v>
                      </c:pt>
                      <c:pt idx="8">
                        <c:v>2515678</c:v>
                      </c:pt>
                      <c:pt idx="9">
                        <c:v>2425889</c:v>
                      </c:pt>
                      <c:pt idx="10">
                        <c:v>2411128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7DCD-4F9D-9683-EBD6E790A9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'FY2026-FY2015'!$C$99</c15:sqref>
                        </c15:formulaRef>
                      </c:ext>
                    </c:extLst>
                    <c:strCache>
                      <c:ptCount val="1"/>
                      <c:pt idx="0">
                        <c:v>Instructional Staff Support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'FY2026-FY2015'!$E$99:$V$99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1472599</c:v>
                      </c:pt>
                      <c:pt idx="1">
                        <c:v>1393978</c:v>
                      </c:pt>
                      <c:pt idx="2">
                        <c:v>1363659</c:v>
                      </c:pt>
                      <c:pt idx="3">
                        <c:v>1260085</c:v>
                      </c:pt>
                      <c:pt idx="4">
                        <c:v>1151545</c:v>
                      </c:pt>
                      <c:pt idx="5">
                        <c:v>1218660</c:v>
                      </c:pt>
                      <c:pt idx="6">
                        <c:v>1195312</c:v>
                      </c:pt>
                      <c:pt idx="7">
                        <c:v>1222032</c:v>
                      </c:pt>
                      <c:pt idx="8">
                        <c:v>1186674</c:v>
                      </c:pt>
                      <c:pt idx="9">
                        <c:v>1110507</c:v>
                      </c:pt>
                      <c:pt idx="10">
                        <c:v>1083057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DCD-4F9D-9683-EBD6E790A9A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'FY2026-FY2015'!$C$100</c15:sqref>
                        </c15:formulaRef>
                      </c:ext>
                    </c:extLst>
                    <c:strCache>
                      <c:ptCount val="1"/>
                      <c:pt idx="0">
                        <c:v>General Admin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'FY2026-FY2015'!$E$100:$V$100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1104258</c:v>
                      </c:pt>
                      <c:pt idx="1">
                        <c:v>1167701</c:v>
                      </c:pt>
                      <c:pt idx="2">
                        <c:v>1194283</c:v>
                      </c:pt>
                      <c:pt idx="3">
                        <c:v>839799</c:v>
                      </c:pt>
                      <c:pt idx="4">
                        <c:v>559549</c:v>
                      </c:pt>
                      <c:pt idx="5">
                        <c:v>520113</c:v>
                      </c:pt>
                      <c:pt idx="6">
                        <c:v>540943</c:v>
                      </c:pt>
                      <c:pt idx="7">
                        <c:v>494028</c:v>
                      </c:pt>
                      <c:pt idx="8">
                        <c:v>620788</c:v>
                      </c:pt>
                      <c:pt idx="9">
                        <c:v>508548</c:v>
                      </c:pt>
                      <c:pt idx="10">
                        <c:v>564339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DCD-4F9D-9683-EBD6E790A9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'FY2026-FY2015'!$C$101</c15:sqref>
                        </c15:formulaRef>
                      </c:ext>
                    </c:extLst>
                    <c:strCache>
                      <c:ptCount val="1"/>
                      <c:pt idx="0">
                        <c:v>School Admin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'FY2026-FY2015'!$E$101:$V$101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5782358</c:v>
                      </c:pt>
                      <c:pt idx="1">
                        <c:v>5713320</c:v>
                      </c:pt>
                      <c:pt idx="2">
                        <c:v>5537265</c:v>
                      </c:pt>
                      <c:pt idx="3">
                        <c:v>4686654</c:v>
                      </c:pt>
                      <c:pt idx="4">
                        <c:v>4702143</c:v>
                      </c:pt>
                      <c:pt idx="5">
                        <c:v>4571372</c:v>
                      </c:pt>
                      <c:pt idx="6">
                        <c:v>4640348</c:v>
                      </c:pt>
                      <c:pt idx="7">
                        <c:v>4629819</c:v>
                      </c:pt>
                      <c:pt idx="8">
                        <c:v>4532689</c:v>
                      </c:pt>
                      <c:pt idx="9">
                        <c:v>4460265</c:v>
                      </c:pt>
                      <c:pt idx="10">
                        <c:v>4390233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DCD-4F9D-9683-EBD6E790A9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'FY2026-FY2015'!$C$102</c15:sqref>
                        </c15:formulaRef>
                      </c:ext>
                    </c:extLst>
                    <c:strCache>
                      <c:ptCount val="1"/>
                      <c:pt idx="0">
                        <c:v>Central Services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'FY2026-FY2015'!$E$102:$V$102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2650472</c:v>
                      </c:pt>
                      <c:pt idx="1">
                        <c:v>2629933</c:v>
                      </c:pt>
                      <c:pt idx="2">
                        <c:v>2334015</c:v>
                      </c:pt>
                      <c:pt idx="3">
                        <c:v>2113268</c:v>
                      </c:pt>
                      <c:pt idx="4">
                        <c:v>2219839</c:v>
                      </c:pt>
                      <c:pt idx="5">
                        <c:v>1957897</c:v>
                      </c:pt>
                      <c:pt idx="6">
                        <c:v>1908362</c:v>
                      </c:pt>
                      <c:pt idx="7">
                        <c:v>1959263</c:v>
                      </c:pt>
                      <c:pt idx="8">
                        <c:v>1858376</c:v>
                      </c:pt>
                      <c:pt idx="9">
                        <c:v>2037145</c:v>
                      </c:pt>
                      <c:pt idx="10">
                        <c:v>2000349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DCD-4F9D-9683-EBD6E790A9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'FY2026-FY2015'!$C$103</c15:sqref>
                        </c15:formulaRef>
                      </c:ext>
                    </c:extLst>
                    <c:strCache>
                      <c:ptCount val="1"/>
                      <c:pt idx="0">
                        <c:v>Operations and Maintenance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'FY2026-FY2015'!$E$103:$V$103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9219953</c:v>
                      </c:pt>
                      <c:pt idx="1">
                        <c:v>8578252</c:v>
                      </c:pt>
                      <c:pt idx="2">
                        <c:v>8988620</c:v>
                      </c:pt>
                      <c:pt idx="3">
                        <c:v>7933611</c:v>
                      </c:pt>
                      <c:pt idx="4">
                        <c:v>7404702</c:v>
                      </c:pt>
                      <c:pt idx="5">
                        <c:v>7096878</c:v>
                      </c:pt>
                      <c:pt idx="6">
                        <c:v>7277101</c:v>
                      </c:pt>
                      <c:pt idx="7">
                        <c:v>6967627</c:v>
                      </c:pt>
                      <c:pt idx="8">
                        <c:v>6903401</c:v>
                      </c:pt>
                      <c:pt idx="9">
                        <c:v>6514568</c:v>
                      </c:pt>
                      <c:pt idx="10">
                        <c:v>6913432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DCD-4F9D-9683-EBD6E790A9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'FY2026-FY2015'!$C$104</c15:sqref>
                        </c15:formulaRef>
                      </c:ext>
                    </c:extLst>
                    <c:strCache>
                      <c:ptCount val="1"/>
                      <c:pt idx="0">
                        <c:v>Student Transportation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'FY2026-FY2015'!$E$104:$V$104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4475510</c:v>
                      </c:pt>
                      <c:pt idx="1">
                        <c:v>4085890</c:v>
                      </c:pt>
                      <c:pt idx="2">
                        <c:v>4565158</c:v>
                      </c:pt>
                      <c:pt idx="3">
                        <c:v>3247471</c:v>
                      </c:pt>
                      <c:pt idx="4">
                        <c:v>3835158</c:v>
                      </c:pt>
                      <c:pt idx="5">
                        <c:v>3557877</c:v>
                      </c:pt>
                      <c:pt idx="6">
                        <c:v>3465564</c:v>
                      </c:pt>
                      <c:pt idx="7">
                        <c:v>3454141</c:v>
                      </c:pt>
                      <c:pt idx="8">
                        <c:v>3298899</c:v>
                      </c:pt>
                      <c:pt idx="9">
                        <c:v>3147481</c:v>
                      </c:pt>
                      <c:pt idx="10">
                        <c:v>3217340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DCD-4F9D-9683-EBD6E790A9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'FY2026-FY2015'!$C$105</c15:sqref>
                        </c15:formulaRef>
                      </c:ext>
                    </c:extLst>
                    <c:strCache>
                      <c:ptCount val="1"/>
                      <c:pt idx="0">
                        <c:v>Other Support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'FY2026-FY2015'!$E$105:$V$105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291600</c:v>
                      </c:pt>
                      <c:pt idx="1">
                        <c:v>180250</c:v>
                      </c:pt>
                      <c:pt idx="2">
                        <c:v>252436</c:v>
                      </c:pt>
                      <c:pt idx="3">
                        <c:v>247232</c:v>
                      </c:pt>
                      <c:pt idx="4">
                        <c:v>913250</c:v>
                      </c:pt>
                      <c:pt idx="5">
                        <c:v>112329</c:v>
                      </c:pt>
                      <c:pt idx="6">
                        <c:v>147378</c:v>
                      </c:pt>
                      <c:pt idx="7">
                        <c:v>167651</c:v>
                      </c:pt>
                      <c:pt idx="8">
                        <c:v>152659</c:v>
                      </c:pt>
                      <c:pt idx="9">
                        <c:v>141343</c:v>
                      </c:pt>
                      <c:pt idx="10">
                        <c:v>83439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DCD-4F9D-9683-EBD6E790A9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'FY2026-FY2015'!$C$106</c15:sqref>
                        </c15:formulaRef>
                      </c:ext>
                    </c:extLst>
                    <c:strCache>
                      <c:ptCount val="1"/>
                      <c:pt idx="0">
                        <c:v>Facilities Capital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'FY2026-FY2015'!$E$106:$V$106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462000</c:v>
                      </c:pt>
                      <c:pt idx="1">
                        <c:v>376990</c:v>
                      </c:pt>
                      <c:pt idx="2">
                        <c:v>434716</c:v>
                      </c:pt>
                      <c:pt idx="3">
                        <c:v>299008</c:v>
                      </c:pt>
                      <c:pt idx="4">
                        <c:v>321344</c:v>
                      </c:pt>
                      <c:pt idx="5">
                        <c:v>509250</c:v>
                      </c:pt>
                      <c:pt idx="6">
                        <c:v>903301</c:v>
                      </c:pt>
                      <c:pt idx="7">
                        <c:v>603</c:v>
                      </c:pt>
                      <c:pt idx="8">
                        <c:v>110649</c:v>
                      </c:pt>
                      <c:pt idx="9">
                        <c:v>1064</c:v>
                      </c:pt>
                      <c:pt idx="1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7DCD-4F9D-9683-EBD6E790A9A5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'FY2026-FY2015'!$C$107</c15:sqref>
                        </c15:formulaRef>
                      </c:ext>
                    </c:extLst>
                    <c:strCache>
                      <c:ptCount val="1"/>
                      <c:pt idx="0">
                        <c:v>Debt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'FY2026-FY2015'!$E$107:$V$107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322589</c:v>
                      </c:pt>
                      <c:pt idx="3">
                        <c:v>522750</c:v>
                      </c:pt>
                      <c:pt idx="4">
                        <c:v>522966</c:v>
                      </c:pt>
                      <c:pt idx="5">
                        <c:v>522946</c:v>
                      </c:pt>
                      <c:pt idx="6">
                        <c:v>522668</c:v>
                      </c:pt>
                      <c:pt idx="7">
                        <c:v>476388</c:v>
                      </c:pt>
                      <c:pt idx="8">
                        <c:v>514265</c:v>
                      </c:pt>
                      <c:pt idx="9">
                        <c:v>499895</c:v>
                      </c:pt>
                      <c:pt idx="10">
                        <c:v>486006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7DCD-4F9D-9683-EBD6E790A9A5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'FY2026-FY2015'!$C$108</c15:sqref>
                        </c15:formulaRef>
                      </c:ext>
                    </c:extLst>
                    <c:strCache>
                      <c:ptCount val="1"/>
                      <c:pt idx="0">
                        <c:v>Transfers to Other Funds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'FY2026-FY2015'!$E$108:$V$108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6600000</c:v>
                      </c:pt>
                      <c:pt idx="1">
                        <c:v>6600000</c:v>
                      </c:pt>
                      <c:pt idx="2">
                        <c:v>6700000</c:v>
                      </c:pt>
                      <c:pt idx="3">
                        <c:v>5200000</c:v>
                      </c:pt>
                      <c:pt idx="4">
                        <c:v>1395956</c:v>
                      </c:pt>
                      <c:pt idx="5">
                        <c:v>4000000</c:v>
                      </c:pt>
                      <c:pt idx="6">
                        <c:v>3800000</c:v>
                      </c:pt>
                      <c:pt idx="7">
                        <c:v>4200000</c:v>
                      </c:pt>
                      <c:pt idx="8">
                        <c:v>4300000</c:v>
                      </c:pt>
                      <c:pt idx="9">
                        <c:v>4261000</c:v>
                      </c:pt>
                      <c:pt idx="10">
                        <c:v>4920000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7DCD-4F9D-9683-EBD6E790A9A5}"/>
                  </c:ext>
                </c:extLst>
              </c15:ser>
            </c15:filteredBarSeries>
          </c:ext>
        </c:extLst>
      </c:barChart>
      <c:catAx>
        <c:axId val="130758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7589048"/>
        <c:crosses val="autoZero"/>
        <c:auto val="1"/>
        <c:lblAlgn val="ctr"/>
        <c:lblOffset val="100"/>
        <c:noMultiLvlLbl val="0"/>
      </c:catAx>
      <c:valAx>
        <c:axId val="1307589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7587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GF Expenditures</a:t>
            </a:r>
          </a:p>
          <a:p>
            <a:pPr>
              <a:defRPr/>
            </a:pPr>
            <a:r>
              <a:rPr lang="en-US" sz="1000"/>
              <a:t>(Student</a:t>
            </a:r>
            <a:r>
              <a:rPr lang="en-US" sz="1000" baseline="0"/>
              <a:t> Support, Staff Support, School Admin)</a:t>
            </a:r>
            <a:endParaRPr lang="en-US" sz="1000"/>
          </a:p>
        </c:rich>
      </c:tx>
      <c:layout>
        <c:manualLayout>
          <c:xMode val="edge"/>
          <c:yMode val="edge"/>
          <c:x val="0.17227426792690911"/>
          <c:y val="2.1505376344086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'FY2026-FY2015'!$C$98</c:f>
              <c:strCache>
                <c:ptCount val="1"/>
                <c:pt idx="0">
                  <c:v>Student Support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'FY2026-FY2015'!$E$98:$V$98</c:f>
              <c:numCache>
                <c:formatCode>#,##0</c:formatCode>
                <c:ptCount val="11"/>
                <c:pt idx="0">
                  <c:v>4081174</c:v>
                </c:pt>
                <c:pt idx="1">
                  <c:v>4290020</c:v>
                </c:pt>
                <c:pt idx="2">
                  <c:v>4068388</c:v>
                </c:pt>
                <c:pt idx="3">
                  <c:v>3243822</c:v>
                </c:pt>
                <c:pt idx="4">
                  <c:v>2938044</c:v>
                </c:pt>
                <c:pt idx="5">
                  <c:v>2713693</c:v>
                </c:pt>
                <c:pt idx="6">
                  <c:v>2650416</c:v>
                </c:pt>
                <c:pt idx="7">
                  <c:v>2552319</c:v>
                </c:pt>
                <c:pt idx="8">
                  <c:v>2515678</c:v>
                </c:pt>
                <c:pt idx="9">
                  <c:v>2425889</c:v>
                </c:pt>
                <c:pt idx="10">
                  <c:v>2411128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70-4224-AD09-6E791301AFEF}"/>
            </c:ext>
          </c:extLst>
        </c:ser>
        <c:ser>
          <c:idx val="2"/>
          <c:order val="2"/>
          <c:tx>
            <c:strRef>
              <c:f>'FY2026-FY2015'!$C$99</c:f>
              <c:strCache>
                <c:ptCount val="1"/>
                <c:pt idx="0">
                  <c:v>Instructional Staff Support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'FY2026-FY2015'!$E$99:$V$99</c:f>
              <c:numCache>
                <c:formatCode>#,##0</c:formatCode>
                <c:ptCount val="11"/>
                <c:pt idx="0">
                  <c:v>1472599</c:v>
                </c:pt>
                <c:pt idx="1">
                  <c:v>1393978</c:v>
                </c:pt>
                <c:pt idx="2">
                  <c:v>1363659</c:v>
                </c:pt>
                <c:pt idx="3">
                  <c:v>1260085</c:v>
                </c:pt>
                <c:pt idx="4">
                  <c:v>1151545</c:v>
                </c:pt>
                <c:pt idx="5">
                  <c:v>1218660</c:v>
                </c:pt>
                <c:pt idx="6">
                  <c:v>1195312</c:v>
                </c:pt>
                <c:pt idx="7">
                  <c:v>1222032</c:v>
                </c:pt>
                <c:pt idx="8">
                  <c:v>1186674</c:v>
                </c:pt>
                <c:pt idx="9">
                  <c:v>1110507</c:v>
                </c:pt>
                <c:pt idx="10">
                  <c:v>1083057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70-4224-AD09-6E791301AFEF}"/>
            </c:ext>
          </c:extLst>
        </c:ser>
        <c:ser>
          <c:idx val="4"/>
          <c:order val="4"/>
          <c:tx>
            <c:strRef>
              <c:f>'FY2026-FY2015'!$C$101</c:f>
              <c:strCache>
                <c:ptCount val="1"/>
                <c:pt idx="0">
                  <c:v>School Admin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'FY2026-FY2015'!$E$101:$V$101</c:f>
              <c:numCache>
                <c:formatCode>#,##0</c:formatCode>
                <c:ptCount val="11"/>
                <c:pt idx="0">
                  <c:v>5782358</c:v>
                </c:pt>
                <c:pt idx="1">
                  <c:v>5713320</c:v>
                </c:pt>
                <c:pt idx="2">
                  <c:v>5537265</c:v>
                </c:pt>
                <c:pt idx="3">
                  <c:v>4686654</c:v>
                </c:pt>
                <c:pt idx="4">
                  <c:v>4702143</c:v>
                </c:pt>
                <c:pt idx="5">
                  <c:v>4571372</c:v>
                </c:pt>
                <c:pt idx="6">
                  <c:v>4640348</c:v>
                </c:pt>
                <c:pt idx="7">
                  <c:v>4629819</c:v>
                </c:pt>
                <c:pt idx="8">
                  <c:v>4532689</c:v>
                </c:pt>
                <c:pt idx="9">
                  <c:v>4460265</c:v>
                </c:pt>
                <c:pt idx="10">
                  <c:v>4390233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070-4224-AD09-6E791301A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07587968"/>
        <c:axId val="13075890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'FY2026-FY2015'!$C$97</c15:sqref>
                        </c15:formulaRef>
                      </c:ext>
                    </c:extLst>
                    <c:strCache>
                      <c:ptCount val="1"/>
                      <c:pt idx="0">
                        <c:v>Instruction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'FY2026-FY2015'!$E$97:$V$97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28796358</c:v>
                      </c:pt>
                      <c:pt idx="1">
                        <c:v>29190103</c:v>
                      </c:pt>
                      <c:pt idx="2">
                        <c:v>29091974</c:v>
                      </c:pt>
                      <c:pt idx="3">
                        <c:v>26632868</c:v>
                      </c:pt>
                      <c:pt idx="4">
                        <c:v>30435098</c:v>
                      </c:pt>
                      <c:pt idx="5">
                        <c:v>26849086</c:v>
                      </c:pt>
                      <c:pt idx="6">
                        <c:v>27022361</c:v>
                      </c:pt>
                      <c:pt idx="7">
                        <c:v>26181758</c:v>
                      </c:pt>
                      <c:pt idx="8">
                        <c:v>26236740</c:v>
                      </c:pt>
                      <c:pt idx="9">
                        <c:v>24973128</c:v>
                      </c:pt>
                      <c:pt idx="10">
                        <c:v>25302208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070-4224-AD09-6E791301AFE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'FY2026-FY2015'!$C$100</c15:sqref>
                        </c15:formulaRef>
                      </c:ext>
                    </c:extLst>
                    <c:strCache>
                      <c:ptCount val="1"/>
                      <c:pt idx="0">
                        <c:v>General Admin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'FY2026-FY2015'!$E$100:$V$100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1104258</c:v>
                      </c:pt>
                      <c:pt idx="1">
                        <c:v>1167701</c:v>
                      </c:pt>
                      <c:pt idx="2">
                        <c:v>1194283</c:v>
                      </c:pt>
                      <c:pt idx="3">
                        <c:v>839799</c:v>
                      </c:pt>
                      <c:pt idx="4">
                        <c:v>559549</c:v>
                      </c:pt>
                      <c:pt idx="5">
                        <c:v>520113</c:v>
                      </c:pt>
                      <c:pt idx="6">
                        <c:v>540943</c:v>
                      </c:pt>
                      <c:pt idx="7">
                        <c:v>494028</c:v>
                      </c:pt>
                      <c:pt idx="8">
                        <c:v>620788</c:v>
                      </c:pt>
                      <c:pt idx="9">
                        <c:v>508548</c:v>
                      </c:pt>
                      <c:pt idx="10">
                        <c:v>564339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070-4224-AD09-6E791301AFE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'FY2026-FY2015'!$C$102</c15:sqref>
                        </c15:formulaRef>
                      </c:ext>
                    </c:extLst>
                    <c:strCache>
                      <c:ptCount val="1"/>
                      <c:pt idx="0">
                        <c:v>Central Services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'FY2026-FY2015'!$E$102:$V$102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2650472</c:v>
                      </c:pt>
                      <c:pt idx="1">
                        <c:v>2629933</c:v>
                      </c:pt>
                      <c:pt idx="2">
                        <c:v>2334015</c:v>
                      </c:pt>
                      <c:pt idx="3">
                        <c:v>2113268</c:v>
                      </c:pt>
                      <c:pt idx="4">
                        <c:v>2219839</c:v>
                      </c:pt>
                      <c:pt idx="5">
                        <c:v>1957897</c:v>
                      </c:pt>
                      <c:pt idx="6">
                        <c:v>1908362</c:v>
                      </c:pt>
                      <c:pt idx="7">
                        <c:v>1959263</c:v>
                      </c:pt>
                      <c:pt idx="8">
                        <c:v>1858376</c:v>
                      </c:pt>
                      <c:pt idx="9">
                        <c:v>2037145</c:v>
                      </c:pt>
                      <c:pt idx="10">
                        <c:v>2000349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070-4224-AD09-6E791301AFE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'FY2026-FY2015'!$C$103</c15:sqref>
                        </c15:formulaRef>
                      </c:ext>
                    </c:extLst>
                    <c:strCache>
                      <c:ptCount val="1"/>
                      <c:pt idx="0">
                        <c:v>Operations and Maintenance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'FY2026-FY2015'!$E$103:$V$103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9219953</c:v>
                      </c:pt>
                      <c:pt idx="1">
                        <c:v>8578252</c:v>
                      </c:pt>
                      <c:pt idx="2">
                        <c:v>8988620</c:v>
                      </c:pt>
                      <c:pt idx="3">
                        <c:v>7933611</c:v>
                      </c:pt>
                      <c:pt idx="4">
                        <c:v>7404702</c:v>
                      </c:pt>
                      <c:pt idx="5">
                        <c:v>7096878</c:v>
                      </c:pt>
                      <c:pt idx="6">
                        <c:v>7277101</c:v>
                      </c:pt>
                      <c:pt idx="7">
                        <c:v>6967627</c:v>
                      </c:pt>
                      <c:pt idx="8">
                        <c:v>6903401</c:v>
                      </c:pt>
                      <c:pt idx="9">
                        <c:v>6514568</c:v>
                      </c:pt>
                      <c:pt idx="10">
                        <c:v>6913432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070-4224-AD09-6E791301AFEF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'FY2026-FY2015'!$C$104</c15:sqref>
                        </c15:formulaRef>
                      </c:ext>
                    </c:extLst>
                    <c:strCache>
                      <c:ptCount val="1"/>
                      <c:pt idx="0">
                        <c:v>Student Transportation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'FY2026-FY2015'!$E$104:$V$104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4475510</c:v>
                      </c:pt>
                      <c:pt idx="1">
                        <c:v>4085890</c:v>
                      </c:pt>
                      <c:pt idx="2">
                        <c:v>4565158</c:v>
                      </c:pt>
                      <c:pt idx="3">
                        <c:v>3247471</c:v>
                      </c:pt>
                      <c:pt idx="4">
                        <c:v>3835158</c:v>
                      </c:pt>
                      <c:pt idx="5">
                        <c:v>3557877</c:v>
                      </c:pt>
                      <c:pt idx="6">
                        <c:v>3465564</c:v>
                      </c:pt>
                      <c:pt idx="7">
                        <c:v>3454141</c:v>
                      </c:pt>
                      <c:pt idx="8">
                        <c:v>3298899</c:v>
                      </c:pt>
                      <c:pt idx="9">
                        <c:v>3147481</c:v>
                      </c:pt>
                      <c:pt idx="10">
                        <c:v>3217340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070-4224-AD09-6E791301AFE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'FY2026-FY2015'!$C$105</c15:sqref>
                        </c15:formulaRef>
                      </c:ext>
                    </c:extLst>
                    <c:strCache>
                      <c:ptCount val="1"/>
                      <c:pt idx="0">
                        <c:v>Other Support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'FY2026-FY2015'!$E$105:$V$105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291600</c:v>
                      </c:pt>
                      <c:pt idx="1">
                        <c:v>180250</c:v>
                      </c:pt>
                      <c:pt idx="2">
                        <c:v>252436</c:v>
                      </c:pt>
                      <c:pt idx="3">
                        <c:v>247232</c:v>
                      </c:pt>
                      <c:pt idx="4">
                        <c:v>913250</c:v>
                      </c:pt>
                      <c:pt idx="5">
                        <c:v>112329</c:v>
                      </c:pt>
                      <c:pt idx="6">
                        <c:v>147378</c:v>
                      </c:pt>
                      <c:pt idx="7">
                        <c:v>167651</c:v>
                      </c:pt>
                      <c:pt idx="8">
                        <c:v>152659</c:v>
                      </c:pt>
                      <c:pt idx="9">
                        <c:v>141343</c:v>
                      </c:pt>
                      <c:pt idx="10">
                        <c:v>83439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6070-4224-AD09-6E791301AFE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'FY2026-FY2015'!$C$106</c15:sqref>
                        </c15:formulaRef>
                      </c:ext>
                    </c:extLst>
                    <c:strCache>
                      <c:ptCount val="1"/>
                      <c:pt idx="0">
                        <c:v>Facilities Capital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'FY2026-FY2015'!$E$106:$V$106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462000</c:v>
                      </c:pt>
                      <c:pt idx="1">
                        <c:v>376990</c:v>
                      </c:pt>
                      <c:pt idx="2">
                        <c:v>434716</c:v>
                      </c:pt>
                      <c:pt idx="3">
                        <c:v>299008</c:v>
                      </c:pt>
                      <c:pt idx="4">
                        <c:v>321344</c:v>
                      </c:pt>
                      <c:pt idx="5">
                        <c:v>509250</c:v>
                      </c:pt>
                      <c:pt idx="6">
                        <c:v>903301</c:v>
                      </c:pt>
                      <c:pt idx="7">
                        <c:v>603</c:v>
                      </c:pt>
                      <c:pt idx="8">
                        <c:v>110649</c:v>
                      </c:pt>
                      <c:pt idx="9">
                        <c:v>1064</c:v>
                      </c:pt>
                      <c:pt idx="1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070-4224-AD09-6E791301AFEF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'FY2026-FY2015'!$C$107</c15:sqref>
                        </c15:formulaRef>
                      </c:ext>
                    </c:extLst>
                    <c:strCache>
                      <c:ptCount val="1"/>
                      <c:pt idx="0">
                        <c:v>Debt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'FY2026-FY2015'!$E$107:$V$107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322589</c:v>
                      </c:pt>
                      <c:pt idx="3">
                        <c:v>522750</c:v>
                      </c:pt>
                      <c:pt idx="4">
                        <c:v>522966</c:v>
                      </c:pt>
                      <c:pt idx="5">
                        <c:v>522946</c:v>
                      </c:pt>
                      <c:pt idx="6">
                        <c:v>522668</c:v>
                      </c:pt>
                      <c:pt idx="7">
                        <c:v>476388</c:v>
                      </c:pt>
                      <c:pt idx="8">
                        <c:v>514265</c:v>
                      </c:pt>
                      <c:pt idx="9">
                        <c:v>499895</c:v>
                      </c:pt>
                      <c:pt idx="10">
                        <c:v>486006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6070-4224-AD09-6E791301AFEF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'FY2026-FY2015'!$C$108</c15:sqref>
                        </c15:formulaRef>
                      </c:ext>
                    </c:extLst>
                    <c:strCache>
                      <c:ptCount val="1"/>
                      <c:pt idx="0">
                        <c:v>Transfers to Other Funds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'FY2026-FY2015'!$E$108:$V$108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6600000</c:v>
                      </c:pt>
                      <c:pt idx="1">
                        <c:v>6600000</c:v>
                      </c:pt>
                      <c:pt idx="2">
                        <c:v>6700000</c:v>
                      </c:pt>
                      <c:pt idx="3">
                        <c:v>5200000</c:v>
                      </c:pt>
                      <c:pt idx="4">
                        <c:v>1395956</c:v>
                      </c:pt>
                      <c:pt idx="5">
                        <c:v>4000000</c:v>
                      </c:pt>
                      <c:pt idx="6">
                        <c:v>3800000</c:v>
                      </c:pt>
                      <c:pt idx="7">
                        <c:v>4200000</c:v>
                      </c:pt>
                      <c:pt idx="8">
                        <c:v>4300000</c:v>
                      </c:pt>
                      <c:pt idx="9">
                        <c:v>4261000</c:v>
                      </c:pt>
                      <c:pt idx="10">
                        <c:v>4920000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6070-4224-AD09-6E791301AFEF}"/>
                  </c:ext>
                </c:extLst>
              </c15:ser>
            </c15:filteredBarSeries>
          </c:ext>
        </c:extLst>
      </c:barChart>
      <c:catAx>
        <c:axId val="130758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7589048"/>
        <c:crosses val="autoZero"/>
        <c:auto val="1"/>
        <c:lblAlgn val="ctr"/>
        <c:lblOffset val="100"/>
        <c:noMultiLvlLbl val="0"/>
      </c:catAx>
      <c:valAx>
        <c:axId val="1307589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7587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Other Expenditures</a:t>
            </a:r>
          </a:p>
          <a:p>
            <a:pPr>
              <a:defRPr/>
            </a:pPr>
            <a:r>
              <a:rPr lang="en-US" sz="1000"/>
              <a:t>(General Admin, Central, O&amp;M, Trans)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3"/>
          <c:tx>
            <c:strRef>
              <c:f>'FY2026-FY2015'!$C$100</c:f>
              <c:strCache>
                <c:ptCount val="1"/>
                <c:pt idx="0">
                  <c:v>General Admin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'FY2026-FY2015'!$E$100:$V$100</c:f>
              <c:numCache>
                <c:formatCode>#,##0</c:formatCode>
                <c:ptCount val="11"/>
                <c:pt idx="0">
                  <c:v>1104258</c:v>
                </c:pt>
                <c:pt idx="1">
                  <c:v>1167701</c:v>
                </c:pt>
                <c:pt idx="2">
                  <c:v>1194283</c:v>
                </c:pt>
                <c:pt idx="3">
                  <c:v>839799</c:v>
                </c:pt>
                <c:pt idx="4">
                  <c:v>559549</c:v>
                </c:pt>
                <c:pt idx="5">
                  <c:v>520113</c:v>
                </c:pt>
                <c:pt idx="6">
                  <c:v>540943</c:v>
                </c:pt>
                <c:pt idx="7">
                  <c:v>494028</c:v>
                </c:pt>
                <c:pt idx="8">
                  <c:v>620788</c:v>
                </c:pt>
                <c:pt idx="9">
                  <c:v>508548</c:v>
                </c:pt>
                <c:pt idx="10">
                  <c:v>564339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2B1-4A57-9E10-60180921398E}"/>
            </c:ext>
          </c:extLst>
        </c:ser>
        <c:ser>
          <c:idx val="5"/>
          <c:order val="5"/>
          <c:tx>
            <c:strRef>
              <c:f>'FY2026-FY2015'!$C$102</c:f>
              <c:strCache>
                <c:ptCount val="1"/>
                <c:pt idx="0">
                  <c:v>Central Services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'FY2026-FY2015'!$E$102:$V$102</c:f>
              <c:numCache>
                <c:formatCode>#,##0</c:formatCode>
                <c:ptCount val="11"/>
                <c:pt idx="0">
                  <c:v>2650472</c:v>
                </c:pt>
                <c:pt idx="1">
                  <c:v>2629933</c:v>
                </c:pt>
                <c:pt idx="2">
                  <c:v>2334015</c:v>
                </c:pt>
                <c:pt idx="3">
                  <c:v>2113268</c:v>
                </c:pt>
                <c:pt idx="4">
                  <c:v>2219839</c:v>
                </c:pt>
                <c:pt idx="5">
                  <c:v>1957897</c:v>
                </c:pt>
                <c:pt idx="6">
                  <c:v>1908362</c:v>
                </c:pt>
                <c:pt idx="7">
                  <c:v>1959263</c:v>
                </c:pt>
                <c:pt idx="8">
                  <c:v>1858376</c:v>
                </c:pt>
                <c:pt idx="9">
                  <c:v>2037145</c:v>
                </c:pt>
                <c:pt idx="10">
                  <c:v>2000349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2B1-4A57-9E10-60180921398E}"/>
            </c:ext>
          </c:extLst>
        </c:ser>
        <c:ser>
          <c:idx val="6"/>
          <c:order val="6"/>
          <c:tx>
            <c:strRef>
              <c:f>'FY2026-FY2015'!$C$103</c:f>
              <c:strCache>
                <c:ptCount val="1"/>
                <c:pt idx="0">
                  <c:v>Operations and Maintenance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'FY2026-FY2015'!$E$103:$V$103</c:f>
              <c:numCache>
                <c:formatCode>#,##0</c:formatCode>
                <c:ptCount val="11"/>
                <c:pt idx="0">
                  <c:v>9219953</c:v>
                </c:pt>
                <c:pt idx="1">
                  <c:v>8578252</c:v>
                </c:pt>
                <c:pt idx="2">
                  <c:v>8988620</c:v>
                </c:pt>
                <c:pt idx="3">
                  <c:v>7933611</c:v>
                </c:pt>
                <c:pt idx="4">
                  <c:v>7404702</c:v>
                </c:pt>
                <c:pt idx="5">
                  <c:v>7096878</c:v>
                </c:pt>
                <c:pt idx="6">
                  <c:v>7277101</c:v>
                </c:pt>
                <c:pt idx="7">
                  <c:v>6967627</c:v>
                </c:pt>
                <c:pt idx="8">
                  <c:v>6903401</c:v>
                </c:pt>
                <c:pt idx="9">
                  <c:v>6514568</c:v>
                </c:pt>
                <c:pt idx="10">
                  <c:v>6913432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2B1-4A57-9E10-60180921398E}"/>
            </c:ext>
          </c:extLst>
        </c:ser>
        <c:ser>
          <c:idx val="7"/>
          <c:order val="7"/>
          <c:tx>
            <c:strRef>
              <c:f>'FY2026-FY2015'!$C$104</c:f>
              <c:strCache>
                <c:ptCount val="1"/>
                <c:pt idx="0">
                  <c:v>Student Transportation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'FY2026-FY2015'!$E$3:$V$3</c:f>
              <c:strCache>
                <c:ptCount val="11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  <c:pt idx="10">
                  <c:v>2016</c:v>
                </c:pt>
              </c:strCache>
            </c:strRef>
          </c:cat>
          <c:val>
            <c:numRef>
              <c:f>'FY2026-FY2015'!$E$104:$V$104</c:f>
              <c:numCache>
                <c:formatCode>#,##0</c:formatCode>
                <c:ptCount val="11"/>
                <c:pt idx="0">
                  <c:v>4475510</c:v>
                </c:pt>
                <c:pt idx="1">
                  <c:v>4085890</c:v>
                </c:pt>
                <c:pt idx="2">
                  <c:v>4565158</c:v>
                </c:pt>
                <c:pt idx="3">
                  <c:v>3247471</c:v>
                </c:pt>
                <c:pt idx="4">
                  <c:v>3835158</c:v>
                </c:pt>
                <c:pt idx="5">
                  <c:v>3557877</c:v>
                </c:pt>
                <c:pt idx="6">
                  <c:v>3465564</c:v>
                </c:pt>
                <c:pt idx="7">
                  <c:v>3454141</c:v>
                </c:pt>
                <c:pt idx="8">
                  <c:v>3298899</c:v>
                </c:pt>
                <c:pt idx="9">
                  <c:v>3147481</c:v>
                </c:pt>
                <c:pt idx="10">
                  <c:v>3217340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2B1-4A57-9E10-601809213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07587968"/>
        <c:axId val="13075890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'FY2026-FY2015'!$C$97</c15:sqref>
                        </c15:formulaRef>
                      </c:ext>
                    </c:extLst>
                    <c:strCache>
                      <c:ptCount val="1"/>
                      <c:pt idx="0">
                        <c:v>Instruction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'FY2026-FY2015'!$E$97:$V$97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28796358</c:v>
                      </c:pt>
                      <c:pt idx="1">
                        <c:v>29190103</c:v>
                      </c:pt>
                      <c:pt idx="2">
                        <c:v>29091974</c:v>
                      </c:pt>
                      <c:pt idx="3">
                        <c:v>26632868</c:v>
                      </c:pt>
                      <c:pt idx="4">
                        <c:v>30435098</c:v>
                      </c:pt>
                      <c:pt idx="5">
                        <c:v>26849086</c:v>
                      </c:pt>
                      <c:pt idx="6">
                        <c:v>27022361</c:v>
                      </c:pt>
                      <c:pt idx="7">
                        <c:v>26181758</c:v>
                      </c:pt>
                      <c:pt idx="8">
                        <c:v>26236740</c:v>
                      </c:pt>
                      <c:pt idx="9">
                        <c:v>24973128</c:v>
                      </c:pt>
                      <c:pt idx="10">
                        <c:v>25302208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2B1-4A57-9E10-60180921398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'FY2026-FY2015'!$C$98</c15:sqref>
                        </c15:formulaRef>
                      </c:ext>
                    </c:extLst>
                    <c:strCache>
                      <c:ptCount val="1"/>
                      <c:pt idx="0">
                        <c:v>Student Support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'FY2026-FY2015'!$E$98:$V$98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4081174</c:v>
                      </c:pt>
                      <c:pt idx="1">
                        <c:v>4290020</c:v>
                      </c:pt>
                      <c:pt idx="2">
                        <c:v>4068388</c:v>
                      </c:pt>
                      <c:pt idx="3">
                        <c:v>3243822</c:v>
                      </c:pt>
                      <c:pt idx="4">
                        <c:v>2938044</c:v>
                      </c:pt>
                      <c:pt idx="5">
                        <c:v>2713693</c:v>
                      </c:pt>
                      <c:pt idx="6">
                        <c:v>2650416</c:v>
                      </c:pt>
                      <c:pt idx="7">
                        <c:v>2552319</c:v>
                      </c:pt>
                      <c:pt idx="8">
                        <c:v>2515678</c:v>
                      </c:pt>
                      <c:pt idx="9">
                        <c:v>2425889</c:v>
                      </c:pt>
                      <c:pt idx="10">
                        <c:v>2411128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A2B1-4A57-9E10-60180921398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'FY2026-FY2015'!$C$99</c15:sqref>
                        </c15:formulaRef>
                      </c:ext>
                    </c:extLst>
                    <c:strCache>
                      <c:ptCount val="1"/>
                      <c:pt idx="0">
                        <c:v>Instructional Staff Support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'FY2026-FY2015'!$E$99:$V$99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1472599</c:v>
                      </c:pt>
                      <c:pt idx="1">
                        <c:v>1393978</c:v>
                      </c:pt>
                      <c:pt idx="2">
                        <c:v>1363659</c:v>
                      </c:pt>
                      <c:pt idx="3">
                        <c:v>1260085</c:v>
                      </c:pt>
                      <c:pt idx="4">
                        <c:v>1151545</c:v>
                      </c:pt>
                      <c:pt idx="5">
                        <c:v>1218660</c:v>
                      </c:pt>
                      <c:pt idx="6">
                        <c:v>1195312</c:v>
                      </c:pt>
                      <c:pt idx="7">
                        <c:v>1222032</c:v>
                      </c:pt>
                      <c:pt idx="8">
                        <c:v>1186674</c:v>
                      </c:pt>
                      <c:pt idx="9">
                        <c:v>1110507</c:v>
                      </c:pt>
                      <c:pt idx="10">
                        <c:v>1083057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A2B1-4A57-9E10-60180921398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'FY2026-FY2015'!$C$101</c15:sqref>
                        </c15:formulaRef>
                      </c:ext>
                    </c:extLst>
                    <c:strCache>
                      <c:ptCount val="1"/>
                      <c:pt idx="0">
                        <c:v>School Admin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'FY2026-FY2015'!$E$101:$V$101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5782358</c:v>
                      </c:pt>
                      <c:pt idx="1">
                        <c:v>5713320</c:v>
                      </c:pt>
                      <c:pt idx="2">
                        <c:v>5537265</c:v>
                      </c:pt>
                      <c:pt idx="3">
                        <c:v>4686654</c:v>
                      </c:pt>
                      <c:pt idx="4">
                        <c:v>4702143</c:v>
                      </c:pt>
                      <c:pt idx="5">
                        <c:v>4571372</c:v>
                      </c:pt>
                      <c:pt idx="6">
                        <c:v>4640348</c:v>
                      </c:pt>
                      <c:pt idx="7">
                        <c:v>4629819</c:v>
                      </c:pt>
                      <c:pt idx="8">
                        <c:v>4532689</c:v>
                      </c:pt>
                      <c:pt idx="9">
                        <c:v>4460265</c:v>
                      </c:pt>
                      <c:pt idx="10">
                        <c:v>4390233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A2B1-4A57-9E10-60180921398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'FY2026-FY2015'!$C$105</c15:sqref>
                        </c15:formulaRef>
                      </c:ext>
                    </c:extLst>
                    <c:strCache>
                      <c:ptCount val="1"/>
                      <c:pt idx="0">
                        <c:v>Other Support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'FY2026-FY2015'!$E$105:$V$105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291600</c:v>
                      </c:pt>
                      <c:pt idx="1">
                        <c:v>180250</c:v>
                      </c:pt>
                      <c:pt idx="2">
                        <c:v>252436</c:v>
                      </c:pt>
                      <c:pt idx="3">
                        <c:v>247232</c:v>
                      </c:pt>
                      <c:pt idx="4">
                        <c:v>913250</c:v>
                      </c:pt>
                      <c:pt idx="5">
                        <c:v>112329</c:v>
                      </c:pt>
                      <c:pt idx="6">
                        <c:v>147378</c:v>
                      </c:pt>
                      <c:pt idx="7">
                        <c:v>167651</c:v>
                      </c:pt>
                      <c:pt idx="8">
                        <c:v>152659</c:v>
                      </c:pt>
                      <c:pt idx="9">
                        <c:v>141343</c:v>
                      </c:pt>
                      <c:pt idx="10">
                        <c:v>83439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A2B1-4A57-9E10-60180921398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'FY2026-FY2015'!$C$106</c15:sqref>
                        </c15:formulaRef>
                      </c:ext>
                    </c:extLst>
                    <c:strCache>
                      <c:ptCount val="1"/>
                      <c:pt idx="0">
                        <c:v>Facilities Capital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'FY2026-FY2015'!$E$106:$V$106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462000</c:v>
                      </c:pt>
                      <c:pt idx="1">
                        <c:v>376990</c:v>
                      </c:pt>
                      <c:pt idx="2">
                        <c:v>434716</c:v>
                      </c:pt>
                      <c:pt idx="3">
                        <c:v>299008</c:v>
                      </c:pt>
                      <c:pt idx="4">
                        <c:v>321344</c:v>
                      </c:pt>
                      <c:pt idx="5">
                        <c:v>509250</c:v>
                      </c:pt>
                      <c:pt idx="6">
                        <c:v>903301</c:v>
                      </c:pt>
                      <c:pt idx="7">
                        <c:v>603</c:v>
                      </c:pt>
                      <c:pt idx="8">
                        <c:v>110649</c:v>
                      </c:pt>
                      <c:pt idx="9">
                        <c:v>1064</c:v>
                      </c:pt>
                      <c:pt idx="1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A2B1-4A57-9E10-60180921398E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'FY2026-FY2015'!$C$107</c15:sqref>
                        </c15:formulaRef>
                      </c:ext>
                    </c:extLst>
                    <c:strCache>
                      <c:ptCount val="1"/>
                      <c:pt idx="0">
                        <c:v>Debt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'FY2026-FY2015'!$E$107:$V$107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322589</c:v>
                      </c:pt>
                      <c:pt idx="3">
                        <c:v>522750</c:v>
                      </c:pt>
                      <c:pt idx="4">
                        <c:v>522966</c:v>
                      </c:pt>
                      <c:pt idx="5">
                        <c:v>522946</c:v>
                      </c:pt>
                      <c:pt idx="6">
                        <c:v>522668</c:v>
                      </c:pt>
                      <c:pt idx="7">
                        <c:v>476388</c:v>
                      </c:pt>
                      <c:pt idx="8">
                        <c:v>514265</c:v>
                      </c:pt>
                      <c:pt idx="9">
                        <c:v>499895</c:v>
                      </c:pt>
                      <c:pt idx="10">
                        <c:v>486006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A2B1-4A57-9E10-60180921398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'FY2026-FY2015'!$C$108</c15:sqref>
                        </c15:formulaRef>
                      </c:ext>
                    </c:extLst>
                    <c:strCache>
                      <c:ptCount val="1"/>
                      <c:pt idx="0">
                        <c:v>Transfers to Other Funds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'FY2026-FY2015'!$E$3:$V$3</c15:sqref>
                        </c15:formulaRef>
                      </c:ext>
                    </c:extLst>
                    <c:strCache>
                      <c:ptCount val="11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  <c:pt idx="10">
                        <c:v>2016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'FY2026-FY2015'!$E$108:$V$108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6600000</c:v>
                      </c:pt>
                      <c:pt idx="1">
                        <c:v>6600000</c:v>
                      </c:pt>
                      <c:pt idx="2">
                        <c:v>6700000</c:v>
                      </c:pt>
                      <c:pt idx="3">
                        <c:v>5200000</c:v>
                      </c:pt>
                      <c:pt idx="4">
                        <c:v>1395956</c:v>
                      </c:pt>
                      <c:pt idx="5">
                        <c:v>4000000</c:v>
                      </c:pt>
                      <c:pt idx="6">
                        <c:v>3800000</c:v>
                      </c:pt>
                      <c:pt idx="7">
                        <c:v>4200000</c:v>
                      </c:pt>
                      <c:pt idx="8">
                        <c:v>4300000</c:v>
                      </c:pt>
                      <c:pt idx="9">
                        <c:v>4261000</c:v>
                      </c:pt>
                      <c:pt idx="10">
                        <c:v>4920000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A2B1-4A57-9E10-60180921398E}"/>
                  </c:ext>
                </c:extLst>
              </c15:ser>
            </c15:filteredBarSeries>
          </c:ext>
        </c:extLst>
      </c:barChart>
      <c:catAx>
        <c:axId val="130758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7589048"/>
        <c:crosses val="autoZero"/>
        <c:auto val="1"/>
        <c:lblAlgn val="ctr"/>
        <c:lblOffset val="100"/>
        <c:noMultiLvlLbl val="0"/>
      </c:catAx>
      <c:valAx>
        <c:axId val="1307589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7587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Total Exp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D64-4011-8BD7-1A16B4E530B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D64-4011-8BD7-1A16B4E530B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9D64-4011-8BD7-1A16B4E530B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9D64-4011-8BD7-1A16B4E530B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D64-4011-8BD7-1A16B4E530B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9D64-4011-8BD7-1A16B4E530B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D64-4011-8BD7-1A16B4E530B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9D64-4011-8BD7-1A16B4E530B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D64-4011-8BD7-1A16B4E530B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D64-4011-8BD7-1A16B4E530B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D64-4011-8BD7-1A16B4E530B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D64-4011-8BD7-1A16B4E530B7}"/>
              </c:ext>
            </c:extLst>
          </c:dPt>
          <c:dLbls>
            <c:dLbl>
              <c:idx val="0"/>
              <c:layout>
                <c:manualLayout>
                  <c:x val="7.2222222222222215E-2"/>
                  <c:y val="-9.722222222222222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D64-4011-8BD7-1A16B4E530B7}"/>
                </c:ext>
              </c:extLst>
            </c:dLbl>
            <c:dLbl>
              <c:idx val="1"/>
              <c:layout>
                <c:manualLayout>
                  <c:x val="3.0555555555555555E-2"/>
                  <c:y val="0.11574074074074091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D64-4011-8BD7-1A16B4E530B7}"/>
                </c:ext>
              </c:extLst>
            </c:dLbl>
            <c:dLbl>
              <c:idx val="2"/>
              <c:layout>
                <c:manualLayout>
                  <c:x val="-4.7222222222222221E-2"/>
                  <c:y val="5.5555555555555469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D64-4011-8BD7-1A16B4E530B7}"/>
                </c:ext>
              </c:extLst>
            </c:dLbl>
            <c:dLbl>
              <c:idx val="3"/>
              <c:layout>
                <c:manualLayout>
                  <c:x val="-3.6111111111111122E-2"/>
                  <c:y val="-1.3888888888888888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D64-4011-8BD7-1A16B4E530B7}"/>
                </c:ext>
              </c:extLst>
            </c:dLbl>
            <c:dLbl>
              <c:idx val="4"/>
              <c:layout>
                <c:manualLayout>
                  <c:x val="-2.5000000000000012E-2"/>
                  <c:y val="-9.2592592592593437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D64-4011-8BD7-1A16B4E530B7}"/>
                </c:ext>
              </c:extLst>
            </c:dLbl>
            <c:dLbl>
              <c:idx val="5"/>
              <c:layout>
                <c:manualLayout>
                  <c:x val="-5.2777777777777792E-2"/>
                  <c:y val="0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D64-4011-8BD7-1A16B4E530B7}"/>
                </c:ext>
              </c:extLst>
            </c:dLbl>
            <c:dLbl>
              <c:idx val="6"/>
              <c:layout>
                <c:manualLayout>
                  <c:x val="-0.13055555555555559"/>
                  <c:y val="0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D64-4011-8BD7-1A16B4E530B7}"/>
                </c:ext>
              </c:extLst>
            </c:dLbl>
            <c:dLbl>
              <c:idx val="7"/>
              <c:layout>
                <c:manualLayout>
                  <c:x val="5.8333333333333334E-2"/>
                  <c:y val="6.018518518518518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D64-4011-8BD7-1A16B4E530B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D64-4011-8BD7-1A16B4E530B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D64-4011-8BD7-1A16B4E530B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64-4011-8BD7-1A16B4E530B7}"/>
                </c:ext>
              </c:extLst>
            </c:dLbl>
            <c:dLbl>
              <c:idx val="11"/>
              <c:layout>
                <c:manualLayout>
                  <c:x val="2.5000000000000001E-2"/>
                  <c:y val="8.333333333333328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D64-4011-8BD7-1A16B4E530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'FY2026-FY2015'!$C$114:$C$125</c:f>
              <c:strCache>
                <c:ptCount val="12"/>
                <c:pt idx="0">
                  <c:v>Instruction</c:v>
                </c:pt>
                <c:pt idx="1">
                  <c:v>Student Support</c:v>
                </c:pt>
                <c:pt idx="2">
                  <c:v>Instructional Staff Support</c:v>
                </c:pt>
                <c:pt idx="3">
                  <c:v>General Admin</c:v>
                </c:pt>
                <c:pt idx="4">
                  <c:v>School Admin</c:v>
                </c:pt>
                <c:pt idx="5">
                  <c:v>Central Services</c:v>
                </c:pt>
                <c:pt idx="6">
                  <c:v>Operations and Maintenance</c:v>
                </c:pt>
                <c:pt idx="7">
                  <c:v>Student Transportation</c:v>
                </c:pt>
                <c:pt idx="8">
                  <c:v>Other Support</c:v>
                </c:pt>
                <c:pt idx="9">
                  <c:v>Facilities Capital</c:v>
                </c:pt>
                <c:pt idx="10">
                  <c:v>Debt</c:v>
                </c:pt>
                <c:pt idx="11">
                  <c:v>Transfers to Other Funds</c:v>
                </c:pt>
              </c:strCache>
            </c:strRef>
          </c:cat>
          <c:val>
            <c:numRef>
              <c:f>'FY2026-FY2015'!$E$114:$E$125</c:f>
              <c:numCache>
                <c:formatCode>0.00%</c:formatCode>
                <c:ptCount val="12"/>
                <c:pt idx="0">
                  <c:v>0.4434556016003503</c:v>
                </c:pt>
                <c:pt idx="1">
                  <c:v>6.2848901635606427E-2</c:v>
                </c:pt>
                <c:pt idx="2">
                  <c:v>2.2677599558287E-2</c:v>
                </c:pt>
                <c:pt idx="3">
                  <c:v>1.7005254473916445E-2</c:v>
                </c:pt>
                <c:pt idx="4">
                  <c:v>8.9046644216556781E-2</c:v>
                </c:pt>
                <c:pt idx="5">
                  <c:v>4.081650378443287E-2</c:v>
                </c:pt>
                <c:pt idx="6">
                  <c:v>0.14198461501075776</c:v>
                </c:pt>
                <c:pt idx="7">
                  <c:v>6.8921562216943677E-2</c:v>
                </c:pt>
                <c:pt idx="8">
                  <c:v>4.4905558344101072E-3</c:v>
                </c:pt>
                <c:pt idx="9">
                  <c:v>7.1146666512258896E-3</c:v>
                </c:pt>
                <c:pt idx="10">
                  <c:v>0</c:v>
                </c:pt>
                <c:pt idx="11">
                  <c:v>0.10163809501751271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64-4011-8BD7-1A16B4E530B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69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</a:t>
            </a:r>
            <a:r>
              <a:rPr lang="en-US" baseline="0"/>
              <a:t> Total 2016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51B-40E9-8D85-49F807FF7D1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551B-40E9-8D85-49F807FF7D1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51B-40E9-8D85-49F807FF7D1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551B-40E9-8D85-49F807FF7D1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51B-40E9-8D85-49F807FF7D1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551B-40E9-8D85-49F807FF7D1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551B-40E9-8D85-49F807FF7D1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51B-40E9-8D85-49F807FF7D1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51B-40E9-8D85-49F807FF7D1C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51B-40E9-8D85-49F807FF7D1C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551B-40E9-8D85-49F807FF7D1C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51B-40E9-8D85-49F807FF7D1C}"/>
              </c:ext>
            </c:extLst>
          </c:dPt>
          <c:dLbls>
            <c:dLbl>
              <c:idx val="0"/>
              <c:layout>
                <c:manualLayout>
                  <c:x val="9.166666666666666E-2"/>
                  <c:y val="-7.40740740740740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1B-40E9-8D85-49F807FF7D1C}"/>
                </c:ext>
              </c:extLst>
            </c:dLbl>
            <c:dLbl>
              <c:idx val="1"/>
              <c:layout>
                <c:manualLayout>
                  <c:x val="-1.3888888888888902E-2"/>
                  <c:y val="0.22685185185185186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51B-40E9-8D85-49F807FF7D1C}"/>
                </c:ext>
              </c:extLst>
            </c:dLbl>
            <c:dLbl>
              <c:idx val="2"/>
              <c:layout>
                <c:manualLayout>
                  <c:x val="-5.5555555555555552E-2"/>
                  <c:y val="0.15740740740740741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51B-40E9-8D85-49F807FF7D1C}"/>
                </c:ext>
              </c:extLst>
            </c:dLbl>
            <c:dLbl>
              <c:idx val="3"/>
              <c:layout>
                <c:manualLayout>
                  <c:x val="-6.4688976377952762E-2"/>
                  <c:y val="2.7777777777777776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51B-40E9-8D85-49F807FF7D1C}"/>
                </c:ext>
              </c:extLst>
            </c:dLbl>
            <c:dLbl>
              <c:idx val="4"/>
              <c:layout>
                <c:manualLayout>
                  <c:x val="-7.7777777777777779E-2"/>
                  <c:y val="2.314814814814814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51B-40E9-8D85-49F807FF7D1C}"/>
                </c:ext>
              </c:extLst>
            </c:dLbl>
            <c:dLbl>
              <c:idx val="5"/>
              <c:layout>
                <c:manualLayout>
                  <c:x val="-0.10833333333333334"/>
                  <c:y val="2.314814814814814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51B-40E9-8D85-49F807FF7D1C}"/>
                </c:ext>
              </c:extLst>
            </c:dLbl>
            <c:dLbl>
              <c:idx val="6"/>
              <c:layout>
                <c:manualLayout>
                  <c:x val="-0.1583333333333333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1B-40E9-8D85-49F807FF7D1C}"/>
                </c:ext>
              </c:extLst>
            </c:dLbl>
            <c:dLbl>
              <c:idx val="7"/>
              <c:layout>
                <c:manualLayout>
                  <c:x val="1.1111111111111112E-2"/>
                  <c:y val="1.851851851851851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51B-40E9-8D85-49F807FF7D1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1B-40E9-8D85-49F807FF7D1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1B-40E9-8D85-49F807FF7D1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1B-40E9-8D85-49F807FF7D1C}"/>
                </c:ext>
              </c:extLst>
            </c:dLbl>
            <c:dLbl>
              <c:idx val="11"/>
              <c:layout>
                <c:manualLayout>
                  <c:x val="0.10833333333333323"/>
                  <c:y val="9.2592592592592587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1B-40E9-8D85-49F807FF7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'FY2026-FY2015'!$C$114:$C$125</c:f>
              <c:strCache>
                <c:ptCount val="12"/>
                <c:pt idx="0">
                  <c:v>Instruction</c:v>
                </c:pt>
                <c:pt idx="1">
                  <c:v>Student Support</c:v>
                </c:pt>
                <c:pt idx="2">
                  <c:v>Instructional Staff Support</c:v>
                </c:pt>
                <c:pt idx="3">
                  <c:v>General Admin</c:v>
                </c:pt>
                <c:pt idx="4">
                  <c:v>School Admin</c:v>
                </c:pt>
                <c:pt idx="5">
                  <c:v>Central Services</c:v>
                </c:pt>
                <c:pt idx="6">
                  <c:v>Operations and Maintenance</c:v>
                </c:pt>
                <c:pt idx="7">
                  <c:v>Student Transportation</c:v>
                </c:pt>
                <c:pt idx="8">
                  <c:v>Other Support</c:v>
                </c:pt>
                <c:pt idx="9">
                  <c:v>Facilities Capital</c:v>
                </c:pt>
                <c:pt idx="10">
                  <c:v>Debt</c:v>
                </c:pt>
                <c:pt idx="11">
                  <c:v>Transfers to Other Funds</c:v>
                </c:pt>
              </c:strCache>
            </c:strRef>
          </c:cat>
          <c:val>
            <c:numRef>
              <c:f>'FY2026-FY2015'!$V$114:$V$125</c:f>
              <c:numCache>
                <c:formatCode>0.00%</c:formatCode>
                <c:ptCount val="12"/>
                <c:pt idx="0">
                  <c:v>0.49253365643317115</c:v>
                </c:pt>
                <c:pt idx="1">
                  <c:v>4.6935101077676664E-2</c:v>
                </c:pt>
                <c:pt idx="2">
                  <c:v>2.1082825037859979E-2</c:v>
                </c:pt>
                <c:pt idx="3">
                  <c:v>1.098544250121726E-2</c:v>
                </c:pt>
                <c:pt idx="4">
                  <c:v>8.5460427488524726E-2</c:v>
                </c:pt>
                <c:pt idx="5">
                  <c:v>3.8938862849931415E-2</c:v>
                </c:pt>
                <c:pt idx="6">
                  <c:v>0.13457710653007401</c:v>
                </c:pt>
                <c:pt idx="7">
                  <c:v>6.2628851766165977E-2</c:v>
                </c:pt>
                <c:pt idx="8">
                  <c:v>1.6242264611502429E-3</c:v>
                </c:pt>
                <c:pt idx="9">
                  <c:v>0</c:v>
                </c:pt>
                <c:pt idx="10">
                  <c:v>9.4606096127444594E-3</c:v>
                </c:pt>
                <c:pt idx="11">
                  <c:v>9.5772890241484138E-2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1B-40E9-8D85-49F807FF7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74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Total Exp 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962-4A0A-8445-2906F04FB3A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962-4A0A-8445-2906F04FB3A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962-4A0A-8445-2906F04FB3A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962-4A0A-8445-2906F04FB3A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1962-4A0A-8445-2906F04FB3A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962-4A0A-8445-2906F04FB3A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962-4A0A-8445-2906F04FB3A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1962-4A0A-8445-2906F04FB3A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1962-4A0A-8445-2906F04FB3A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962-4A0A-8445-2906F04FB3A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962-4A0A-8445-2906F04FB3A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1962-4A0A-8445-2906F04FB3A6}"/>
              </c:ext>
            </c:extLst>
          </c:dPt>
          <c:dLbls>
            <c:dLbl>
              <c:idx val="0"/>
              <c:layout>
                <c:manualLayout>
                  <c:x val="0.11111111111111101"/>
                  <c:y val="-6.018518518518535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962-4A0A-8445-2906F04FB3A6}"/>
                </c:ext>
              </c:extLst>
            </c:dLbl>
            <c:dLbl>
              <c:idx val="1"/>
              <c:layout>
                <c:manualLayout>
                  <c:x val="8.3333333333333211E-3"/>
                  <c:y val="0.22685185185185186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962-4A0A-8445-2906F04FB3A6}"/>
                </c:ext>
              </c:extLst>
            </c:dLbl>
            <c:dLbl>
              <c:idx val="2"/>
              <c:layout>
                <c:manualLayout>
                  <c:x val="-4.1666666666666664E-2"/>
                  <c:y val="0.15277777777777779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962-4A0A-8445-2906F04FB3A6}"/>
                </c:ext>
              </c:extLst>
            </c:dLbl>
            <c:dLbl>
              <c:idx val="3"/>
              <c:layout>
                <c:manualLayout>
                  <c:x val="-4.166666666666665E-2"/>
                  <c:y val="2.7777777777777776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962-4A0A-8445-2906F04FB3A6}"/>
                </c:ext>
              </c:extLst>
            </c:dLbl>
            <c:dLbl>
              <c:idx val="4"/>
              <c:layout>
                <c:manualLayout>
                  <c:x val="-5.5555555555555566E-2"/>
                  <c:y val="1.3888888888888888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962-4A0A-8445-2906F04FB3A6}"/>
                </c:ext>
              </c:extLst>
            </c:dLbl>
            <c:dLbl>
              <c:idx val="5"/>
              <c:layout>
                <c:manualLayout>
                  <c:x val="-0.10833333333333334"/>
                  <c:y val="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962-4A0A-8445-2906F04FB3A6}"/>
                </c:ext>
              </c:extLst>
            </c:dLbl>
            <c:dLbl>
              <c:idx val="6"/>
              <c:layout>
                <c:manualLayout>
                  <c:x val="-0.2388888888888889"/>
                  <c:y val="-2.7777777777777776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962-4A0A-8445-2906F04FB3A6}"/>
                </c:ext>
              </c:extLst>
            </c:dLbl>
            <c:dLbl>
              <c:idx val="7"/>
              <c:layout>
                <c:manualLayout>
                  <c:x val="8.3333333333333332E-3"/>
                  <c:y val="1.851851851851851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962-4A0A-8445-2906F04FB3A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962-4A0A-8445-2906F04FB3A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962-4A0A-8445-2906F04FB3A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962-4A0A-8445-2906F04FB3A6}"/>
                </c:ext>
              </c:extLst>
            </c:dLbl>
            <c:dLbl>
              <c:idx val="11"/>
              <c:layout>
                <c:manualLayout>
                  <c:x val="6.1111111111111109E-2"/>
                  <c:y val="0.11111111111111116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962-4A0A-8445-2906F04FB3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'FY2026-FY2015'!$C$114:$C$125</c:f>
              <c:strCache>
                <c:ptCount val="12"/>
                <c:pt idx="0">
                  <c:v>Instruction</c:v>
                </c:pt>
                <c:pt idx="1">
                  <c:v>Student Support</c:v>
                </c:pt>
                <c:pt idx="2">
                  <c:v>Instructional Staff Support</c:v>
                </c:pt>
                <c:pt idx="3">
                  <c:v>General Admin</c:v>
                </c:pt>
                <c:pt idx="4">
                  <c:v>School Admin</c:v>
                </c:pt>
                <c:pt idx="5">
                  <c:v>Central Services</c:v>
                </c:pt>
                <c:pt idx="6">
                  <c:v>Operations and Maintenance</c:v>
                </c:pt>
                <c:pt idx="7">
                  <c:v>Student Transportation</c:v>
                </c:pt>
                <c:pt idx="8">
                  <c:v>Other Support</c:v>
                </c:pt>
                <c:pt idx="9">
                  <c:v>Facilities Capital</c:v>
                </c:pt>
                <c:pt idx="10">
                  <c:v>Debt</c:v>
                </c:pt>
                <c:pt idx="11">
                  <c:v>Transfers to Other Funds</c:v>
                </c:pt>
              </c:strCache>
            </c:strRef>
          </c:cat>
          <c:val>
            <c:numRef>
              <c:f>'FY2026-FY2015'!$P$114:$P$125</c:f>
              <c:numCache>
                <c:formatCode>0.00%</c:formatCode>
                <c:ptCount val="12"/>
                <c:pt idx="0">
                  <c:v>0.53963328175731196</c:v>
                </c:pt>
                <c:pt idx="1">
                  <c:v>5.2093353721659769E-2</c:v>
                </c:pt>
                <c:pt idx="2">
                  <c:v>2.0417611516848861E-2</c:v>
                </c:pt>
                <c:pt idx="3">
                  <c:v>9.9211529785125756E-3</c:v>
                </c:pt>
                <c:pt idx="4">
                  <c:v>8.3371929946871606E-2</c:v>
                </c:pt>
                <c:pt idx="5">
                  <c:v>3.9359130847644044E-2</c:v>
                </c:pt>
                <c:pt idx="6">
                  <c:v>0.13128998765487568</c:v>
                </c:pt>
                <c:pt idx="7">
                  <c:v>6.7999744820858105E-2</c:v>
                </c:pt>
                <c:pt idx="8">
                  <c:v>1.6192492449502386E-2</c:v>
                </c:pt>
                <c:pt idx="9">
                  <c:v>5.6976296673341299E-3</c:v>
                </c:pt>
                <c:pt idx="10">
                  <c:v>9.2725135574557513E-3</c:v>
                </c:pt>
                <c:pt idx="11">
                  <c:v>2.4751171081125158E-2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62-4A0A-8445-2906F04FB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59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Change from 2016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'FY2026-FY2015'!$C$114:$C$125</c:f>
              <c:strCache>
                <c:ptCount val="12"/>
                <c:pt idx="0">
                  <c:v>Instruction</c:v>
                </c:pt>
                <c:pt idx="1">
                  <c:v>Student Support</c:v>
                </c:pt>
                <c:pt idx="2">
                  <c:v>Instructional Staff Support</c:v>
                </c:pt>
                <c:pt idx="3">
                  <c:v>General Admin</c:v>
                </c:pt>
                <c:pt idx="4">
                  <c:v>School Admin</c:v>
                </c:pt>
                <c:pt idx="5">
                  <c:v>Central Services</c:v>
                </c:pt>
                <c:pt idx="6">
                  <c:v>Operations and Maintenance</c:v>
                </c:pt>
                <c:pt idx="7">
                  <c:v>Student Transportation</c:v>
                </c:pt>
                <c:pt idx="8">
                  <c:v>Other Support</c:v>
                </c:pt>
                <c:pt idx="9">
                  <c:v>Facilities Capital</c:v>
                </c:pt>
                <c:pt idx="10">
                  <c:v>Debt</c:v>
                </c:pt>
                <c:pt idx="11">
                  <c:v>Transfers to Other Funds</c:v>
                </c:pt>
              </c:strCache>
            </c:strRef>
          </c:cat>
          <c:val>
            <c:numRef>
              <c:f>'FY2026-FY2015'!$W$114:$W$125</c:f>
              <c:numCache>
                <c:formatCode>0.00%</c:formatCode>
                <c:ptCount val="12"/>
                <c:pt idx="0">
                  <c:v>-4.907805483282085E-2</c:v>
                </c:pt>
                <c:pt idx="1">
                  <c:v>1.5913800557929764E-2</c:v>
                </c:pt>
                <c:pt idx="2">
                  <c:v>1.5947745204270211E-3</c:v>
                </c:pt>
                <c:pt idx="3">
                  <c:v>6.019811972699185E-3</c:v>
                </c:pt>
                <c:pt idx="4">
                  <c:v>3.5862167280320545E-3</c:v>
                </c:pt>
                <c:pt idx="5">
                  <c:v>1.8776409345014552E-3</c:v>
                </c:pt>
                <c:pt idx="6">
                  <c:v>7.4075084806837499E-3</c:v>
                </c:pt>
                <c:pt idx="7">
                  <c:v>6.2927104507776999E-3</c:v>
                </c:pt>
                <c:pt idx="8">
                  <c:v>2.8663293732598643E-3</c:v>
                </c:pt>
                <c:pt idx="9">
                  <c:v>7.1146666512258896E-3</c:v>
                </c:pt>
                <c:pt idx="10">
                  <c:v>-9.4606096127444594E-3</c:v>
                </c:pt>
                <c:pt idx="11">
                  <c:v>5.8652047760285736E-3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B-4AB2-B403-4647D5FA4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1920312"/>
        <c:axId val="1461915992"/>
      </c:barChart>
      <c:catAx>
        <c:axId val="1461920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61915992"/>
        <c:crosses val="autoZero"/>
        <c:auto val="1"/>
        <c:lblAlgn val="ctr"/>
        <c:lblOffset val="100"/>
        <c:noMultiLvlLbl val="0"/>
      </c:catAx>
      <c:valAx>
        <c:axId val="1461915992"/>
        <c:scaling>
          <c:orientation val="minMax"/>
          <c:max val="6.0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61920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$ Exp</a:t>
            </a:r>
            <a:r>
              <a:rPr lang="en-US" baseline="0"/>
              <a:t> Per Pupil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'FY2026-FY2015'!$C$130</c:f>
              <c:strCache>
                <c:ptCount val="1"/>
                <c:pt idx="0">
                  <c:v>Instruction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'FY2026-FY2015'!$D$130:$T$130</c:f>
              <c:numCache>
                <c:formatCode>_("$"* #,##0_);_("$"* \(#,##0\);_("$"* "-"??_);_(@_)</c:formatCode>
                <c:ptCount val="10"/>
                <c:pt idx="1">
                  <c:v>6138.6395224898743</c:v>
                </c:pt>
                <c:pt idx="2">
                  <c:v>5860.9957031563736</c:v>
                </c:pt>
                <c:pt idx="3">
                  <c:v>5841.2926672556414</c:v>
                </c:pt>
                <c:pt idx="4">
                  <c:v>5149.0348774263402</c:v>
                </c:pt>
                <c:pt idx="5">
                  <c:v>5829.3618080827428</c:v>
                </c:pt>
                <c:pt idx="6">
                  <c:v>5114.598723687971</c:v>
                </c:pt>
                <c:pt idx="7">
                  <c:v>4769.633924631542</c:v>
                </c:pt>
                <c:pt idx="8">
                  <c:v>4612.5502977344004</c:v>
                </c:pt>
                <c:pt idx="9">
                  <c:v>4583.4771671150556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B8-47DE-9317-03F7985D6AF4}"/>
            </c:ext>
          </c:extLst>
        </c:ser>
        <c:ser>
          <c:idx val="1"/>
          <c:order val="1"/>
          <c:tx>
            <c:strRef>
              <c:f>'FY2026-FY2015'!$C$131</c:f>
              <c:strCache>
                <c:ptCount val="1"/>
                <c:pt idx="0">
                  <c:v>Student Support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'FY2026-FY2015'!$D$131:$T$131</c:f>
              <c:numCache>
                <c:formatCode>#,##0</c:formatCode>
                <c:ptCount val="10"/>
                <c:pt idx="1">
                  <c:v>870.00085269665317</c:v>
                </c:pt>
                <c:pt idx="2">
                  <c:v>861.38061199903632</c:v>
                </c:pt>
                <c:pt idx="3">
                  <c:v>816.8797686932777</c:v>
                </c:pt>
                <c:pt idx="4">
                  <c:v>627.14059237491301</c:v>
                </c:pt>
                <c:pt idx="5">
                  <c:v>562.73587435357206</c:v>
                </c:pt>
                <c:pt idx="6">
                  <c:v>516.94313744166107</c:v>
                </c:pt>
                <c:pt idx="7">
                  <c:v>467.81678580884301</c:v>
                </c:pt>
                <c:pt idx="8">
                  <c:v>449.65276064973045</c:v>
                </c:pt>
                <c:pt idx="9">
                  <c:v>439.48115020439536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B8-47DE-9317-03F7985D6AF4}"/>
            </c:ext>
          </c:extLst>
        </c:ser>
        <c:ser>
          <c:idx val="2"/>
          <c:order val="2"/>
          <c:tx>
            <c:strRef>
              <c:f>'FY2026-FY2015'!$C$132</c:f>
              <c:strCache>
                <c:ptCount val="1"/>
                <c:pt idx="0">
                  <c:v>Instructional Staff Support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'FY2026-FY2015'!$D$132:$T$132</c:f>
              <c:numCache>
                <c:formatCode>#,##0</c:formatCode>
                <c:ptCount val="10"/>
                <c:pt idx="1">
                  <c:v>313.92005968876572</c:v>
                </c:pt>
                <c:pt idx="2">
                  <c:v>279.89277969640995</c:v>
                </c:pt>
                <c:pt idx="3">
                  <c:v>273.80511605493535</c:v>
                </c:pt>
                <c:pt idx="4">
                  <c:v>243.61708297888796</c:v>
                </c:pt>
                <c:pt idx="5">
                  <c:v>220.56023750239419</c:v>
                </c:pt>
                <c:pt idx="6">
                  <c:v>232.14782360224783</c:v>
                </c:pt>
                <c:pt idx="7">
                  <c:v>210.98084899832318</c:v>
                </c:pt>
                <c:pt idx="8">
                  <c:v>215.29051125753145</c:v>
                </c:pt>
                <c:pt idx="9">
                  <c:v>207.30827015128753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B8-47DE-9317-03F7985D6AF4}"/>
            </c:ext>
          </c:extLst>
        </c:ser>
        <c:ser>
          <c:idx val="3"/>
          <c:order val="3"/>
          <c:tx>
            <c:strRef>
              <c:f>'FY2026-FY2015'!$C$133</c:f>
              <c:strCache>
                <c:ptCount val="1"/>
                <c:pt idx="0">
                  <c:v>General Admin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'FY2026-FY2015'!$D$133:$T$133</c:f>
              <c:numCache>
                <c:formatCode>#,##0</c:formatCode>
                <c:ptCount val="10"/>
                <c:pt idx="1">
                  <c:v>235.39927520784482</c:v>
                </c:pt>
                <c:pt idx="2">
                  <c:v>234.45928037908604</c:v>
                </c:pt>
                <c:pt idx="3">
                  <c:v>239.79660268251547</c:v>
                </c:pt>
                <c:pt idx="4">
                  <c:v>162.36157296419458</c:v>
                </c:pt>
                <c:pt idx="5">
                  <c:v>107.17276383834515</c:v>
                </c:pt>
                <c:pt idx="6">
                  <c:v>99.078578912277365</c:v>
                </c:pt>
                <c:pt idx="7">
                  <c:v>95.480187097343574</c:v>
                </c:pt>
                <c:pt idx="8">
                  <c:v>87.034988196328527</c:v>
                </c:pt>
                <c:pt idx="9">
                  <c:v>108.4497397016177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B8-47DE-9317-03F7985D6AF4}"/>
            </c:ext>
          </c:extLst>
        </c:ser>
        <c:ser>
          <c:idx val="4"/>
          <c:order val="4"/>
          <c:tx>
            <c:strRef>
              <c:f>'FY2026-FY2015'!$C$134</c:f>
              <c:strCache>
                <c:ptCount val="1"/>
                <c:pt idx="0">
                  <c:v>School Admin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'FY2026-FY2015'!$D$134:$T$134</c:f>
              <c:numCache>
                <c:formatCode>#,##0</c:formatCode>
                <c:ptCount val="10"/>
                <c:pt idx="1">
                  <c:v>1232.6493285013855</c:v>
                </c:pt>
                <c:pt idx="2">
                  <c:v>1147.1608706128022</c:v>
                </c:pt>
                <c:pt idx="3">
                  <c:v>1111.811300297165</c:v>
                </c:pt>
                <c:pt idx="4">
                  <c:v>906.08885623695005</c:v>
                </c:pt>
                <c:pt idx="5">
                  <c:v>900.62114537444938</c:v>
                </c:pt>
                <c:pt idx="6">
                  <c:v>870.82045909134206</c:v>
                </c:pt>
                <c:pt idx="7">
                  <c:v>819.05356985261676</c:v>
                </c:pt>
                <c:pt idx="8">
                  <c:v>815.6546633311018</c:v>
                </c:pt>
                <c:pt idx="9">
                  <c:v>791.84672093917061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6B8-47DE-9317-03F7985D6AF4}"/>
            </c:ext>
          </c:extLst>
        </c:ser>
        <c:ser>
          <c:idx val="5"/>
          <c:order val="5"/>
          <c:tx>
            <c:strRef>
              <c:f>'FY2026-FY2015'!$C$135</c:f>
              <c:strCache>
                <c:ptCount val="1"/>
                <c:pt idx="0">
                  <c:v>Central Services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'FY2026-FY2015'!$D$135:$T$135</c:f>
              <c:numCache>
                <c:formatCode>#,##0</c:formatCode>
                <c:ptCount val="10"/>
                <c:pt idx="1">
                  <c:v>565.01215092730763</c:v>
                </c:pt>
                <c:pt idx="2">
                  <c:v>528.05658180065859</c:v>
                </c:pt>
                <c:pt idx="3">
                  <c:v>468.64006907075742</c:v>
                </c:pt>
                <c:pt idx="4">
                  <c:v>408.56623617662984</c:v>
                </c:pt>
                <c:pt idx="5">
                  <c:v>425.17506224861137</c:v>
                </c:pt>
                <c:pt idx="6">
                  <c:v>372.96828269358986</c:v>
                </c:pt>
                <c:pt idx="7">
                  <c:v>336.83911393522197</c:v>
                </c:pt>
                <c:pt idx="8">
                  <c:v>345.17159367182273</c:v>
                </c:pt>
                <c:pt idx="9">
                  <c:v>324.65252786415567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6B8-47DE-9317-03F7985D6AF4}"/>
            </c:ext>
          </c:extLst>
        </c:ser>
        <c:ser>
          <c:idx val="6"/>
          <c:order val="6"/>
          <c:tx>
            <c:strRef>
              <c:f>'FY2026-FY2015'!$C$136</c:f>
              <c:strCache>
                <c:ptCount val="1"/>
                <c:pt idx="0">
                  <c:v>Operations and Maintenance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'FY2026-FY2015'!$D$136:$T$136</c:f>
              <c:numCache>
                <c:formatCode>#,##0</c:formatCode>
                <c:ptCount val="10"/>
                <c:pt idx="1">
                  <c:v>1965.455766361117</c:v>
                </c:pt>
                <c:pt idx="2">
                  <c:v>1722.4022166894226</c:v>
                </c:pt>
                <c:pt idx="3">
                  <c:v>1804.7988113404547</c:v>
                </c:pt>
                <c:pt idx="4">
                  <c:v>1533.835550228134</c:v>
                </c:pt>
                <c:pt idx="5">
                  <c:v>1418.253591266041</c:v>
                </c:pt>
                <c:pt idx="6">
                  <c:v>1351.915039527574</c:v>
                </c:pt>
                <c:pt idx="7">
                  <c:v>1284.4587415056042</c:v>
                </c:pt>
                <c:pt idx="8">
                  <c:v>1227.516119939396</c:v>
                </c:pt>
                <c:pt idx="9">
                  <c:v>1206.002760211034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6B8-47DE-9317-03F7985D6AF4}"/>
            </c:ext>
          </c:extLst>
        </c:ser>
        <c:ser>
          <c:idx val="7"/>
          <c:order val="7"/>
          <c:tx>
            <c:strRef>
              <c:f>'FY2026-FY2015'!$C$137</c:f>
              <c:strCache>
                <c:ptCount val="1"/>
                <c:pt idx="0">
                  <c:v>Student Transportation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'FY2026-FY2015'!$D$137:$T$137</c:f>
              <c:numCache>
                <c:formatCode>#,##0</c:formatCode>
                <c:ptCount val="10"/>
                <c:pt idx="1">
                  <c:v>954.06309955233428</c:v>
                </c:pt>
                <c:pt idx="2">
                  <c:v>820.39394426150511</c:v>
                </c:pt>
                <c:pt idx="3">
                  <c:v>916.6247690948519</c:v>
                </c:pt>
                <c:pt idx="4">
                  <c:v>627.84606758951361</c:v>
                </c:pt>
                <c:pt idx="5">
                  <c:v>734.56387665198235</c:v>
                </c:pt>
                <c:pt idx="6">
                  <c:v>677.75540527669307</c:v>
                </c:pt>
                <c:pt idx="7">
                  <c:v>611.69605507016149</c:v>
                </c:pt>
                <c:pt idx="8">
                  <c:v>608.53053098904195</c:v>
                </c:pt>
                <c:pt idx="9">
                  <c:v>576.30743160616328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6B8-47DE-9317-03F7985D6AF4}"/>
            </c:ext>
          </c:extLst>
        </c:ser>
        <c:ser>
          <c:idx val="8"/>
          <c:order val="8"/>
          <c:tx>
            <c:strRef>
              <c:f>'FY2026-FY2015'!$C$138</c:f>
              <c:strCache>
                <c:ptCount val="1"/>
                <c:pt idx="0">
                  <c:v>Other Support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'FY2026-FY2015'!$D$138:$T$138</c:f>
              <c:numCache>
                <c:formatCode>#,##0</c:formatCode>
                <c:ptCount val="10"/>
                <c:pt idx="1">
                  <c:v>62.161586015774887</c:v>
                </c:pt>
                <c:pt idx="2">
                  <c:v>36.191872138784035</c:v>
                </c:pt>
                <c:pt idx="3">
                  <c:v>50.685888683639874</c:v>
                </c:pt>
                <c:pt idx="4">
                  <c:v>47.798314128837681</c:v>
                </c:pt>
                <c:pt idx="5">
                  <c:v>174.91859796973759</c:v>
                </c:pt>
                <c:pt idx="6">
                  <c:v>21.398037908372228</c:v>
                </c:pt>
                <c:pt idx="7">
                  <c:v>26.013238019592269</c:v>
                </c:pt>
                <c:pt idx="8">
                  <c:v>29.535780980233255</c:v>
                </c:pt>
                <c:pt idx="9">
                  <c:v>26.669054190978652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B8-47DE-9317-03F7985D6AF4}"/>
            </c:ext>
          </c:extLst>
        </c:ser>
        <c:ser>
          <c:idx val="11"/>
          <c:order val="11"/>
          <c:tx>
            <c:strRef>
              <c:f>'FY2026-FY2015'!$C$141</c:f>
              <c:strCache>
                <c:ptCount val="1"/>
                <c:pt idx="0">
                  <c:v>Transfers to Other Funds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'FY2026-FY2015'!$D$141:$T$141</c:f>
              <c:numCache>
                <c:formatCode>#,##0</c:formatCode>
                <c:ptCount val="10"/>
                <c:pt idx="1">
                  <c:v>1406.9494777232999</c:v>
                </c:pt>
                <c:pt idx="2">
                  <c:v>1325.1947634728135</c:v>
                </c:pt>
                <c:pt idx="3">
                  <c:v>1345.2734720102803</c:v>
                </c:pt>
                <c:pt idx="4">
                  <c:v>1005.3360142293714</c:v>
                </c:pt>
                <c:pt idx="5">
                  <c:v>267.37330013407393</c:v>
                </c:pt>
                <c:pt idx="6">
                  <c:v>761.97733117439759</c:v>
                </c:pt>
                <c:pt idx="7">
                  <c:v>670.72632600829581</c:v>
                </c:pt>
                <c:pt idx="8">
                  <c:v>739.9316444099926</c:v>
                </c:pt>
                <c:pt idx="9">
                  <c:v>751.19667377100734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6B8-47DE-9317-03F7985D6A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95983872"/>
        <c:axId val="1195986392"/>
        <c:extLst>
          <c:ext xmlns:c15="http://schemas.microsoft.com/office/drawing/2012/chart" uri="{02D57815-91ED-43cb-92C2-25804820EDAC}">
            <c15:filteredBarSeries>
              <c15:ser>
                <c:idx val="9"/>
                <c:order val="9"/>
                <c:tx>
                  <c:strRef>
                    <c:extLst>
                      <c:ext uri="{02D57815-91ED-43cb-92C2-25804820EDAC}">
                        <c15:formulaRef>
                          <c15:sqref>'FY2026-FY2015'!$C$139</c15:sqref>
                        </c15:formulaRef>
                      </c:ext>
                    </c:extLst>
                    <c:strCache>
                      <c:ptCount val="1"/>
                      <c:pt idx="0">
                        <c:v>Facilities Capital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'FY2026-FY2015'!$D$139:$T$139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98.486463440630999</c:v>
                      </c:pt>
                      <c:pt idx="2">
                        <c:v>75.694723315396359</c:v>
                      </c:pt>
                      <c:pt idx="3">
                        <c:v>87.285358605734487</c:v>
                      </c:pt>
                      <c:pt idx="4">
                        <c:v>57.808367488979975</c:v>
                      </c:pt>
                      <c:pt idx="5">
                        <c:v>61.548362382685312</c:v>
                      </c:pt>
                      <c:pt idx="6">
                        <c:v>97.009238975140491</c:v>
                      </c:pt>
                      <c:pt idx="7">
                        <c:v>159.43888447621569</c:v>
                      </c:pt>
                      <c:pt idx="8">
                        <c:v>0.10623304323314894</c:v>
                      </c:pt>
                      <c:pt idx="9">
                        <c:v>19.330037385136787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9-76B8-47DE-9317-03F7985D6AF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'FY2026-FY2015'!$C$140</c15:sqref>
                        </c15:formulaRef>
                      </c:ext>
                    </c:extLst>
                    <c:strCache>
                      <c:ptCount val="1"/>
                      <c:pt idx="0">
                        <c:v>Debt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'FY2026-FY2015'!$D$140:$T$140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0</c:v>
                      </c:pt>
                      <c:pt idx="2">
                        <c:v>0</c:v>
                      </c:pt>
                      <c:pt idx="3">
                        <c:v>64.771705083929007</c:v>
                      </c:pt>
                      <c:pt idx="4">
                        <c:v>101.06526950738537</c:v>
                      </c:pt>
                      <c:pt idx="5">
                        <c:v>100.16586860754644</c:v>
                      </c:pt>
                      <c:pt idx="6">
                        <c:v>99.618249357081623</c:v>
                      </c:pt>
                      <c:pt idx="7">
                        <c:v>92.254522990027354</c:v>
                      </c:pt>
                      <c:pt idx="8">
                        <c:v>83.927275289806559</c:v>
                      </c:pt>
                      <c:pt idx="9">
                        <c:v>89.840501729499323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76B8-47DE-9317-03F7985D6AF4}"/>
                  </c:ext>
                </c:extLst>
              </c15:ser>
            </c15:filteredBarSeries>
          </c:ext>
        </c:extLst>
      </c:barChart>
      <c:catAx>
        <c:axId val="119598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5986392"/>
        <c:crosses val="autoZero"/>
        <c:auto val="1"/>
        <c:lblAlgn val="ctr"/>
        <c:lblOffset val="100"/>
        <c:noMultiLvlLbl val="0"/>
      </c:catAx>
      <c:valAx>
        <c:axId val="1195986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5983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Instruction</a:t>
            </a:r>
            <a:endParaRPr lang="en-US" baseline="0"/>
          </a:p>
          <a:p>
            <a:pPr>
              <a:defRPr/>
            </a:pPr>
            <a:r>
              <a:rPr lang="en-US" baseline="0"/>
              <a:t>(1000)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'FY2026-FY2015'!$C$130</c:f>
              <c:strCache>
                <c:ptCount val="1"/>
                <c:pt idx="0">
                  <c:v>Instruction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'FY2026-FY2015'!$D$130:$T$130</c:f>
              <c:numCache>
                <c:formatCode>_("$"* #,##0_);_("$"* \(#,##0\);_("$"* "-"??_);_(@_)</c:formatCode>
                <c:ptCount val="10"/>
                <c:pt idx="1">
                  <c:v>6138.6395224898743</c:v>
                </c:pt>
                <c:pt idx="2">
                  <c:v>5860.9957031563736</c:v>
                </c:pt>
                <c:pt idx="3">
                  <c:v>5841.2926672556414</c:v>
                </c:pt>
                <c:pt idx="4">
                  <c:v>5149.0348774263402</c:v>
                </c:pt>
                <c:pt idx="5">
                  <c:v>5829.3618080827428</c:v>
                </c:pt>
                <c:pt idx="6">
                  <c:v>5114.598723687971</c:v>
                </c:pt>
                <c:pt idx="7">
                  <c:v>4769.633924631542</c:v>
                </c:pt>
                <c:pt idx="8">
                  <c:v>4612.5502977344004</c:v>
                </c:pt>
                <c:pt idx="9">
                  <c:v>4583.4771671150556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8E-42BB-BE0C-1755556DA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95983872"/>
        <c:axId val="119598639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'FY2026-FY2015'!$C$131</c15:sqref>
                        </c15:formulaRef>
                      </c:ext>
                    </c:extLst>
                    <c:strCache>
                      <c:ptCount val="1"/>
                      <c:pt idx="0">
                        <c:v>Student Support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'FY2026-FY2015'!$D$131:$T$131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870.00085269665317</c:v>
                      </c:pt>
                      <c:pt idx="2">
                        <c:v>861.38061199903632</c:v>
                      </c:pt>
                      <c:pt idx="3">
                        <c:v>816.8797686932777</c:v>
                      </c:pt>
                      <c:pt idx="4">
                        <c:v>627.14059237491301</c:v>
                      </c:pt>
                      <c:pt idx="5">
                        <c:v>562.73587435357206</c:v>
                      </c:pt>
                      <c:pt idx="6">
                        <c:v>516.94313744166107</c:v>
                      </c:pt>
                      <c:pt idx="7">
                        <c:v>467.81678580884301</c:v>
                      </c:pt>
                      <c:pt idx="8">
                        <c:v>449.65276064973045</c:v>
                      </c:pt>
                      <c:pt idx="9">
                        <c:v>439.48115020439536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328E-42BB-BE0C-1755556DAF3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'FY2026-FY2015'!$C$132</c15:sqref>
                        </c15:formulaRef>
                      </c:ext>
                    </c:extLst>
                    <c:strCache>
                      <c:ptCount val="1"/>
                      <c:pt idx="0">
                        <c:v>Instructional Staff Support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'FY2026-FY2015'!$D$132:$T$132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313.92005968876572</c:v>
                      </c:pt>
                      <c:pt idx="2">
                        <c:v>279.89277969640995</c:v>
                      </c:pt>
                      <c:pt idx="3">
                        <c:v>273.80511605493535</c:v>
                      </c:pt>
                      <c:pt idx="4">
                        <c:v>243.61708297888796</c:v>
                      </c:pt>
                      <c:pt idx="5">
                        <c:v>220.56023750239419</c:v>
                      </c:pt>
                      <c:pt idx="6">
                        <c:v>232.14782360224783</c:v>
                      </c:pt>
                      <c:pt idx="7">
                        <c:v>210.98084899832318</c:v>
                      </c:pt>
                      <c:pt idx="8">
                        <c:v>215.29051125753145</c:v>
                      </c:pt>
                      <c:pt idx="9">
                        <c:v>207.30827015128753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28E-42BB-BE0C-1755556DAF3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'FY2026-FY2015'!$C$133</c15:sqref>
                        </c15:formulaRef>
                      </c:ext>
                    </c:extLst>
                    <c:strCache>
                      <c:ptCount val="1"/>
                      <c:pt idx="0">
                        <c:v>General Admin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'FY2026-FY2015'!$D$133:$T$133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235.39927520784482</c:v>
                      </c:pt>
                      <c:pt idx="2">
                        <c:v>234.45928037908604</c:v>
                      </c:pt>
                      <c:pt idx="3">
                        <c:v>239.79660268251547</c:v>
                      </c:pt>
                      <c:pt idx="4">
                        <c:v>162.36157296419458</c:v>
                      </c:pt>
                      <c:pt idx="5">
                        <c:v>107.17276383834515</c:v>
                      </c:pt>
                      <c:pt idx="6">
                        <c:v>99.078578912277365</c:v>
                      </c:pt>
                      <c:pt idx="7">
                        <c:v>95.480187097343574</c:v>
                      </c:pt>
                      <c:pt idx="8">
                        <c:v>87.034988196328527</c:v>
                      </c:pt>
                      <c:pt idx="9">
                        <c:v>108.4497397016177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28E-42BB-BE0C-1755556DAF3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'FY2026-FY2015'!$C$134</c15:sqref>
                        </c15:formulaRef>
                      </c:ext>
                    </c:extLst>
                    <c:strCache>
                      <c:ptCount val="1"/>
                      <c:pt idx="0">
                        <c:v>School Admin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'FY2026-FY2015'!$D$134:$T$134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1232.6493285013855</c:v>
                      </c:pt>
                      <c:pt idx="2">
                        <c:v>1147.1608706128022</c:v>
                      </c:pt>
                      <c:pt idx="3">
                        <c:v>1111.811300297165</c:v>
                      </c:pt>
                      <c:pt idx="4">
                        <c:v>906.08885623695005</c:v>
                      </c:pt>
                      <c:pt idx="5">
                        <c:v>900.62114537444938</c:v>
                      </c:pt>
                      <c:pt idx="6">
                        <c:v>870.82045909134206</c:v>
                      </c:pt>
                      <c:pt idx="7">
                        <c:v>819.05356985261676</c:v>
                      </c:pt>
                      <c:pt idx="8">
                        <c:v>815.6546633311018</c:v>
                      </c:pt>
                      <c:pt idx="9">
                        <c:v>791.84672093917061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28E-42BB-BE0C-1755556DAF3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'FY2026-FY2015'!$C$135</c15:sqref>
                        </c15:formulaRef>
                      </c:ext>
                    </c:extLst>
                    <c:strCache>
                      <c:ptCount val="1"/>
                      <c:pt idx="0">
                        <c:v>Central Services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'FY2026-FY2015'!$D$135:$T$135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565.01215092730763</c:v>
                      </c:pt>
                      <c:pt idx="2">
                        <c:v>528.05658180065859</c:v>
                      </c:pt>
                      <c:pt idx="3">
                        <c:v>468.64006907075742</c:v>
                      </c:pt>
                      <c:pt idx="4">
                        <c:v>408.56623617662984</c:v>
                      </c:pt>
                      <c:pt idx="5">
                        <c:v>425.17506224861137</c:v>
                      </c:pt>
                      <c:pt idx="6">
                        <c:v>372.96828269358986</c:v>
                      </c:pt>
                      <c:pt idx="7">
                        <c:v>336.83911393522197</c:v>
                      </c:pt>
                      <c:pt idx="8">
                        <c:v>345.17159367182273</c:v>
                      </c:pt>
                      <c:pt idx="9">
                        <c:v>324.65252786415567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28E-42BB-BE0C-1755556DAF3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'FY2026-FY2015'!$C$136</c15:sqref>
                        </c15:formulaRef>
                      </c:ext>
                    </c:extLst>
                    <c:strCache>
                      <c:ptCount val="1"/>
                      <c:pt idx="0">
                        <c:v>Operations and Maintenance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'FY2026-FY2015'!$D$136:$T$136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1965.455766361117</c:v>
                      </c:pt>
                      <c:pt idx="2">
                        <c:v>1722.4022166894226</c:v>
                      </c:pt>
                      <c:pt idx="3">
                        <c:v>1804.7988113404547</c:v>
                      </c:pt>
                      <c:pt idx="4">
                        <c:v>1533.835550228134</c:v>
                      </c:pt>
                      <c:pt idx="5">
                        <c:v>1418.253591266041</c:v>
                      </c:pt>
                      <c:pt idx="6">
                        <c:v>1351.915039527574</c:v>
                      </c:pt>
                      <c:pt idx="7">
                        <c:v>1284.4587415056042</c:v>
                      </c:pt>
                      <c:pt idx="8">
                        <c:v>1227.516119939396</c:v>
                      </c:pt>
                      <c:pt idx="9">
                        <c:v>1206.002760211034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28E-42BB-BE0C-1755556DAF3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'FY2026-FY2015'!$C$137</c15:sqref>
                        </c15:formulaRef>
                      </c:ext>
                    </c:extLst>
                    <c:strCache>
                      <c:ptCount val="1"/>
                      <c:pt idx="0">
                        <c:v>Student Transportation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'FY2026-FY2015'!$D$137:$T$137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954.06309955233428</c:v>
                      </c:pt>
                      <c:pt idx="2">
                        <c:v>820.39394426150511</c:v>
                      </c:pt>
                      <c:pt idx="3">
                        <c:v>916.6247690948519</c:v>
                      </c:pt>
                      <c:pt idx="4">
                        <c:v>627.84606758951361</c:v>
                      </c:pt>
                      <c:pt idx="5">
                        <c:v>734.56387665198235</c:v>
                      </c:pt>
                      <c:pt idx="6">
                        <c:v>677.75540527669307</c:v>
                      </c:pt>
                      <c:pt idx="7">
                        <c:v>611.69605507016149</c:v>
                      </c:pt>
                      <c:pt idx="8">
                        <c:v>608.53053098904195</c:v>
                      </c:pt>
                      <c:pt idx="9">
                        <c:v>576.30743160616328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28E-42BB-BE0C-1755556DAF3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'FY2026-FY2015'!$C$138</c15:sqref>
                        </c15:formulaRef>
                      </c:ext>
                    </c:extLst>
                    <c:strCache>
                      <c:ptCount val="1"/>
                      <c:pt idx="0">
                        <c:v>Other Support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'FY2026-FY2015'!$D$138:$T$138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62.161586015774887</c:v>
                      </c:pt>
                      <c:pt idx="2">
                        <c:v>36.191872138784035</c:v>
                      </c:pt>
                      <c:pt idx="3">
                        <c:v>50.685888683639874</c:v>
                      </c:pt>
                      <c:pt idx="4">
                        <c:v>47.798314128837681</c:v>
                      </c:pt>
                      <c:pt idx="5">
                        <c:v>174.91859796973759</c:v>
                      </c:pt>
                      <c:pt idx="6">
                        <c:v>21.398037908372228</c:v>
                      </c:pt>
                      <c:pt idx="7">
                        <c:v>26.013238019592269</c:v>
                      </c:pt>
                      <c:pt idx="8">
                        <c:v>29.535780980233255</c:v>
                      </c:pt>
                      <c:pt idx="9">
                        <c:v>26.669054190978652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28E-42BB-BE0C-1755556DAF3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'FY2026-FY2015'!$C$139</c15:sqref>
                        </c15:formulaRef>
                      </c:ext>
                    </c:extLst>
                    <c:strCache>
                      <c:ptCount val="1"/>
                      <c:pt idx="0">
                        <c:v>Facilities Capital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'FY2026-FY2015'!$D$139:$T$139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98.486463440630999</c:v>
                      </c:pt>
                      <c:pt idx="2">
                        <c:v>75.694723315396359</c:v>
                      </c:pt>
                      <c:pt idx="3">
                        <c:v>87.285358605734487</c:v>
                      </c:pt>
                      <c:pt idx="4">
                        <c:v>57.808367488979975</c:v>
                      </c:pt>
                      <c:pt idx="5">
                        <c:v>61.548362382685312</c:v>
                      </c:pt>
                      <c:pt idx="6">
                        <c:v>97.009238975140491</c:v>
                      </c:pt>
                      <c:pt idx="7">
                        <c:v>159.43888447621569</c:v>
                      </c:pt>
                      <c:pt idx="8">
                        <c:v>0.10623304323314894</c:v>
                      </c:pt>
                      <c:pt idx="9">
                        <c:v>19.330037385136787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328E-42BB-BE0C-1755556DAF3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'FY2026-FY2015'!$C$140</c15:sqref>
                        </c15:formulaRef>
                      </c:ext>
                    </c:extLst>
                    <c:strCache>
                      <c:ptCount val="1"/>
                      <c:pt idx="0">
                        <c:v>Debt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'FY2026-FY2015'!$D$140:$T$140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0</c:v>
                      </c:pt>
                      <c:pt idx="2">
                        <c:v>0</c:v>
                      </c:pt>
                      <c:pt idx="3">
                        <c:v>64.771705083929007</c:v>
                      </c:pt>
                      <c:pt idx="4">
                        <c:v>101.06526950738537</c:v>
                      </c:pt>
                      <c:pt idx="5">
                        <c:v>100.16586860754644</c:v>
                      </c:pt>
                      <c:pt idx="6">
                        <c:v>99.618249357081623</c:v>
                      </c:pt>
                      <c:pt idx="7">
                        <c:v>92.254522990027354</c:v>
                      </c:pt>
                      <c:pt idx="8">
                        <c:v>83.927275289806559</c:v>
                      </c:pt>
                      <c:pt idx="9">
                        <c:v>89.840501729499323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328E-42BB-BE0C-1755556DAF3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'FY2026-FY2015'!$C$141</c15:sqref>
                        </c15:formulaRef>
                      </c:ext>
                    </c:extLst>
                    <c:strCache>
                      <c:ptCount val="1"/>
                      <c:pt idx="0">
                        <c:v>Transfers to Other Funds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'FY2026-FY2015'!$D$141:$T$141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1406.9494777232999</c:v>
                      </c:pt>
                      <c:pt idx="2">
                        <c:v>1325.1947634728135</c:v>
                      </c:pt>
                      <c:pt idx="3">
                        <c:v>1345.2734720102803</c:v>
                      </c:pt>
                      <c:pt idx="4">
                        <c:v>1005.3360142293714</c:v>
                      </c:pt>
                      <c:pt idx="5">
                        <c:v>267.37330013407393</c:v>
                      </c:pt>
                      <c:pt idx="6">
                        <c:v>761.97733117439759</c:v>
                      </c:pt>
                      <c:pt idx="7">
                        <c:v>670.72632600829581</c:v>
                      </c:pt>
                      <c:pt idx="8">
                        <c:v>739.9316444099926</c:v>
                      </c:pt>
                      <c:pt idx="9">
                        <c:v>751.19667377100734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28E-42BB-BE0C-1755556DAF34}"/>
                  </c:ext>
                </c:extLst>
              </c15:ser>
            </c15:filteredBarSeries>
          </c:ext>
        </c:extLst>
      </c:barChart>
      <c:catAx>
        <c:axId val="119598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5986392"/>
        <c:crosses val="autoZero"/>
        <c:auto val="1"/>
        <c:lblAlgn val="ctr"/>
        <c:lblOffset val="100"/>
        <c:noMultiLvlLbl val="0"/>
      </c:catAx>
      <c:valAx>
        <c:axId val="1195986392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5983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School</a:t>
            </a:r>
            <a:r>
              <a:rPr lang="en-US" baseline="0"/>
              <a:t> Based</a:t>
            </a:r>
          </a:p>
          <a:p>
            <a:pPr>
              <a:defRPr/>
            </a:pPr>
            <a:r>
              <a:rPr lang="en-US" baseline="0"/>
              <a:t>(2100, 2200, 2400)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'FY2026-FY2015'!$C$131</c:f>
              <c:strCache>
                <c:ptCount val="1"/>
                <c:pt idx="0">
                  <c:v>Student Support</c:v>
                </c:pt>
              </c:strCache>
              <c:extLst xmlns:c15="http://schemas.microsoft.com/office/drawing/2012/chart"/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  <c:extLst xmlns:c15="http://schemas.microsoft.com/office/drawing/2012/chart"/>
            </c:strRef>
          </c:cat>
          <c:val>
            <c:numRef>
              <c:f>'FY2026-FY2015'!$D$131:$T$131</c:f>
              <c:numCache>
                <c:formatCode>#,##0</c:formatCode>
                <c:ptCount val="10"/>
                <c:pt idx="1">
                  <c:v>870.00085269665317</c:v>
                </c:pt>
                <c:pt idx="2">
                  <c:v>861.38061199903632</c:v>
                </c:pt>
                <c:pt idx="3">
                  <c:v>816.8797686932777</c:v>
                </c:pt>
                <c:pt idx="4">
                  <c:v>627.14059237491301</c:v>
                </c:pt>
                <c:pt idx="5">
                  <c:v>562.73587435357206</c:v>
                </c:pt>
                <c:pt idx="6">
                  <c:v>516.94313744166107</c:v>
                </c:pt>
                <c:pt idx="7">
                  <c:v>467.81678580884301</c:v>
                </c:pt>
                <c:pt idx="8">
                  <c:v>449.65276064973045</c:v>
                </c:pt>
                <c:pt idx="9">
                  <c:v>439.48115020439536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1-ED0A-46DE-AB30-CBC3FD11781B}"/>
            </c:ext>
          </c:extLst>
        </c:ser>
        <c:ser>
          <c:idx val="2"/>
          <c:order val="2"/>
          <c:tx>
            <c:strRef>
              <c:f>'FY2026-FY2015'!$C$132</c:f>
              <c:strCache>
                <c:ptCount val="1"/>
                <c:pt idx="0">
                  <c:v>Instructional Staff Support</c:v>
                </c:pt>
              </c:strCache>
              <c:extLst xmlns:c15="http://schemas.microsoft.com/office/drawing/2012/chart"/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  <c:extLst xmlns:c15="http://schemas.microsoft.com/office/drawing/2012/chart"/>
            </c:strRef>
          </c:cat>
          <c:val>
            <c:numRef>
              <c:f>'FY2026-FY2015'!$D$132:$T$132</c:f>
              <c:numCache>
                <c:formatCode>#,##0</c:formatCode>
                <c:ptCount val="10"/>
                <c:pt idx="1">
                  <c:v>313.92005968876572</c:v>
                </c:pt>
                <c:pt idx="2">
                  <c:v>279.89277969640995</c:v>
                </c:pt>
                <c:pt idx="3">
                  <c:v>273.80511605493535</c:v>
                </c:pt>
                <c:pt idx="4">
                  <c:v>243.61708297888796</c:v>
                </c:pt>
                <c:pt idx="5">
                  <c:v>220.56023750239419</c:v>
                </c:pt>
                <c:pt idx="6">
                  <c:v>232.14782360224783</c:v>
                </c:pt>
                <c:pt idx="7">
                  <c:v>210.98084899832318</c:v>
                </c:pt>
                <c:pt idx="8">
                  <c:v>215.29051125753145</c:v>
                </c:pt>
                <c:pt idx="9">
                  <c:v>207.30827015128753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2-ED0A-46DE-AB30-CBC3FD11781B}"/>
            </c:ext>
          </c:extLst>
        </c:ser>
        <c:ser>
          <c:idx val="4"/>
          <c:order val="4"/>
          <c:tx>
            <c:strRef>
              <c:f>'FY2026-FY2015'!$C$134</c:f>
              <c:strCache>
                <c:ptCount val="1"/>
                <c:pt idx="0">
                  <c:v>School Admin</c:v>
                </c:pt>
              </c:strCache>
              <c:extLst xmlns:c15="http://schemas.microsoft.com/office/drawing/2012/chart"/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  <c:extLst xmlns:c15="http://schemas.microsoft.com/office/drawing/2012/chart"/>
            </c:strRef>
          </c:cat>
          <c:val>
            <c:numRef>
              <c:f>'FY2026-FY2015'!$D$134:$T$134</c:f>
              <c:numCache>
                <c:formatCode>#,##0</c:formatCode>
                <c:ptCount val="10"/>
                <c:pt idx="1">
                  <c:v>1232.6493285013855</c:v>
                </c:pt>
                <c:pt idx="2">
                  <c:v>1147.1608706128022</c:v>
                </c:pt>
                <c:pt idx="3">
                  <c:v>1111.811300297165</c:v>
                </c:pt>
                <c:pt idx="4">
                  <c:v>906.08885623695005</c:v>
                </c:pt>
                <c:pt idx="5">
                  <c:v>900.62114537444938</c:v>
                </c:pt>
                <c:pt idx="6">
                  <c:v>870.82045909134206</c:v>
                </c:pt>
                <c:pt idx="7">
                  <c:v>819.05356985261676</c:v>
                </c:pt>
                <c:pt idx="8">
                  <c:v>815.6546633311018</c:v>
                </c:pt>
                <c:pt idx="9">
                  <c:v>791.84672093917061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4-ED0A-46DE-AB30-CBC3FD1178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95983872"/>
        <c:axId val="11959863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'FY2026-FY2015'!$C$130</c15:sqref>
                        </c15:formulaRef>
                      </c:ext>
                    </c:extLst>
                    <c:strCache>
                      <c:ptCount val="1"/>
                      <c:pt idx="0">
                        <c:v>Instruction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'FY2026-FY2015'!$D$130:$T$130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10"/>
                      <c:pt idx="1">
                        <c:v>6138.6395224898743</c:v>
                      </c:pt>
                      <c:pt idx="2">
                        <c:v>5860.9957031563736</c:v>
                      </c:pt>
                      <c:pt idx="3">
                        <c:v>5841.2926672556414</c:v>
                      </c:pt>
                      <c:pt idx="4">
                        <c:v>5149.0348774263402</c:v>
                      </c:pt>
                      <c:pt idx="5">
                        <c:v>5829.3618080827428</c:v>
                      </c:pt>
                      <c:pt idx="6">
                        <c:v>5114.598723687971</c:v>
                      </c:pt>
                      <c:pt idx="7">
                        <c:v>4769.633924631542</c:v>
                      </c:pt>
                      <c:pt idx="8">
                        <c:v>4612.5502977344004</c:v>
                      </c:pt>
                      <c:pt idx="9">
                        <c:v>4583.4771671150556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D0A-46DE-AB30-CBC3FD11781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'FY2026-FY2015'!$C$133</c15:sqref>
                        </c15:formulaRef>
                      </c:ext>
                    </c:extLst>
                    <c:strCache>
                      <c:ptCount val="1"/>
                      <c:pt idx="0">
                        <c:v>General Admin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'FY2026-FY2015'!$D$133:$T$133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235.39927520784482</c:v>
                      </c:pt>
                      <c:pt idx="2">
                        <c:v>234.45928037908604</c:v>
                      </c:pt>
                      <c:pt idx="3">
                        <c:v>239.79660268251547</c:v>
                      </c:pt>
                      <c:pt idx="4">
                        <c:v>162.36157296419458</c:v>
                      </c:pt>
                      <c:pt idx="5">
                        <c:v>107.17276383834515</c:v>
                      </c:pt>
                      <c:pt idx="6">
                        <c:v>99.078578912277365</c:v>
                      </c:pt>
                      <c:pt idx="7">
                        <c:v>95.480187097343574</c:v>
                      </c:pt>
                      <c:pt idx="8">
                        <c:v>87.034988196328527</c:v>
                      </c:pt>
                      <c:pt idx="9">
                        <c:v>108.4497397016177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D0A-46DE-AB30-CBC3FD11781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'FY2026-FY2015'!$C$135</c15:sqref>
                        </c15:formulaRef>
                      </c:ext>
                    </c:extLst>
                    <c:strCache>
                      <c:ptCount val="1"/>
                      <c:pt idx="0">
                        <c:v>Central Services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'FY2026-FY2015'!$D$135:$T$135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565.01215092730763</c:v>
                      </c:pt>
                      <c:pt idx="2">
                        <c:v>528.05658180065859</c:v>
                      </c:pt>
                      <c:pt idx="3">
                        <c:v>468.64006907075742</c:v>
                      </c:pt>
                      <c:pt idx="4">
                        <c:v>408.56623617662984</c:v>
                      </c:pt>
                      <c:pt idx="5">
                        <c:v>425.17506224861137</c:v>
                      </c:pt>
                      <c:pt idx="6">
                        <c:v>372.96828269358986</c:v>
                      </c:pt>
                      <c:pt idx="7">
                        <c:v>336.83911393522197</c:v>
                      </c:pt>
                      <c:pt idx="8">
                        <c:v>345.17159367182273</c:v>
                      </c:pt>
                      <c:pt idx="9">
                        <c:v>324.65252786415567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D0A-46DE-AB30-CBC3FD11781B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'FY2026-FY2015'!$C$136</c15:sqref>
                        </c15:formulaRef>
                      </c:ext>
                    </c:extLst>
                    <c:strCache>
                      <c:ptCount val="1"/>
                      <c:pt idx="0">
                        <c:v>Operations and Maintenance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'FY2026-FY2015'!$D$136:$T$136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1965.455766361117</c:v>
                      </c:pt>
                      <c:pt idx="2">
                        <c:v>1722.4022166894226</c:v>
                      </c:pt>
                      <c:pt idx="3">
                        <c:v>1804.7988113404547</c:v>
                      </c:pt>
                      <c:pt idx="4">
                        <c:v>1533.835550228134</c:v>
                      </c:pt>
                      <c:pt idx="5">
                        <c:v>1418.253591266041</c:v>
                      </c:pt>
                      <c:pt idx="6">
                        <c:v>1351.915039527574</c:v>
                      </c:pt>
                      <c:pt idx="7">
                        <c:v>1284.4587415056042</c:v>
                      </c:pt>
                      <c:pt idx="8">
                        <c:v>1227.516119939396</c:v>
                      </c:pt>
                      <c:pt idx="9">
                        <c:v>1206.002760211034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D0A-46DE-AB30-CBC3FD11781B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'FY2026-FY2015'!$C$137</c15:sqref>
                        </c15:formulaRef>
                      </c:ext>
                    </c:extLst>
                    <c:strCache>
                      <c:ptCount val="1"/>
                      <c:pt idx="0">
                        <c:v>Student Transportation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'FY2026-FY2015'!$D$137:$T$137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954.06309955233428</c:v>
                      </c:pt>
                      <c:pt idx="2">
                        <c:v>820.39394426150511</c:v>
                      </c:pt>
                      <c:pt idx="3">
                        <c:v>916.6247690948519</c:v>
                      </c:pt>
                      <c:pt idx="4">
                        <c:v>627.84606758951361</c:v>
                      </c:pt>
                      <c:pt idx="5">
                        <c:v>734.56387665198235</c:v>
                      </c:pt>
                      <c:pt idx="6">
                        <c:v>677.75540527669307</c:v>
                      </c:pt>
                      <c:pt idx="7">
                        <c:v>611.69605507016149</c:v>
                      </c:pt>
                      <c:pt idx="8">
                        <c:v>608.53053098904195</c:v>
                      </c:pt>
                      <c:pt idx="9">
                        <c:v>576.30743160616328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D0A-46DE-AB30-CBC3FD11781B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'FY2026-FY2015'!$C$138</c15:sqref>
                        </c15:formulaRef>
                      </c:ext>
                    </c:extLst>
                    <c:strCache>
                      <c:ptCount val="1"/>
                      <c:pt idx="0">
                        <c:v>Other Support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'FY2026-FY2015'!$D$138:$T$138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62.161586015774887</c:v>
                      </c:pt>
                      <c:pt idx="2">
                        <c:v>36.191872138784035</c:v>
                      </c:pt>
                      <c:pt idx="3">
                        <c:v>50.685888683639874</c:v>
                      </c:pt>
                      <c:pt idx="4">
                        <c:v>47.798314128837681</c:v>
                      </c:pt>
                      <c:pt idx="5">
                        <c:v>174.91859796973759</c:v>
                      </c:pt>
                      <c:pt idx="6">
                        <c:v>21.398037908372228</c:v>
                      </c:pt>
                      <c:pt idx="7">
                        <c:v>26.013238019592269</c:v>
                      </c:pt>
                      <c:pt idx="8">
                        <c:v>29.535780980233255</c:v>
                      </c:pt>
                      <c:pt idx="9">
                        <c:v>26.669054190978652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D0A-46DE-AB30-CBC3FD11781B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'FY2026-FY2015'!$C$139</c15:sqref>
                        </c15:formulaRef>
                      </c:ext>
                    </c:extLst>
                    <c:strCache>
                      <c:ptCount val="1"/>
                      <c:pt idx="0">
                        <c:v>Facilities Capital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'FY2026-FY2015'!$D$139:$T$139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98.486463440630999</c:v>
                      </c:pt>
                      <c:pt idx="2">
                        <c:v>75.694723315396359</c:v>
                      </c:pt>
                      <c:pt idx="3">
                        <c:v>87.285358605734487</c:v>
                      </c:pt>
                      <c:pt idx="4">
                        <c:v>57.808367488979975</c:v>
                      </c:pt>
                      <c:pt idx="5">
                        <c:v>61.548362382685312</c:v>
                      </c:pt>
                      <c:pt idx="6">
                        <c:v>97.009238975140491</c:v>
                      </c:pt>
                      <c:pt idx="7">
                        <c:v>159.43888447621569</c:v>
                      </c:pt>
                      <c:pt idx="8">
                        <c:v>0.10623304323314894</c:v>
                      </c:pt>
                      <c:pt idx="9">
                        <c:v>19.330037385136787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D0A-46DE-AB30-CBC3FD11781B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'FY2026-FY2015'!$C$140</c15:sqref>
                        </c15:formulaRef>
                      </c:ext>
                    </c:extLst>
                    <c:strCache>
                      <c:ptCount val="1"/>
                      <c:pt idx="0">
                        <c:v>Debt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'FY2026-FY2015'!$D$140:$T$140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0</c:v>
                      </c:pt>
                      <c:pt idx="2">
                        <c:v>0</c:v>
                      </c:pt>
                      <c:pt idx="3">
                        <c:v>64.771705083929007</c:v>
                      </c:pt>
                      <c:pt idx="4">
                        <c:v>101.06526950738537</c:v>
                      </c:pt>
                      <c:pt idx="5">
                        <c:v>100.16586860754644</c:v>
                      </c:pt>
                      <c:pt idx="6">
                        <c:v>99.618249357081623</c:v>
                      </c:pt>
                      <c:pt idx="7">
                        <c:v>92.254522990027354</c:v>
                      </c:pt>
                      <c:pt idx="8">
                        <c:v>83.927275289806559</c:v>
                      </c:pt>
                      <c:pt idx="9">
                        <c:v>89.840501729499323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ED0A-46DE-AB30-CBC3FD11781B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'FY2026-FY2015'!$C$141</c15:sqref>
                        </c15:formulaRef>
                      </c:ext>
                    </c:extLst>
                    <c:strCache>
                      <c:ptCount val="1"/>
                      <c:pt idx="0">
                        <c:v>Transfers to Other Funds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'FY2026-FY2015'!$D$141:$T$141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1406.9494777232999</c:v>
                      </c:pt>
                      <c:pt idx="2">
                        <c:v>1325.1947634728135</c:v>
                      </c:pt>
                      <c:pt idx="3">
                        <c:v>1345.2734720102803</c:v>
                      </c:pt>
                      <c:pt idx="4">
                        <c:v>1005.3360142293714</c:v>
                      </c:pt>
                      <c:pt idx="5">
                        <c:v>267.37330013407393</c:v>
                      </c:pt>
                      <c:pt idx="6">
                        <c:v>761.97733117439759</c:v>
                      </c:pt>
                      <c:pt idx="7">
                        <c:v>670.72632600829581</c:v>
                      </c:pt>
                      <c:pt idx="8">
                        <c:v>739.9316444099926</c:v>
                      </c:pt>
                      <c:pt idx="9">
                        <c:v>751.19667377100734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ED0A-46DE-AB30-CBC3FD11781B}"/>
                  </c:ext>
                </c:extLst>
              </c15:ser>
            </c15:filteredBarSeries>
          </c:ext>
        </c:extLst>
      </c:barChart>
      <c:catAx>
        <c:axId val="119598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5986392"/>
        <c:crosses val="autoZero"/>
        <c:auto val="1"/>
        <c:lblAlgn val="ctr"/>
        <c:lblOffset val="100"/>
        <c:noMultiLvlLbl val="0"/>
      </c:catAx>
      <c:valAx>
        <c:axId val="1195986392"/>
        <c:scaling>
          <c:orientation val="minMax"/>
          <c:max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5983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Other Exp</a:t>
            </a:r>
            <a:endParaRPr lang="en-US" baseline="0"/>
          </a:p>
          <a:p>
            <a:pPr>
              <a:defRPr/>
            </a:pPr>
            <a:r>
              <a:rPr lang="en-US" baseline="0"/>
              <a:t>(2300, 2500, 2600, 2700)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3"/>
          <c:tx>
            <c:strRef>
              <c:f>'FY2026-FY2015'!$C$133</c:f>
              <c:strCache>
                <c:ptCount val="1"/>
                <c:pt idx="0">
                  <c:v>General Admin</c:v>
                </c:pt>
              </c:strCache>
              <c:extLst xmlns:c15="http://schemas.microsoft.com/office/drawing/2012/chart"/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  <c:extLst xmlns:c15="http://schemas.microsoft.com/office/drawing/2012/chart"/>
            </c:strRef>
          </c:cat>
          <c:val>
            <c:numRef>
              <c:f>'FY2026-FY2015'!$D$133:$T$133</c:f>
              <c:numCache>
                <c:formatCode>#,##0</c:formatCode>
                <c:ptCount val="10"/>
                <c:pt idx="1">
                  <c:v>235.39927520784482</c:v>
                </c:pt>
                <c:pt idx="2">
                  <c:v>234.45928037908604</c:v>
                </c:pt>
                <c:pt idx="3">
                  <c:v>239.79660268251547</c:v>
                </c:pt>
                <c:pt idx="4">
                  <c:v>162.36157296419458</c:v>
                </c:pt>
                <c:pt idx="5">
                  <c:v>107.17276383834515</c:v>
                </c:pt>
                <c:pt idx="6">
                  <c:v>99.078578912277365</c:v>
                </c:pt>
                <c:pt idx="7">
                  <c:v>95.480187097343574</c:v>
                </c:pt>
                <c:pt idx="8">
                  <c:v>87.034988196328527</c:v>
                </c:pt>
                <c:pt idx="9">
                  <c:v>108.4497397016177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4-03B1-4119-B792-6A321EFEB82E}"/>
            </c:ext>
          </c:extLst>
        </c:ser>
        <c:ser>
          <c:idx val="5"/>
          <c:order val="5"/>
          <c:tx>
            <c:strRef>
              <c:f>'FY2026-FY2015'!$C$135</c:f>
              <c:strCache>
                <c:ptCount val="1"/>
                <c:pt idx="0">
                  <c:v>Central Services</c:v>
                </c:pt>
              </c:strCache>
              <c:extLst xmlns:c15="http://schemas.microsoft.com/office/drawing/2012/chart"/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  <c:extLst xmlns:c15="http://schemas.microsoft.com/office/drawing/2012/chart"/>
            </c:strRef>
          </c:cat>
          <c:val>
            <c:numRef>
              <c:f>'FY2026-FY2015'!$D$135:$T$135</c:f>
              <c:numCache>
                <c:formatCode>#,##0</c:formatCode>
                <c:ptCount val="10"/>
                <c:pt idx="1">
                  <c:v>565.01215092730763</c:v>
                </c:pt>
                <c:pt idx="2">
                  <c:v>528.05658180065859</c:v>
                </c:pt>
                <c:pt idx="3">
                  <c:v>468.64006907075742</c:v>
                </c:pt>
                <c:pt idx="4">
                  <c:v>408.56623617662984</c:v>
                </c:pt>
                <c:pt idx="5">
                  <c:v>425.17506224861137</c:v>
                </c:pt>
                <c:pt idx="6">
                  <c:v>372.96828269358986</c:v>
                </c:pt>
                <c:pt idx="7">
                  <c:v>336.83911393522197</c:v>
                </c:pt>
                <c:pt idx="8">
                  <c:v>345.17159367182273</c:v>
                </c:pt>
                <c:pt idx="9">
                  <c:v>324.65252786415567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5-03B1-4119-B792-6A321EFEB82E}"/>
            </c:ext>
          </c:extLst>
        </c:ser>
        <c:ser>
          <c:idx val="6"/>
          <c:order val="6"/>
          <c:tx>
            <c:strRef>
              <c:f>'FY2026-FY2015'!$C$136</c:f>
              <c:strCache>
                <c:ptCount val="1"/>
                <c:pt idx="0">
                  <c:v>Operations and Maintenance</c:v>
                </c:pt>
              </c:strCache>
              <c:extLst xmlns:c15="http://schemas.microsoft.com/office/drawing/2012/chart"/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  <c:extLst xmlns:c15="http://schemas.microsoft.com/office/drawing/2012/chart"/>
            </c:strRef>
          </c:cat>
          <c:val>
            <c:numRef>
              <c:f>'FY2026-FY2015'!$D$136:$T$136</c:f>
              <c:numCache>
                <c:formatCode>#,##0</c:formatCode>
                <c:ptCount val="10"/>
                <c:pt idx="1">
                  <c:v>1965.455766361117</c:v>
                </c:pt>
                <c:pt idx="2">
                  <c:v>1722.4022166894226</c:v>
                </c:pt>
                <c:pt idx="3">
                  <c:v>1804.7988113404547</c:v>
                </c:pt>
                <c:pt idx="4">
                  <c:v>1533.835550228134</c:v>
                </c:pt>
                <c:pt idx="5">
                  <c:v>1418.253591266041</c:v>
                </c:pt>
                <c:pt idx="6">
                  <c:v>1351.915039527574</c:v>
                </c:pt>
                <c:pt idx="7">
                  <c:v>1284.4587415056042</c:v>
                </c:pt>
                <c:pt idx="8">
                  <c:v>1227.516119939396</c:v>
                </c:pt>
                <c:pt idx="9">
                  <c:v>1206.002760211034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6-03B1-4119-B792-6A321EFEB82E}"/>
            </c:ext>
          </c:extLst>
        </c:ser>
        <c:ser>
          <c:idx val="7"/>
          <c:order val="7"/>
          <c:tx>
            <c:strRef>
              <c:f>'FY2026-FY2015'!$C$137</c:f>
              <c:strCache>
                <c:ptCount val="1"/>
                <c:pt idx="0">
                  <c:v>Student Transportation</c:v>
                </c:pt>
              </c:strCache>
              <c:extLst xmlns:c15="http://schemas.microsoft.com/office/drawing/2012/chart"/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'FY2026-FY2015'!$E$129:$T$129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  <c:extLst xmlns:c15="http://schemas.microsoft.com/office/drawing/2012/chart"/>
            </c:strRef>
          </c:cat>
          <c:val>
            <c:numRef>
              <c:f>'FY2026-FY2015'!$D$137:$T$137</c:f>
              <c:numCache>
                <c:formatCode>#,##0</c:formatCode>
                <c:ptCount val="10"/>
                <c:pt idx="1">
                  <c:v>954.06309955233428</c:v>
                </c:pt>
                <c:pt idx="2">
                  <c:v>820.39394426150511</c:v>
                </c:pt>
                <c:pt idx="3">
                  <c:v>916.6247690948519</c:v>
                </c:pt>
                <c:pt idx="4">
                  <c:v>627.84606758951361</c:v>
                </c:pt>
                <c:pt idx="5">
                  <c:v>734.56387665198235</c:v>
                </c:pt>
                <c:pt idx="6">
                  <c:v>677.75540527669307</c:v>
                </c:pt>
                <c:pt idx="7">
                  <c:v>611.69605507016149</c:v>
                </c:pt>
                <c:pt idx="8">
                  <c:v>608.53053098904195</c:v>
                </c:pt>
                <c:pt idx="9">
                  <c:v>576.30743160616328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7-03B1-4119-B792-6A321EFEB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95983872"/>
        <c:axId val="11959863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'FY2026-FY2015'!$C$130</c15:sqref>
                        </c15:formulaRef>
                      </c:ext>
                    </c:extLst>
                    <c:strCache>
                      <c:ptCount val="1"/>
                      <c:pt idx="0">
                        <c:v>Instruction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'FY2026-FY2015'!$D$130:$T$130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10"/>
                      <c:pt idx="1">
                        <c:v>6138.6395224898743</c:v>
                      </c:pt>
                      <c:pt idx="2">
                        <c:v>5860.9957031563736</c:v>
                      </c:pt>
                      <c:pt idx="3">
                        <c:v>5841.2926672556414</c:v>
                      </c:pt>
                      <c:pt idx="4">
                        <c:v>5149.0348774263402</c:v>
                      </c:pt>
                      <c:pt idx="5">
                        <c:v>5829.3618080827428</c:v>
                      </c:pt>
                      <c:pt idx="6">
                        <c:v>5114.598723687971</c:v>
                      </c:pt>
                      <c:pt idx="7">
                        <c:v>4769.633924631542</c:v>
                      </c:pt>
                      <c:pt idx="8">
                        <c:v>4612.5502977344004</c:v>
                      </c:pt>
                      <c:pt idx="9">
                        <c:v>4583.4771671150556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03B1-4119-B792-6A321EFEB82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'FY2026-FY2015'!$C$131</c15:sqref>
                        </c15:formulaRef>
                      </c:ext>
                    </c:extLst>
                    <c:strCache>
                      <c:ptCount val="1"/>
                      <c:pt idx="0">
                        <c:v>Student Support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'FY2026-FY2015'!$D$131:$T$131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870.00085269665317</c:v>
                      </c:pt>
                      <c:pt idx="2">
                        <c:v>861.38061199903632</c:v>
                      </c:pt>
                      <c:pt idx="3">
                        <c:v>816.8797686932777</c:v>
                      </c:pt>
                      <c:pt idx="4">
                        <c:v>627.14059237491301</c:v>
                      </c:pt>
                      <c:pt idx="5">
                        <c:v>562.73587435357206</c:v>
                      </c:pt>
                      <c:pt idx="6">
                        <c:v>516.94313744166107</c:v>
                      </c:pt>
                      <c:pt idx="7">
                        <c:v>467.81678580884301</c:v>
                      </c:pt>
                      <c:pt idx="8">
                        <c:v>449.65276064973045</c:v>
                      </c:pt>
                      <c:pt idx="9">
                        <c:v>439.48115020439536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03B1-4119-B792-6A321EFEB82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'FY2026-FY2015'!$C$132</c15:sqref>
                        </c15:formulaRef>
                      </c:ext>
                    </c:extLst>
                    <c:strCache>
                      <c:ptCount val="1"/>
                      <c:pt idx="0">
                        <c:v>Instructional Staff Support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'FY2026-FY2015'!$D$132:$T$132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313.92005968876572</c:v>
                      </c:pt>
                      <c:pt idx="2">
                        <c:v>279.89277969640995</c:v>
                      </c:pt>
                      <c:pt idx="3">
                        <c:v>273.80511605493535</c:v>
                      </c:pt>
                      <c:pt idx="4">
                        <c:v>243.61708297888796</c:v>
                      </c:pt>
                      <c:pt idx="5">
                        <c:v>220.56023750239419</c:v>
                      </c:pt>
                      <c:pt idx="6">
                        <c:v>232.14782360224783</c:v>
                      </c:pt>
                      <c:pt idx="7">
                        <c:v>210.98084899832318</c:v>
                      </c:pt>
                      <c:pt idx="8">
                        <c:v>215.29051125753145</c:v>
                      </c:pt>
                      <c:pt idx="9">
                        <c:v>207.30827015128753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03B1-4119-B792-6A321EFEB82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'FY2026-FY2015'!$C$134</c15:sqref>
                        </c15:formulaRef>
                      </c:ext>
                    </c:extLst>
                    <c:strCache>
                      <c:ptCount val="1"/>
                      <c:pt idx="0">
                        <c:v>School Admin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'FY2026-FY2015'!$D$134:$T$134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1232.6493285013855</c:v>
                      </c:pt>
                      <c:pt idx="2">
                        <c:v>1147.1608706128022</c:v>
                      </c:pt>
                      <c:pt idx="3">
                        <c:v>1111.811300297165</c:v>
                      </c:pt>
                      <c:pt idx="4">
                        <c:v>906.08885623695005</c:v>
                      </c:pt>
                      <c:pt idx="5">
                        <c:v>900.62114537444938</c:v>
                      </c:pt>
                      <c:pt idx="6">
                        <c:v>870.82045909134206</c:v>
                      </c:pt>
                      <c:pt idx="7">
                        <c:v>819.05356985261676</c:v>
                      </c:pt>
                      <c:pt idx="8">
                        <c:v>815.6546633311018</c:v>
                      </c:pt>
                      <c:pt idx="9">
                        <c:v>791.84672093917061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03B1-4119-B792-6A321EFEB82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'FY2026-FY2015'!$C$138</c15:sqref>
                        </c15:formulaRef>
                      </c:ext>
                    </c:extLst>
                    <c:strCache>
                      <c:ptCount val="1"/>
                      <c:pt idx="0">
                        <c:v>Other Support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'FY2026-FY2015'!$D$138:$T$138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62.161586015774887</c:v>
                      </c:pt>
                      <c:pt idx="2">
                        <c:v>36.191872138784035</c:v>
                      </c:pt>
                      <c:pt idx="3">
                        <c:v>50.685888683639874</c:v>
                      </c:pt>
                      <c:pt idx="4">
                        <c:v>47.798314128837681</c:v>
                      </c:pt>
                      <c:pt idx="5">
                        <c:v>174.91859796973759</c:v>
                      </c:pt>
                      <c:pt idx="6">
                        <c:v>21.398037908372228</c:v>
                      </c:pt>
                      <c:pt idx="7">
                        <c:v>26.013238019592269</c:v>
                      </c:pt>
                      <c:pt idx="8">
                        <c:v>29.535780980233255</c:v>
                      </c:pt>
                      <c:pt idx="9">
                        <c:v>26.669054190978652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03B1-4119-B792-6A321EFEB82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'FY2026-FY2015'!$C$139</c15:sqref>
                        </c15:formulaRef>
                      </c:ext>
                    </c:extLst>
                    <c:strCache>
                      <c:ptCount val="1"/>
                      <c:pt idx="0">
                        <c:v>Facilities Capital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'FY2026-FY2015'!$D$139:$T$139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98.486463440630999</c:v>
                      </c:pt>
                      <c:pt idx="2">
                        <c:v>75.694723315396359</c:v>
                      </c:pt>
                      <c:pt idx="3">
                        <c:v>87.285358605734487</c:v>
                      </c:pt>
                      <c:pt idx="4">
                        <c:v>57.808367488979975</c:v>
                      </c:pt>
                      <c:pt idx="5">
                        <c:v>61.548362382685312</c:v>
                      </c:pt>
                      <c:pt idx="6">
                        <c:v>97.009238975140491</c:v>
                      </c:pt>
                      <c:pt idx="7">
                        <c:v>159.43888447621569</c:v>
                      </c:pt>
                      <c:pt idx="8">
                        <c:v>0.10623304323314894</c:v>
                      </c:pt>
                      <c:pt idx="9">
                        <c:v>19.330037385136787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03B1-4119-B792-6A321EFEB82E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'FY2026-FY2015'!$C$140</c15:sqref>
                        </c15:formulaRef>
                      </c:ext>
                    </c:extLst>
                    <c:strCache>
                      <c:ptCount val="1"/>
                      <c:pt idx="0">
                        <c:v>Debt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'FY2026-FY2015'!$D$140:$T$140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0</c:v>
                      </c:pt>
                      <c:pt idx="2">
                        <c:v>0</c:v>
                      </c:pt>
                      <c:pt idx="3">
                        <c:v>64.771705083929007</c:v>
                      </c:pt>
                      <c:pt idx="4">
                        <c:v>101.06526950738537</c:v>
                      </c:pt>
                      <c:pt idx="5">
                        <c:v>100.16586860754644</c:v>
                      </c:pt>
                      <c:pt idx="6">
                        <c:v>99.618249357081623</c:v>
                      </c:pt>
                      <c:pt idx="7">
                        <c:v>92.254522990027354</c:v>
                      </c:pt>
                      <c:pt idx="8">
                        <c:v>83.927275289806559</c:v>
                      </c:pt>
                      <c:pt idx="9">
                        <c:v>89.840501729499323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03B1-4119-B792-6A321EFEB82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'FY2026-FY2015'!$C$141</c15:sqref>
                        </c15:formulaRef>
                      </c:ext>
                    </c:extLst>
                    <c:strCache>
                      <c:ptCount val="1"/>
                      <c:pt idx="0">
                        <c:v>Transfers to Other Funds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'FY2026-FY2015'!$E$129:$T$129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'FY2026-FY2015'!$D$141:$T$141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1">
                        <c:v>1406.9494777232999</c:v>
                      </c:pt>
                      <c:pt idx="2">
                        <c:v>1325.1947634728135</c:v>
                      </c:pt>
                      <c:pt idx="3">
                        <c:v>1345.2734720102803</c:v>
                      </c:pt>
                      <c:pt idx="4">
                        <c:v>1005.3360142293714</c:v>
                      </c:pt>
                      <c:pt idx="5">
                        <c:v>267.37330013407393</c:v>
                      </c:pt>
                      <c:pt idx="6">
                        <c:v>761.97733117439759</c:v>
                      </c:pt>
                      <c:pt idx="7">
                        <c:v>670.72632600829581</c:v>
                      </c:pt>
                      <c:pt idx="8">
                        <c:v>739.9316444099926</c:v>
                      </c:pt>
                      <c:pt idx="9">
                        <c:v>751.19667377100734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03B1-4119-B792-6A321EFEB82E}"/>
                  </c:ext>
                </c:extLst>
              </c15:ser>
            </c15:filteredBarSeries>
          </c:ext>
        </c:extLst>
      </c:barChart>
      <c:catAx>
        <c:axId val="119598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5986392"/>
        <c:crosses val="autoZero"/>
        <c:auto val="1"/>
        <c:lblAlgn val="ctr"/>
        <c:lblOffset val="100"/>
        <c:noMultiLvlLbl val="0"/>
      </c:catAx>
      <c:valAx>
        <c:axId val="119598639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5983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Net</a:t>
            </a:r>
            <a:r>
              <a:rPr lang="en-US" baseline="0"/>
              <a:t> Change in EFB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5A7-4F39-A409-92AECB08A55E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5A7-4F39-A409-92AECB08A55E}"/>
              </c:ext>
            </c:extLst>
          </c:dPt>
          <c:cat>
            <c:numRef>
              <c:f>'FY2026-FY2015'!$P$3:$V$3</c:f>
              <c:numCache>
                <c:formatCode>@</c:formatCode>
                <c:ptCount val="7"/>
                <c:pt idx="0">
                  <c:v>2022</c:v>
                </c:pt>
                <c:pt idx="1">
                  <c:v>2021</c:v>
                </c:pt>
                <c:pt idx="2">
                  <c:v>2020</c:v>
                </c:pt>
                <c:pt idx="3">
                  <c:v>2019</c:v>
                </c:pt>
                <c:pt idx="4">
                  <c:v>2018</c:v>
                </c:pt>
                <c:pt idx="5">
                  <c:v>2017</c:v>
                </c:pt>
                <c:pt idx="6">
                  <c:v>2016</c:v>
                </c:pt>
              </c:numCache>
            </c:numRef>
          </c:cat>
          <c:val>
            <c:numRef>
              <c:f>'FY2026-FY2015'!$P$34:$V$34</c:f>
              <c:numCache>
                <c:formatCode>#,##0</c:formatCode>
                <c:ptCount val="7"/>
                <c:pt idx="0">
                  <c:v>3094933</c:v>
                </c:pt>
                <c:pt idx="1">
                  <c:v>1382048</c:v>
                </c:pt>
                <c:pt idx="2">
                  <c:v>-772976</c:v>
                </c:pt>
                <c:pt idx="3">
                  <c:v>1752587</c:v>
                </c:pt>
                <c:pt idx="4">
                  <c:v>795548</c:v>
                </c:pt>
                <c:pt idx="5">
                  <c:v>648069</c:v>
                </c:pt>
                <c:pt idx="6">
                  <c:v>-454446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F7-4F45-B04B-EFD762644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6812032"/>
        <c:axId val="1456814552"/>
      </c:barChart>
      <c:catAx>
        <c:axId val="1456812032"/>
        <c:scaling>
          <c:orientation val="maxMin"/>
        </c:scaling>
        <c:delete val="0"/>
        <c:axPos val="b"/>
        <c:numFmt formatCode="@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14552"/>
        <c:crosses val="autoZero"/>
        <c:auto val="1"/>
        <c:lblAlgn val="ctr"/>
        <c:lblOffset val="100"/>
        <c:noMultiLvlLbl val="0"/>
      </c:catAx>
      <c:valAx>
        <c:axId val="1456814552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12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Ending Fund Balance From FY2022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'FY2026-FY2015'!$E$3:$P$3</c:f>
              <c:strCache>
                <c:ptCount val="5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</c:strCache>
            </c:strRef>
          </c:cat>
          <c:val>
            <c:numRef>
              <c:f>'FY2026-FY2015'!$E$36:$P$36</c:f>
              <c:numCache>
                <c:formatCode>#,##0</c:formatCode>
                <c:ptCount val="5"/>
                <c:pt idx="0">
                  <c:v>-6072726</c:v>
                </c:pt>
                <c:pt idx="1">
                  <c:v>-948911</c:v>
                </c:pt>
                <c:pt idx="2">
                  <c:v>4169953</c:v>
                </c:pt>
                <c:pt idx="3">
                  <c:v>10619029</c:v>
                </c:pt>
                <c:pt idx="4">
                  <c:v>11558853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80-4F66-837F-2635293E92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99904696"/>
        <c:axId val="899901456"/>
      </c:barChart>
      <c:catAx>
        <c:axId val="899904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9901456"/>
        <c:crosses val="autoZero"/>
        <c:auto val="1"/>
        <c:lblAlgn val="ctr"/>
        <c:lblOffset val="100"/>
        <c:noMultiLvlLbl val="0"/>
      </c:catAx>
      <c:valAx>
        <c:axId val="899901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9904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Full Enrollment</a:t>
            </a:r>
            <a:r>
              <a:rPr lang="en-US" baseline="0"/>
              <a:t> Changes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'Staff &amp; Student Ratios'!$C$12</c:f>
              <c:strCache>
                <c:ptCount val="1"/>
                <c:pt idx="0">
                  <c:v>Prior Year Comparison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5"/>
              <c:layout>
                <c:manualLayout>
                  <c:x val="-7.2809716834636329E-2"/>
                  <c:y val="-0.1389225269255135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B01-4EF7-97EC-1D0764F37E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'Staff &amp; Student Ratios'!$D$6:$K$6</c:f>
              <c:strCache>
                <c:ptCount val="8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</c:strCache>
            </c:strRef>
          </c:cat>
          <c:val>
            <c:numRef>
              <c:f>'Staff &amp; Student Ratios'!$D$12:$K$12</c:f>
              <c:numCache>
                <c:formatCode>#,##0</c:formatCode>
                <c:ptCount val="8"/>
                <c:pt idx="0">
                  <c:v>-138</c:v>
                </c:pt>
                <c:pt idx="1">
                  <c:v>-227</c:v>
                </c:pt>
                <c:pt idx="2">
                  <c:v>-240</c:v>
                </c:pt>
                <c:pt idx="3">
                  <c:v>15</c:v>
                </c:pt>
                <c:pt idx="4">
                  <c:v>-21.699999999999818</c:v>
                </c:pt>
                <c:pt idx="5">
                  <c:v>-420.30000000000018</c:v>
                </c:pt>
                <c:pt idx="6">
                  <c:v>-8</c:v>
                </c:pt>
                <c:pt idx="7">
                  <c:v>-45.100000000000364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69-4081-B80A-42AB5598F154}"/>
            </c:ext>
          </c:extLst>
        </c:ser>
        <c:ser>
          <c:idx val="1"/>
          <c:order val="1"/>
          <c:tx>
            <c:strRef>
              <c:f>'Staff &amp; Student Ratios'!$C$13</c:f>
              <c:strCache>
                <c:ptCount val="1"/>
                <c:pt idx="0">
                  <c:v>Base-year Comparison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5"/>
              <c:layout>
                <c:manualLayout>
                  <c:x val="-4.4403151786677877E-2"/>
                  <c:y val="5.07326454882794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B01-4EF7-97EC-1D0764F37E6F}"/>
                </c:ext>
              </c:extLst>
            </c:dLbl>
            <c:dLbl>
              <c:idx val="6"/>
              <c:layout>
                <c:manualLayout>
                  <c:x val="-1.7763050104595432E-2"/>
                  <c:y val="0.1024567834193139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B01-4EF7-97EC-1D0764F37E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'Staff &amp; Student Ratios'!$D$6:$K$6</c:f>
              <c:strCache>
                <c:ptCount val="8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</c:strCache>
            </c:strRef>
          </c:cat>
          <c:val>
            <c:numRef>
              <c:f>'Staff &amp; Student Ratios'!$D$13:$K$13</c:f>
              <c:numCache>
                <c:formatCode>#,##0</c:formatCode>
                <c:ptCount val="8"/>
                <c:pt idx="0">
                  <c:v>-1294</c:v>
                </c:pt>
                <c:pt idx="1">
                  <c:v>-1156</c:v>
                </c:pt>
                <c:pt idx="2">
                  <c:v>-929</c:v>
                </c:pt>
                <c:pt idx="3">
                  <c:v>-689</c:v>
                </c:pt>
                <c:pt idx="4">
                  <c:v>-704</c:v>
                </c:pt>
                <c:pt idx="5">
                  <c:v>-682.30000000000018</c:v>
                </c:pt>
                <c:pt idx="6">
                  <c:v>-262</c:v>
                </c:pt>
                <c:pt idx="7">
                  <c:v>-254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69-4081-B80A-42AB5598F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4503240"/>
        <c:axId val="874500720"/>
      </c:lineChart>
      <c:catAx>
        <c:axId val="87450324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4500720"/>
        <c:crosses val="autoZero"/>
        <c:auto val="1"/>
        <c:lblAlgn val="ctr"/>
        <c:lblOffset val="100"/>
        <c:noMultiLvlLbl val="0"/>
      </c:catAx>
      <c:valAx>
        <c:axId val="87450072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4503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Weighted Enrollment</a:t>
            </a:r>
            <a:r>
              <a:rPr lang="en-US" baseline="0"/>
              <a:t> Changes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985997132944133"/>
          <c:y val="0.27440476190476193"/>
          <c:w val="0.82144169973476266"/>
          <c:h val="0.5947619047619047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'Staff &amp; Student Ratios'!$E$6:$N$6</c:f>
              <c:strCach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strCache>
            </c:strRef>
          </c:cat>
          <c:val>
            <c:numRef>
              <c:f>'Staff &amp; Student Ratios'!$E$15:$N$15</c:f>
              <c:numCache>
                <c:formatCode>#,##0</c:formatCode>
                <c:ptCount val="10"/>
                <c:pt idx="0">
                  <c:v>-210.39999999999964</c:v>
                </c:pt>
                <c:pt idx="1">
                  <c:v>-192</c:v>
                </c:pt>
                <c:pt idx="2">
                  <c:v>-48.600000000000364</c:v>
                </c:pt>
                <c:pt idx="3">
                  <c:v>-28.5</c:v>
                </c:pt>
                <c:pt idx="4">
                  <c:v>-416</c:v>
                </c:pt>
                <c:pt idx="5">
                  <c:v>-10.699999999999818</c:v>
                </c:pt>
                <c:pt idx="6">
                  <c:v>-48</c:v>
                </c:pt>
                <c:pt idx="7">
                  <c:v>-134</c:v>
                </c:pt>
                <c:pt idx="8">
                  <c:v>81.199999999999818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8C-4295-9C56-BB26A858AAD5}"/>
            </c:ext>
          </c:extLst>
        </c:ser>
        <c:ser>
          <c:idx val="1"/>
          <c:order val="1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5"/>
              <c:layout>
                <c:manualLayout>
                  <c:x val="-4.399310244530779E-2"/>
                  <c:y val="0.106115954255718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086-4B30-8729-F2D5AC292679}"/>
                </c:ext>
              </c:extLst>
            </c:dLbl>
            <c:dLbl>
              <c:idx val="6"/>
              <c:layout>
                <c:manualLayout>
                  <c:x val="-3.1671133456603016E-2"/>
                  <c:y val="0.1239730971128608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086-4B30-8729-F2D5AC292679}"/>
                </c:ext>
              </c:extLst>
            </c:dLbl>
            <c:dLbl>
              <c:idx val="7"/>
              <c:layout>
                <c:manualLayout>
                  <c:x val="-3.8707193263111242E-2"/>
                  <c:y val="8.82588113985752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86-4B30-8729-F2D5AC2926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'Staff &amp; Student Ratios'!$E$6:$N$6</c:f>
              <c:strCach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strCache>
            </c:strRef>
          </c:cat>
          <c:val>
            <c:numRef>
              <c:f>'Staff &amp; Student Ratios'!$E$16:$N$16</c:f>
              <c:numCache>
                <c:formatCode>#,##0</c:formatCode>
                <c:ptCount val="10"/>
                <c:pt idx="0">
                  <c:v>-1007</c:v>
                </c:pt>
                <c:pt idx="1">
                  <c:v>-796.60000000000036</c:v>
                </c:pt>
                <c:pt idx="2">
                  <c:v>-604.60000000000036</c:v>
                </c:pt>
                <c:pt idx="3">
                  <c:v>-556</c:v>
                </c:pt>
                <c:pt idx="4">
                  <c:v>-527.5</c:v>
                </c:pt>
                <c:pt idx="5">
                  <c:v>-111.5</c:v>
                </c:pt>
                <c:pt idx="6">
                  <c:v>-100.80000000000018</c:v>
                </c:pt>
                <c:pt idx="7">
                  <c:v>-52.800000000000182</c:v>
                </c:pt>
                <c:pt idx="8">
                  <c:v>81.199999999999818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8C-4295-9C56-BB26A858A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4503240"/>
        <c:axId val="874500720"/>
      </c:lineChart>
      <c:catAx>
        <c:axId val="87450324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4500720"/>
        <c:crosses val="autoZero"/>
        <c:auto val="1"/>
        <c:lblAlgn val="ctr"/>
        <c:lblOffset val="100"/>
        <c:noMultiLvlLbl val="0"/>
      </c:catAx>
      <c:valAx>
        <c:axId val="87450072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4503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Enrollment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'Staff &amp; Student Ratios'!$C$8</c:f>
              <c:strCache>
                <c:ptCount val="1"/>
                <c:pt idx="0">
                  <c:v>Full Enrollment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'Staff &amp; Student Ratios'!$D$6:$N$6</c15:sqref>
                  </c15:fullRef>
                </c:ext>
              </c:extLst>
              <c:f>'Staff &amp; Student Ratios'!$E$6:$N$6</c:f>
              <c:strCach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'Staff &amp; Student Ratios'!$D$8:$N$8</c15:sqref>
                  </c15:fullRef>
                </c:ext>
              </c:extLst>
              <c:f>'Staff &amp; Student Ratios'!$E$8:$N$8</c:f>
              <c:numCache>
                <c:formatCode>#,##0</c:formatCode>
                <c:ptCount val="10"/>
                <c:pt idx="0">
                  <c:v>4797</c:v>
                </c:pt>
                <c:pt idx="1">
                  <c:v>5024</c:v>
                </c:pt>
                <c:pt idx="2">
                  <c:v>5264</c:v>
                </c:pt>
                <c:pt idx="3">
                  <c:v>5249</c:v>
                </c:pt>
                <c:pt idx="4" formatCode="_(* #,##0_);_(* \(#,##0\);_(* &quot;-&quot;??_);_(@_)">
                  <c:v>5270.7</c:v>
                </c:pt>
                <c:pt idx="5">
                  <c:v>5691</c:v>
                </c:pt>
                <c:pt idx="6">
                  <c:v>5699</c:v>
                </c:pt>
                <c:pt idx="7">
                  <c:v>5744.1</c:v>
                </c:pt>
                <c:pt idx="8">
                  <c:v>5879</c:v>
                </c:pt>
                <c:pt idx="9">
                  <c:v>5953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CF-4863-9D15-D9741077FB48}"/>
            </c:ext>
          </c:extLst>
        </c:ser>
        <c:ser>
          <c:idx val="1"/>
          <c:order val="1"/>
          <c:tx>
            <c:strRef>
              <c:f>'Staff &amp; Student Ratios'!$C$9</c:f>
              <c:strCache>
                <c:ptCount val="1"/>
                <c:pt idx="0">
                  <c:v>Weighted Enrollment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'Staff &amp; Student Ratios'!$D$6:$N$6</c15:sqref>
                  </c15:fullRef>
                </c:ext>
              </c:extLst>
              <c:f>'Staff &amp; Student Ratios'!$E$6:$N$6</c:f>
              <c:strCach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'Staff &amp; Student Ratios'!$D$9:$N$9</c15:sqref>
                  </c15:fullRef>
                </c:ext>
              </c:extLst>
              <c:f>'Staff &amp; Student Ratios'!$E$9:$N$9</c:f>
              <c:numCache>
                <c:formatCode>#,##0</c:formatCode>
                <c:ptCount val="10"/>
                <c:pt idx="0">
                  <c:v>4770</c:v>
                </c:pt>
                <c:pt idx="1">
                  <c:v>4980.3999999999996</c:v>
                </c:pt>
                <c:pt idx="2">
                  <c:v>5172.3999999999996</c:v>
                </c:pt>
                <c:pt idx="3">
                  <c:v>5221</c:v>
                </c:pt>
                <c:pt idx="4" formatCode="_(* #,##0_);_(* \(#,##0\);_(* &quot;-&quot;??_);_(@_)">
                  <c:v>5249.5</c:v>
                </c:pt>
                <c:pt idx="5">
                  <c:v>5665.5</c:v>
                </c:pt>
                <c:pt idx="6">
                  <c:v>5676.2</c:v>
                </c:pt>
                <c:pt idx="7">
                  <c:v>5724.2</c:v>
                </c:pt>
                <c:pt idx="8">
                  <c:v>5858.2</c:v>
                </c:pt>
                <c:pt idx="9">
                  <c:v>5777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CF-4863-9D15-D9741077FB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1775424"/>
        <c:axId val="961773624"/>
      </c:lineChart>
      <c:catAx>
        <c:axId val="961775424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773624"/>
        <c:crosses val="autoZero"/>
        <c:auto val="1"/>
        <c:lblAlgn val="ctr"/>
        <c:lblOffset val="100"/>
        <c:noMultiLvlLbl val="0"/>
      </c:catAx>
      <c:valAx>
        <c:axId val="961773624"/>
        <c:scaling>
          <c:orientation val="minMax"/>
          <c:min val="4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775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'Staff &amp; Student Ratios'!$C$9</c:f>
              <c:strCache>
                <c:ptCount val="1"/>
                <c:pt idx="0">
                  <c:v>Weighted Enrollment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('Staff &amp; Student Ratios'!$D$6,'Staff &amp; Student Ratios'!$L$6)</c:f>
              <c:strCache>
                <c:ptCount val="2"/>
                <c:pt idx="0">
                  <c:v>2026</c:v>
                </c:pt>
                <c:pt idx="1">
                  <c:v>2018</c:v>
                </c:pt>
              </c:strCache>
            </c:strRef>
          </c:cat>
          <c:val>
            <c:numRef>
              <c:f>('Staff &amp; Student Ratios'!$D$9,'Staff &amp; Student Ratios'!$L$9)</c:f>
              <c:numCache>
                <c:formatCode>#,##0</c:formatCode>
                <c:ptCount val="2"/>
                <c:pt idx="0">
                  <c:v>4637</c:v>
                </c:pt>
                <c:pt idx="1">
                  <c:v>5724.2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BC-45AC-AB62-F51AA504C7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2924992"/>
        <c:axId val="962922832"/>
      </c:barChart>
      <c:catAx>
        <c:axId val="962924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2922832"/>
        <c:crosses val="autoZero"/>
        <c:auto val="1"/>
        <c:lblAlgn val="ctr"/>
        <c:lblOffset val="100"/>
        <c:noMultiLvlLbl val="0"/>
      </c:catAx>
      <c:valAx>
        <c:axId val="962922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2924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Enrollment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'Staff &amp; Student Ratios'!$C$8</c:f>
              <c:strCache>
                <c:ptCount val="1"/>
                <c:pt idx="0">
                  <c:v>Full Enrollment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'Staff &amp; Student Ratios'!$D$6:$H$6</c:f>
              <c:strCache>
                <c:ptCount val="5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</c:strCache>
            </c:strRef>
          </c:cat>
          <c:val>
            <c:numRef>
              <c:f>'Staff &amp; Student Ratios'!$D$8:$H$8</c:f>
              <c:numCache>
                <c:formatCode>#,##0</c:formatCode>
                <c:ptCount val="5"/>
                <c:pt idx="0">
                  <c:v>4659</c:v>
                </c:pt>
                <c:pt idx="1">
                  <c:v>4797</c:v>
                </c:pt>
                <c:pt idx="2">
                  <c:v>5024</c:v>
                </c:pt>
                <c:pt idx="3">
                  <c:v>5264</c:v>
                </c:pt>
                <c:pt idx="4">
                  <c:v>5249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28-4E4B-B7B9-A4C6E5F31CED}"/>
            </c:ext>
          </c:extLst>
        </c:ser>
        <c:ser>
          <c:idx val="1"/>
          <c:order val="1"/>
          <c:tx>
            <c:strRef>
              <c:f>'Staff &amp; Student Ratios'!$C$9</c:f>
              <c:strCache>
                <c:ptCount val="1"/>
                <c:pt idx="0">
                  <c:v>Weighted Enrollment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'Staff &amp; Student Ratios'!$D$6:$H$6</c:f>
              <c:strCache>
                <c:ptCount val="5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</c:strCache>
            </c:strRef>
          </c:cat>
          <c:val>
            <c:numRef>
              <c:f>'Staff &amp; Student Ratios'!$D$9:$H$9</c:f>
              <c:numCache>
                <c:formatCode>#,##0</c:formatCode>
                <c:ptCount val="5"/>
                <c:pt idx="0">
                  <c:v>4637</c:v>
                </c:pt>
                <c:pt idx="1">
                  <c:v>4770</c:v>
                </c:pt>
                <c:pt idx="2">
                  <c:v>4980.3999999999996</c:v>
                </c:pt>
                <c:pt idx="3">
                  <c:v>5172.3999999999996</c:v>
                </c:pt>
                <c:pt idx="4">
                  <c:v>5221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28-4E4B-B7B9-A4C6E5F31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1775424"/>
        <c:axId val="961773624"/>
      </c:lineChart>
      <c:catAx>
        <c:axId val="961775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773624"/>
        <c:crosses val="autoZero"/>
        <c:auto val="1"/>
        <c:lblAlgn val="ctr"/>
        <c:lblOffset val="100"/>
        <c:noMultiLvlLbl val="0"/>
      </c:catAx>
      <c:valAx>
        <c:axId val="961773624"/>
        <c:scaling>
          <c:orientation val="minMax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775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Licensed Regular</a:t>
            </a:r>
            <a:r>
              <a:rPr lang="en-US" baseline="0"/>
              <a:t> Programs (100.1000)</a:t>
            </a:r>
            <a:endParaRPr lang="en-US"/>
          </a:p>
        </c:rich>
      </c:tx>
      <c:layout>
        <c:manualLayout>
          <c:xMode val="edge"/>
          <c:yMode val="edge"/>
          <c:x val="0.20110249784668388"/>
          <c:y val="3.2653061224489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045-46A1-B7B6-F0C9BE93577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D045-46A1-B7B6-F0C9BE93577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045-46A1-B7B6-F0C9BE93577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D045-46A1-B7B6-F0C9BE93577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045-46A1-B7B6-F0C9BE935774}"/>
              </c:ext>
            </c:extLst>
          </c:dPt>
          <c:dLbls>
            <c:dLbl>
              <c:idx val="0"/>
              <c:layout>
                <c:manualLayout>
                  <c:x val="-6.8906115417743325E-3"/>
                  <c:y val="-0.3198635654414165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045-46A1-B7B6-F0C9BE935774}"/>
                </c:ext>
              </c:extLst>
            </c:dLbl>
            <c:dLbl>
              <c:idx val="1"/>
              <c:layout>
                <c:manualLayout>
                  <c:x val="-3.4453057708871979E-3"/>
                  <c:y val="-0.3198635654414165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045-46A1-B7B6-F0C9BE935774}"/>
                </c:ext>
              </c:extLst>
            </c:dLbl>
            <c:dLbl>
              <c:idx val="2"/>
              <c:layout>
                <c:manualLayout>
                  <c:x val="0"/>
                  <c:y val="-0.313719172200249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045-46A1-B7B6-F0C9BE935774}"/>
                </c:ext>
              </c:extLst>
            </c:dLbl>
            <c:dLbl>
              <c:idx val="3"/>
              <c:layout>
                <c:manualLayout>
                  <c:x val="-3.4453057708871662E-3"/>
                  <c:y val="-0.3166288084957122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045-46A1-B7B6-F0C9BE935774}"/>
                </c:ext>
              </c:extLst>
            </c:dLbl>
            <c:dLbl>
              <c:idx val="4"/>
              <c:layout>
                <c:manualLayout>
                  <c:x val="-6.8906115417743325E-3"/>
                  <c:y val="-0.3082259878805472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045-46A1-B7B6-F0C9BE935774}"/>
                </c:ext>
              </c:extLst>
            </c:dLbl>
            <c:dLbl>
              <c:idx val="5"/>
              <c:layout>
                <c:manualLayout>
                  <c:x val="-6.8906115417743325E-3"/>
                  <c:y val="-0.35441255557341045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045-46A1-B7B6-F0C9BE935774}"/>
                </c:ext>
              </c:extLst>
            </c:dLbl>
            <c:dLbl>
              <c:idx val="6"/>
              <c:layout>
                <c:manualLayout>
                  <c:x val="-3.4453057708871662E-3"/>
                  <c:y val="-0.3167299801810488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045-46A1-B7B6-F0C9BE935774}"/>
                </c:ext>
              </c:extLst>
            </c:dLbl>
            <c:dLbl>
              <c:idx val="7"/>
              <c:layout>
                <c:manualLayout>
                  <c:x val="0"/>
                  <c:y val="-0.3335150249076008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045-46A1-B7B6-F0C9BE935774}"/>
                </c:ext>
              </c:extLst>
            </c:dLbl>
            <c:dLbl>
              <c:idx val="8"/>
              <c:layout>
                <c:manualLayout>
                  <c:x val="-3.4453057708871662E-3"/>
                  <c:y val="-0.3208424661203063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045-46A1-B7B6-F0C9BE9357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'Staff &amp; Student Ratios'!$D$6:$M$6</c:f>
              <c:strCache>
                <c:ptCount val="10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  <c:pt idx="9">
                  <c:v>2017</c:v>
                </c:pt>
              </c:strCache>
            </c:strRef>
          </c:cat>
          <c:val>
            <c:numRef>
              <c:f>'Staff &amp; Student Ratios'!$D$20:$L$20</c:f>
              <c:numCache>
                <c:formatCode>#,##0</c:formatCode>
                <c:ptCount val="9"/>
                <c:pt idx="0">
                  <c:v>204</c:v>
                </c:pt>
                <c:pt idx="1">
                  <c:v>222</c:v>
                </c:pt>
                <c:pt idx="2">
                  <c:v>233.6</c:v>
                </c:pt>
                <c:pt idx="3">
                  <c:v>234.4</c:v>
                </c:pt>
                <c:pt idx="4">
                  <c:v>230.4</c:v>
                </c:pt>
                <c:pt idx="5">
                  <c:v>240.27</c:v>
                </c:pt>
                <c:pt idx="6">
                  <c:v>238</c:v>
                </c:pt>
                <c:pt idx="7">
                  <c:v>239.17</c:v>
                </c:pt>
                <c:pt idx="8">
                  <c:v>237.93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45-46A1-B7B6-F0C9BE935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5630520"/>
        <c:axId val="108563124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'Staff &amp; Student Ratios'!$D$6:$M$6</c15:sqref>
                        </c15:formulaRef>
                      </c:ext>
                    </c:extLst>
                    <c:strCache>
                      <c:ptCount val="10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'Staff &amp; Student Ratios'!$D$21:$L$21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30</c:v>
                      </c:pt>
                      <c:pt idx="1">
                        <c:v>44</c:v>
                      </c:pt>
                      <c:pt idx="2">
                        <c:v>28.97</c:v>
                      </c:pt>
                      <c:pt idx="3">
                        <c:v>24.63</c:v>
                      </c:pt>
                      <c:pt idx="4">
                        <c:v>25.5</c:v>
                      </c:pt>
                      <c:pt idx="5">
                        <c:v>28.09</c:v>
                      </c:pt>
                      <c:pt idx="6">
                        <c:v>26.03</c:v>
                      </c:pt>
                      <c:pt idx="7">
                        <c:v>26.13</c:v>
                      </c:pt>
                      <c:pt idx="8">
                        <c:v>24.16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D045-46A1-B7B6-F0C9BE935774}"/>
                  </c:ext>
                </c:extLst>
              </c15:ser>
            </c15:filteredBarSeries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Ratios'!$D$6:$M$6</c15:sqref>
                        </c15:formulaRef>
                      </c:ext>
                    </c:extLst>
                    <c:strCache>
                      <c:ptCount val="10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Ratios'!$D$22:$L$22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2.9</c:v>
                      </c:pt>
                      <c:pt idx="4">
                        <c:v>11.9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045-46A1-B7B6-F0C9BE935774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Ratios'!$D$6:$M$6</c15:sqref>
                        </c15:formulaRef>
                      </c:ext>
                    </c:extLst>
                    <c:strCache>
                      <c:ptCount val="10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Ratios'!$D$23:$L$23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045-46A1-B7B6-F0C9BE935774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Ratios'!$D$6:$M$6</c15:sqref>
                        </c15:formulaRef>
                      </c:ext>
                    </c:extLst>
                    <c:strCache>
                      <c:ptCount val="10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Ratios'!$D$24:$L$24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8</c:v>
                      </c:pt>
                      <c:pt idx="1">
                        <c:v>7</c:v>
                      </c:pt>
                      <c:pt idx="2">
                        <c:v>7</c:v>
                      </c:pt>
                      <c:pt idx="3">
                        <c:v>6</c:v>
                      </c:pt>
                      <c:pt idx="4">
                        <c:v>7</c:v>
                      </c:pt>
                      <c:pt idx="5">
                        <c:v>10</c:v>
                      </c:pt>
                      <c:pt idx="6">
                        <c:v>9.6999999999999993</c:v>
                      </c:pt>
                      <c:pt idx="7">
                        <c:v>9.5399999999999991</c:v>
                      </c:pt>
                      <c:pt idx="8">
                        <c:v>9.5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045-46A1-B7B6-F0C9BE935774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Ratios'!$D$6:$M$6</c15:sqref>
                        </c15:formulaRef>
                      </c:ext>
                    </c:extLst>
                    <c:strCache>
                      <c:ptCount val="10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Ratios'!$D$25:$L$25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045-46A1-B7B6-F0C9BE935774}"/>
                  </c:ext>
                </c:extLst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Ratios'!$D$6:$M$6</c15:sqref>
                        </c15:formulaRef>
                      </c:ext>
                    </c:extLst>
                    <c:strCache>
                      <c:ptCount val="10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Ratios'!$D$26:$L$26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7</c:v>
                      </c:pt>
                      <c:pt idx="1">
                        <c:v>8</c:v>
                      </c:pt>
                      <c:pt idx="2">
                        <c:v>2</c:v>
                      </c:pt>
                      <c:pt idx="3">
                        <c:v>2</c:v>
                      </c:pt>
                      <c:pt idx="4">
                        <c:v>2</c:v>
                      </c:pt>
                      <c:pt idx="5">
                        <c:v>14.5</c:v>
                      </c:pt>
                      <c:pt idx="6">
                        <c:v>15</c:v>
                      </c:pt>
                      <c:pt idx="7">
                        <c:v>15.5</c:v>
                      </c:pt>
                      <c:pt idx="8">
                        <c:v>14.5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045-46A1-B7B6-F0C9BE935774}"/>
                  </c:ext>
                </c:extLst>
              </c15:ser>
            </c15:filteredBarSeries>
            <c15:filteredBarSeries>
              <c15:ser>
                <c:idx val="7"/>
                <c:order val="7"/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Ratios'!$D$6:$M$6</c15:sqref>
                        </c15:formulaRef>
                      </c:ext>
                    </c:extLst>
                    <c:strCache>
                      <c:ptCount val="10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  <c:pt idx="9">
                        <c:v>2017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Ratios'!$D$27:$L$27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7</c:v>
                      </c:pt>
                      <c:pt idx="1">
                        <c:v>7</c:v>
                      </c:pt>
                      <c:pt idx="2">
                        <c:v>5</c:v>
                      </c:pt>
                      <c:pt idx="3">
                        <c:v>5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6.88</c:v>
                      </c:pt>
                      <c:pt idx="7">
                        <c:v>7.75</c:v>
                      </c:pt>
                      <c:pt idx="8">
                        <c:v>8.1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045-46A1-B7B6-F0C9BE935774}"/>
                  </c:ext>
                </c:extLst>
              </c15:ser>
            </c15:filteredBarSeries>
          </c:ext>
        </c:extLst>
      </c:barChart>
      <c:catAx>
        <c:axId val="1085630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5631240"/>
        <c:crosses val="autoZero"/>
        <c:auto val="1"/>
        <c:lblAlgn val="ctr"/>
        <c:lblOffset val="100"/>
        <c:noMultiLvlLbl val="0"/>
      </c:catAx>
      <c:valAx>
        <c:axId val="1085631240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5630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All GF Staff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'Staff &amp; Student Ratios'!$C$69</c:f>
              <c:strCache>
                <c:ptCount val="1"/>
                <c:pt idx="0">
                  <c:v>Instruction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Ratios'!$D$69:$L$69</c:f>
              <c:numCache>
                <c:formatCode>#,##0</c:formatCode>
                <c:ptCount val="9"/>
                <c:pt idx="0">
                  <c:v>256</c:v>
                </c:pt>
                <c:pt idx="1">
                  <c:v>288</c:v>
                </c:pt>
                <c:pt idx="2">
                  <c:v>276.57</c:v>
                </c:pt>
                <c:pt idx="3">
                  <c:v>274.93</c:v>
                </c:pt>
                <c:pt idx="4">
                  <c:v>287.8</c:v>
                </c:pt>
                <c:pt idx="5">
                  <c:v>298.86</c:v>
                </c:pt>
                <c:pt idx="6">
                  <c:v>295.60999999999996</c:v>
                </c:pt>
                <c:pt idx="7">
                  <c:v>298.09000000000003</c:v>
                </c:pt>
                <c:pt idx="8">
                  <c:v>294.19000000000005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CE-4756-B231-CD3A8D6C61FE}"/>
            </c:ext>
          </c:extLst>
        </c:ser>
        <c:ser>
          <c:idx val="1"/>
          <c:order val="1"/>
          <c:tx>
            <c:strRef>
              <c:f>'Staff &amp; Student Ratios'!$C$70</c:f>
              <c:strCache>
                <c:ptCount val="1"/>
                <c:pt idx="0">
                  <c:v>Student Support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Ratios'!$D$70:$L$70</c:f>
              <c:numCache>
                <c:formatCode>#,##0</c:formatCode>
                <c:ptCount val="9"/>
                <c:pt idx="0">
                  <c:v>34</c:v>
                </c:pt>
                <c:pt idx="1">
                  <c:v>43</c:v>
                </c:pt>
                <c:pt idx="2">
                  <c:v>35.08</c:v>
                </c:pt>
                <c:pt idx="3">
                  <c:v>35.08</c:v>
                </c:pt>
                <c:pt idx="4">
                  <c:v>33.200000000000003</c:v>
                </c:pt>
                <c:pt idx="5">
                  <c:v>32.799999999999997</c:v>
                </c:pt>
                <c:pt idx="6">
                  <c:v>30.08</c:v>
                </c:pt>
                <c:pt idx="7">
                  <c:v>30.58</c:v>
                </c:pt>
                <c:pt idx="8">
                  <c:v>31.1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CE-4756-B231-CD3A8D6C61FE}"/>
            </c:ext>
          </c:extLst>
        </c:ser>
        <c:ser>
          <c:idx val="2"/>
          <c:order val="2"/>
          <c:tx>
            <c:strRef>
              <c:f>'Staff &amp; Student Ratios'!$C$71</c:f>
              <c:strCache>
                <c:ptCount val="1"/>
                <c:pt idx="0">
                  <c:v>Staff Support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Ratios'!$D$71:$L$71</c:f>
              <c:numCache>
                <c:formatCode>#,##0</c:formatCode>
                <c:ptCount val="9"/>
                <c:pt idx="0">
                  <c:v>16</c:v>
                </c:pt>
                <c:pt idx="1">
                  <c:v>16</c:v>
                </c:pt>
                <c:pt idx="2">
                  <c:v>14.43</c:v>
                </c:pt>
                <c:pt idx="3">
                  <c:v>14.43</c:v>
                </c:pt>
                <c:pt idx="4">
                  <c:v>14.399999999999999</c:v>
                </c:pt>
                <c:pt idx="5">
                  <c:v>14.73</c:v>
                </c:pt>
                <c:pt idx="6">
                  <c:v>17.130000000000003</c:v>
                </c:pt>
                <c:pt idx="7">
                  <c:v>13.629999999999999</c:v>
                </c:pt>
                <c:pt idx="8">
                  <c:v>14.1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CE-4756-B231-CD3A8D6C61FE}"/>
            </c:ext>
          </c:extLst>
        </c:ser>
        <c:ser>
          <c:idx val="3"/>
          <c:order val="3"/>
          <c:tx>
            <c:strRef>
              <c:f>'Staff &amp; Student Ratios'!$C$72</c:f>
              <c:strCache>
                <c:ptCount val="1"/>
                <c:pt idx="0">
                  <c:v>General Admin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Ratios'!$D$72:$L$72</c:f>
              <c:numCache>
                <c:formatCode>#,##0</c:formatCode>
                <c:ptCount val="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CE-4756-B231-CD3A8D6C61FE}"/>
            </c:ext>
          </c:extLst>
        </c:ser>
        <c:ser>
          <c:idx val="4"/>
          <c:order val="4"/>
          <c:tx>
            <c:strRef>
              <c:f>'Staff &amp; Student Ratios'!$C$73</c:f>
              <c:strCache>
                <c:ptCount val="1"/>
                <c:pt idx="0">
                  <c:v>School Admin.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Ratios'!$D$73:$L$73</c:f>
              <c:numCache>
                <c:formatCode>#,##0</c:formatCode>
                <c:ptCount val="9"/>
                <c:pt idx="0">
                  <c:v>50</c:v>
                </c:pt>
                <c:pt idx="1">
                  <c:v>52</c:v>
                </c:pt>
                <c:pt idx="2">
                  <c:v>50.8</c:v>
                </c:pt>
                <c:pt idx="3">
                  <c:v>50.8</c:v>
                </c:pt>
                <c:pt idx="4">
                  <c:v>50</c:v>
                </c:pt>
                <c:pt idx="5">
                  <c:v>55.2</c:v>
                </c:pt>
                <c:pt idx="6">
                  <c:v>52.9</c:v>
                </c:pt>
                <c:pt idx="7">
                  <c:v>54.72</c:v>
                </c:pt>
                <c:pt idx="8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0CE-4756-B231-CD3A8D6C61FE}"/>
            </c:ext>
          </c:extLst>
        </c:ser>
        <c:ser>
          <c:idx val="5"/>
          <c:order val="5"/>
          <c:tx>
            <c:strRef>
              <c:f>'Staff &amp; Student Ratios'!$C$74</c:f>
              <c:strCache>
                <c:ptCount val="1"/>
                <c:pt idx="0">
                  <c:v>Central Support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Ratios'!$D$74:$L$74</c:f>
              <c:numCache>
                <c:formatCode>#,##0</c:formatCode>
                <c:ptCount val="9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16.8</c:v>
                </c:pt>
                <c:pt idx="5">
                  <c:v>16.899999999999999</c:v>
                </c:pt>
                <c:pt idx="6">
                  <c:v>18</c:v>
                </c:pt>
                <c:pt idx="7">
                  <c:v>18.88</c:v>
                </c:pt>
                <c:pt idx="8">
                  <c:v>17.899999999999999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CE-4756-B231-CD3A8D6C61FE}"/>
            </c:ext>
          </c:extLst>
        </c:ser>
        <c:ser>
          <c:idx val="6"/>
          <c:order val="6"/>
          <c:tx>
            <c:strRef>
              <c:f>'Staff &amp; Student Ratios'!$C$75</c:f>
              <c:strCache>
                <c:ptCount val="1"/>
                <c:pt idx="0">
                  <c:v>Operations &amp; Maintenance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Ratios'!$D$75:$L$75</c:f>
              <c:numCache>
                <c:formatCode>#,##0</c:formatCode>
                <c:ptCount val="9"/>
                <c:pt idx="0">
                  <c:v>60</c:v>
                </c:pt>
                <c:pt idx="1">
                  <c:v>64</c:v>
                </c:pt>
                <c:pt idx="2">
                  <c:v>61.13</c:v>
                </c:pt>
                <c:pt idx="3">
                  <c:v>61.13</c:v>
                </c:pt>
                <c:pt idx="4">
                  <c:v>60.3</c:v>
                </c:pt>
                <c:pt idx="5">
                  <c:v>65</c:v>
                </c:pt>
                <c:pt idx="6">
                  <c:v>61</c:v>
                </c:pt>
                <c:pt idx="7">
                  <c:v>60.8</c:v>
                </c:pt>
                <c:pt idx="8">
                  <c:v>61.3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0CE-4756-B231-CD3A8D6C61FE}"/>
            </c:ext>
          </c:extLst>
        </c:ser>
        <c:ser>
          <c:idx val="7"/>
          <c:order val="7"/>
          <c:tx>
            <c:strRef>
              <c:f>'Staff &amp; Student Ratios'!$C$76</c:f>
              <c:strCache>
                <c:ptCount val="1"/>
                <c:pt idx="0">
                  <c:v>Transportation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Ratios'!$D$76:$L$76</c:f>
              <c:numCache>
                <c:formatCode>#,##0</c:formatCode>
                <c:ptCount val="9"/>
                <c:pt idx="0">
                  <c:v>47</c:v>
                </c:pt>
                <c:pt idx="1">
                  <c:v>47</c:v>
                </c:pt>
                <c:pt idx="2">
                  <c:v>42.88</c:v>
                </c:pt>
                <c:pt idx="3">
                  <c:v>43.38</c:v>
                </c:pt>
                <c:pt idx="4">
                  <c:v>41.6</c:v>
                </c:pt>
                <c:pt idx="5">
                  <c:v>45.6</c:v>
                </c:pt>
                <c:pt idx="6">
                  <c:v>46.8</c:v>
                </c:pt>
                <c:pt idx="7">
                  <c:v>46.25</c:v>
                </c:pt>
                <c:pt idx="8">
                  <c:v>47.5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0CE-4756-B231-CD3A8D6C61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5456936"/>
        <c:axId val="985457656"/>
      </c:barChart>
      <c:catAx>
        <c:axId val="98545693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5457656"/>
        <c:crosses val="autoZero"/>
        <c:auto val="1"/>
        <c:lblAlgn val="ctr"/>
        <c:lblOffset val="100"/>
        <c:noMultiLvlLbl val="0"/>
      </c:catAx>
      <c:valAx>
        <c:axId val="98545765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5456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All GF Staff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'Staff &amp; Student Ratios'!$C$80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0A85-4864-8D8D-7656DC9BF313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0A85-4864-8D8D-7656DC9BF313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0A85-4864-8D8D-7656DC9BF313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0A85-4864-8D8D-7656DC9BF31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'Staff &amp; Student Ratios'!$D$6:$M$6</c15:sqref>
                  </c15:fullRef>
                </c:ext>
              </c:extLst>
              <c:f>'Staff &amp; Student Ratios'!$E$6:$M$6</c:f>
              <c:strCache>
                <c:ptCount val="9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'Staff &amp; Student Ratios'!$D$80:$L$80</c15:sqref>
                  </c15:fullRef>
                </c:ext>
              </c:extLst>
              <c:f>'Staff &amp; Student Ratios'!$E$80:$L$80</c:f>
              <c:numCache>
                <c:formatCode>#,##0</c:formatCode>
                <c:ptCount val="8"/>
                <c:pt idx="0">
                  <c:v>530</c:v>
                </c:pt>
                <c:pt idx="1">
                  <c:v>500.89</c:v>
                </c:pt>
                <c:pt idx="2">
                  <c:v>499.75</c:v>
                </c:pt>
                <c:pt idx="3">
                  <c:v>506.1</c:v>
                </c:pt>
                <c:pt idx="4">
                  <c:v>531.09</c:v>
                </c:pt>
                <c:pt idx="5">
                  <c:v>523.51999999999987</c:v>
                </c:pt>
                <c:pt idx="6">
                  <c:v>524.95000000000005</c:v>
                </c:pt>
                <c:pt idx="7">
                  <c:v>522.09000000000015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'Staff &amp; Student Ratios'!$D$80</c15:sqref>
                  <c15:spPr xmlns:c15="http://schemas.microsoft.com/office/drawing/2012/chart">
                    <a:ln w="28575" cap="rnd">
                      <a:solidFill>
                        <a:schemeClr val="accent1"/>
                      </a:solidFill>
                      <a:round/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0A85-4864-8D8D-7656DC9BF31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85456936"/>
        <c:axId val="985457656"/>
      </c:lineChart>
      <c:catAx>
        <c:axId val="98545693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5457656"/>
        <c:crosses val="autoZero"/>
        <c:auto val="1"/>
        <c:lblAlgn val="ctr"/>
        <c:lblOffset val="100"/>
        <c:noMultiLvlLbl val="0"/>
      </c:catAx>
      <c:valAx>
        <c:axId val="985457656"/>
        <c:scaling>
          <c:orientation val="minMax"/>
          <c:max val="800"/>
          <c:min val="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5456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Non-licensed Regular</a:t>
            </a:r>
            <a:r>
              <a:rPr lang="en-US" baseline="0"/>
              <a:t> Programs</a:t>
            </a:r>
          </a:p>
          <a:p>
            <a:pPr>
              <a:defRPr/>
            </a:pPr>
            <a:r>
              <a:rPr lang="en-US" baseline="0"/>
              <a:t>(100.1000)</a:t>
            </a:r>
            <a:endParaRPr lang="en-US"/>
          </a:p>
        </c:rich>
      </c:tx>
      <c:layout>
        <c:manualLayout>
          <c:xMode val="edge"/>
          <c:yMode val="edge"/>
          <c:x val="0.20110249784668388"/>
          <c:y val="3.2653061224489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'Staff &amp; Student Ratios'!$C$21</c:f>
              <c:strCache>
                <c:ptCount val="1"/>
                <c:pt idx="0">
                  <c:v>Non-Licensed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119F-4BBF-B5BF-708B15BD45F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19F-4BBF-B5BF-708B15BD45FA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19F-4BBF-B5BF-708B15BD45FA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19F-4BBF-B5BF-708B15BD45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119F-4BBF-B5BF-708B15BD45FA}"/>
              </c:ext>
            </c:extLst>
          </c:dPt>
          <c:dLbls>
            <c:dLbl>
              <c:idx val="0"/>
              <c:layout>
                <c:manualLayout>
                  <c:x val="-6.8906115417743325E-3"/>
                  <c:y val="-0.3198635654414165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19F-4BBF-B5BF-708B15BD45FA}"/>
                </c:ext>
              </c:extLst>
            </c:dLbl>
            <c:dLbl>
              <c:idx val="1"/>
              <c:layout>
                <c:manualLayout>
                  <c:x val="-3.4453057708871979E-3"/>
                  <c:y val="-0.3198635654414165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9F-4BBF-B5BF-708B15BD45FA}"/>
                </c:ext>
              </c:extLst>
            </c:dLbl>
            <c:dLbl>
              <c:idx val="2"/>
              <c:layout>
                <c:manualLayout>
                  <c:x val="0"/>
                  <c:y val="-0.313719172200249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19F-4BBF-B5BF-708B15BD45FA}"/>
                </c:ext>
              </c:extLst>
            </c:dLbl>
            <c:dLbl>
              <c:idx val="3"/>
              <c:layout>
                <c:manualLayout>
                  <c:x val="-3.4453057708871662E-3"/>
                  <c:y val="-0.3166288084957122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9F-4BBF-B5BF-708B15BD45FA}"/>
                </c:ext>
              </c:extLst>
            </c:dLbl>
            <c:dLbl>
              <c:idx val="4"/>
              <c:layout>
                <c:manualLayout>
                  <c:x val="-6.8906115417743325E-3"/>
                  <c:y val="-0.3082259878805472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19F-4BBF-B5BF-708B15BD45FA}"/>
                </c:ext>
              </c:extLst>
            </c:dLbl>
            <c:dLbl>
              <c:idx val="5"/>
              <c:layout>
                <c:manualLayout>
                  <c:x val="-6.8906115417743325E-3"/>
                  <c:y val="-0.35441255557341045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19F-4BBF-B5BF-708B15BD45FA}"/>
                </c:ext>
              </c:extLst>
            </c:dLbl>
            <c:dLbl>
              <c:idx val="6"/>
              <c:layout>
                <c:manualLayout>
                  <c:x val="-3.4453057708871662E-3"/>
                  <c:y val="-0.3167299801810488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19F-4BBF-B5BF-708B15BD45FA}"/>
                </c:ext>
              </c:extLst>
            </c:dLbl>
            <c:dLbl>
              <c:idx val="7"/>
              <c:layout>
                <c:manualLayout>
                  <c:x val="0"/>
                  <c:y val="-0.3335150249076008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19F-4BBF-B5BF-708B15BD45FA}"/>
                </c:ext>
              </c:extLst>
            </c:dLbl>
            <c:dLbl>
              <c:idx val="8"/>
              <c:layout>
                <c:manualLayout>
                  <c:x val="-3.4453057708871662E-3"/>
                  <c:y val="-0.3208424661203063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19F-4BBF-B5BF-708B15BD45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Ratios'!$D$21:$L$21</c:f>
              <c:numCache>
                <c:formatCode>#,##0</c:formatCode>
                <c:ptCount val="9"/>
                <c:pt idx="0">
                  <c:v>30</c:v>
                </c:pt>
                <c:pt idx="1">
                  <c:v>44</c:v>
                </c:pt>
                <c:pt idx="2">
                  <c:v>28.97</c:v>
                </c:pt>
                <c:pt idx="3">
                  <c:v>24.63</c:v>
                </c:pt>
                <c:pt idx="4">
                  <c:v>25.5</c:v>
                </c:pt>
                <c:pt idx="5">
                  <c:v>28.09</c:v>
                </c:pt>
                <c:pt idx="6">
                  <c:v>26.03</c:v>
                </c:pt>
                <c:pt idx="7">
                  <c:v>26.13</c:v>
                </c:pt>
                <c:pt idx="8">
                  <c:v>24.16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19F-4BBF-B5BF-708B15BD45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5630520"/>
        <c:axId val="1085631240"/>
        <c:extLst/>
      </c:barChart>
      <c:catAx>
        <c:axId val="1085630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5631240"/>
        <c:crosses val="autoZero"/>
        <c:auto val="1"/>
        <c:lblAlgn val="ctr"/>
        <c:lblOffset val="100"/>
        <c:noMultiLvlLbl val="0"/>
      </c:catAx>
      <c:valAx>
        <c:axId val="1085631240"/>
        <c:scaling>
          <c:orientation val="minMax"/>
          <c:max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5630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Instruction (Licensed &amp; Nonlicensed)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'Staff &amp; Student Ratios'!$C$69</c:f>
              <c:strCache>
                <c:ptCount val="1"/>
                <c:pt idx="0">
                  <c:v>Instruction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C3E-4F2D-92B2-6CC9D823F4B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0C3E-4F2D-92B2-6CC9D823F4B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C3E-4F2D-92B2-6CC9D823F4B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0C3E-4F2D-92B2-6CC9D823F4B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C3E-4F2D-92B2-6CC9D823F4B9}"/>
              </c:ext>
            </c:extLst>
          </c:dPt>
          <c:dLbls>
            <c:dLbl>
              <c:idx val="0"/>
              <c:layout>
                <c:manualLayout>
                  <c:x val="0"/>
                  <c:y val="-0.2735062955840197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C3E-4F2D-92B2-6CC9D823F4B9}"/>
                </c:ext>
              </c:extLst>
            </c:dLbl>
            <c:dLbl>
              <c:idx val="1"/>
              <c:layout>
                <c:manualLayout>
                  <c:x val="-3.4677065053354897E-3"/>
                  <c:y val="-0.2735062955840197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C3E-4F2D-92B2-6CC9D823F4B9}"/>
                </c:ext>
              </c:extLst>
            </c:dLbl>
            <c:dLbl>
              <c:idx val="2"/>
              <c:layout>
                <c:manualLayout>
                  <c:x val="0"/>
                  <c:y val="-0.2673619023428522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C3E-4F2D-92B2-6CC9D823F4B9}"/>
                </c:ext>
              </c:extLst>
            </c:dLbl>
            <c:dLbl>
              <c:idx val="3"/>
              <c:layout>
                <c:manualLayout>
                  <c:x val="0"/>
                  <c:y val="-0.2660435187537042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C3E-4F2D-92B2-6CC9D823F4B9}"/>
                </c:ext>
              </c:extLst>
            </c:dLbl>
            <c:dLbl>
              <c:idx val="4"/>
              <c:layout>
                <c:manualLayout>
                  <c:x val="-6.9354130106709794E-3"/>
                  <c:y val="-0.27851470179130838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C3E-4F2D-92B2-6CC9D823F4B9}"/>
                </c:ext>
              </c:extLst>
            </c:dLbl>
            <c:dLbl>
              <c:idx val="5"/>
              <c:layout>
                <c:manualLayout>
                  <c:x val="-3.4677065053356168E-3"/>
                  <c:y val="-0.2914256685656229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C3E-4F2D-92B2-6CC9D823F4B9}"/>
                </c:ext>
              </c:extLst>
            </c:dLbl>
            <c:dLbl>
              <c:idx val="6"/>
              <c:layout>
                <c:manualLayout>
                  <c:x val="3.4677065053354897E-3"/>
                  <c:y val="-0.2826686986707307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C3E-4F2D-92B2-6CC9D823F4B9}"/>
                </c:ext>
              </c:extLst>
            </c:dLbl>
            <c:dLbl>
              <c:idx val="7"/>
              <c:layout>
                <c:manualLayout>
                  <c:x val="-3.4677065053356168E-3"/>
                  <c:y val="-0.272373695223580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3E-4F2D-92B2-6CC9D823F4B9}"/>
                </c:ext>
              </c:extLst>
            </c:dLbl>
            <c:dLbl>
              <c:idx val="8"/>
              <c:layout>
                <c:manualLayout>
                  <c:x val="0"/>
                  <c:y val="-0.2876717829626135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3E-4F2D-92B2-6CC9D823F4B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Ratios'!$D$69:$L$69</c:f>
              <c:numCache>
                <c:formatCode>#,##0</c:formatCode>
                <c:ptCount val="9"/>
                <c:pt idx="0">
                  <c:v>256</c:v>
                </c:pt>
                <c:pt idx="1">
                  <c:v>288</c:v>
                </c:pt>
                <c:pt idx="2">
                  <c:v>276.57</c:v>
                </c:pt>
                <c:pt idx="3">
                  <c:v>274.93</c:v>
                </c:pt>
                <c:pt idx="4">
                  <c:v>287.8</c:v>
                </c:pt>
                <c:pt idx="5">
                  <c:v>298.86</c:v>
                </c:pt>
                <c:pt idx="6">
                  <c:v>295.60999999999996</c:v>
                </c:pt>
                <c:pt idx="7">
                  <c:v>298.09000000000003</c:v>
                </c:pt>
                <c:pt idx="8">
                  <c:v>294.19000000000005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3E-4F2D-92B2-6CC9D823F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29099320"/>
        <c:axId val="929098600"/>
      </c:barChart>
      <c:catAx>
        <c:axId val="92909932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9098600"/>
        <c:crosses val="autoZero"/>
        <c:auto val="1"/>
        <c:lblAlgn val="ctr"/>
        <c:lblOffset val="100"/>
        <c:noMultiLvlLbl val="0"/>
      </c:catAx>
      <c:valAx>
        <c:axId val="929098600"/>
        <c:scaling>
          <c:orientation val="minMax"/>
          <c:max val="4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9099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Licensed</a:t>
            </a:r>
            <a:r>
              <a:rPr lang="en-US" baseline="0"/>
              <a:t> Instruction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'Staff &amp; Student Ratios'!$C$20</c:f>
              <c:strCache>
                <c:ptCount val="1"/>
                <c:pt idx="0">
                  <c:v>Licensed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Ratios'!$D$20:$L$20</c:f>
              <c:numCache>
                <c:formatCode>#,##0</c:formatCode>
                <c:ptCount val="9"/>
                <c:pt idx="0">
                  <c:v>204</c:v>
                </c:pt>
                <c:pt idx="1">
                  <c:v>222</c:v>
                </c:pt>
                <c:pt idx="2">
                  <c:v>233.6</c:v>
                </c:pt>
                <c:pt idx="3">
                  <c:v>234.4</c:v>
                </c:pt>
                <c:pt idx="4">
                  <c:v>230.4</c:v>
                </c:pt>
                <c:pt idx="5">
                  <c:v>240.27</c:v>
                </c:pt>
                <c:pt idx="6">
                  <c:v>238</c:v>
                </c:pt>
                <c:pt idx="7">
                  <c:v>239.17</c:v>
                </c:pt>
                <c:pt idx="8">
                  <c:v>237.93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C0-4DFB-9C3D-8AF0E600029C}"/>
            </c:ext>
          </c:extLst>
        </c:ser>
        <c:ser>
          <c:idx val="2"/>
          <c:order val="2"/>
          <c:tx>
            <c:strRef>
              <c:f>'Staff &amp; Student Ratios'!$C$22</c:f>
              <c:strCache>
                <c:ptCount val="1"/>
                <c:pt idx="0">
                  <c:v>Licensed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Ratios'!$D$22:$L$22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2.9</c:v>
                </c:pt>
                <c:pt idx="4">
                  <c:v>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C0-4DFB-9C3D-8AF0E600029C}"/>
            </c:ext>
          </c:extLst>
        </c:ser>
        <c:ser>
          <c:idx val="4"/>
          <c:order val="4"/>
          <c:tx>
            <c:strRef>
              <c:f>'Staff &amp; Student Ratios'!$C$24</c:f>
              <c:strCache>
                <c:ptCount val="1"/>
                <c:pt idx="0">
                  <c:v>Licensed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Ratios'!$D$24:$L$24</c:f>
              <c:numCache>
                <c:formatCode>#,##0</c:formatCode>
                <c:ptCount val="9"/>
                <c:pt idx="0">
                  <c:v>8</c:v>
                </c:pt>
                <c:pt idx="1">
                  <c:v>7</c:v>
                </c:pt>
                <c:pt idx="2">
                  <c:v>7</c:v>
                </c:pt>
                <c:pt idx="3">
                  <c:v>6</c:v>
                </c:pt>
                <c:pt idx="4">
                  <c:v>7</c:v>
                </c:pt>
                <c:pt idx="5">
                  <c:v>10</c:v>
                </c:pt>
                <c:pt idx="6">
                  <c:v>9.6999999999999993</c:v>
                </c:pt>
                <c:pt idx="7">
                  <c:v>9.5399999999999991</c:v>
                </c:pt>
                <c:pt idx="8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BC0-4DFB-9C3D-8AF0E600029C}"/>
            </c:ext>
          </c:extLst>
        </c:ser>
        <c:ser>
          <c:idx val="6"/>
          <c:order val="6"/>
          <c:tx>
            <c:strRef>
              <c:f>'Staff &amp; Student Ratios'!$C$26</c:f>
              <c:strCache>
                <c:ptCount val="1"/>
                <c:pt idx="0">
                  <c:v>Licensed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Ratios'!$D$26:$L$26</c:f>
              <c:numCache>
                <c:formatCode>#,##0</c:formatCode>
                <c:ptCount val="9"/>
                <c:pt idx="0">
                  <c:v>7</c:v>
                </c:pt>
                <c:pt idx="1">
                  <c:v>8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14.5</c:v>
                </c:pt>
                <c:pt idx="6">
                  <c:v>15</c:v>
                </c:pt>
                <c:pt idx="7">
                  <c:v>15.5</c:v>
                </c:pt>
                <c:pt idx="8">
                  <c:v>14.5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BC0-4DFB-9C3D-8AF0E60002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87158048"/>
        <c:axId val="118715840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'Staff &amp; Student Ratios'!$C$21</c15:sqref>
                        </c15:formulaRef>
                      </c:ext>
                    </c:extLst>
                    <c:strCache>
                      <c:ptCount val="1"/>
                      <c:pt idx="0">
                        <c:v>Non-Licensed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'Staff &amp; Student Ratios'!$D$6:$L$6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'Staff &amp; Student Ratios'!$D$21:$L$21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30</c:v>
                      </c:pt>
                      <c:pt idx="1">
                        <c:v>44</c:v>
                      </c:pt>
                      <c:pt idx="2">
                        <c:v>28.97</c:v>
                      </c:pt>
                      <c:pt idx="3">
                        <c:v>24.63</c:v>
                      </c:pt>
                      <c:pt idx="4">
                        <c:v>25.5</c:v>
                      </c:pt>
                      <c:pt idx="5">
                        <c:v>28.09</c:v>
                      </c:pt>
                      <c:pt idx="6">
                        <c:v>26.03</c:v>
                      </c:pt>
                      <c:pt idx="7">
                        <c:v>26.13</c:v>
                      </c:pt>
                      <c:pt idx="8">
                        <c:v>24.16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9BC0-4DFB-9C3D-8AF0E600029C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Ratios'!$C$23</c15:sqref>
                        </c15:formulaRef>
                      </c:ext>
                    </c:extLst>
                    <c:strCache>
                      <c:ptCount val="1"/>
                      <c:pt idx="0">
                        <c:v>Non-Licensed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Ratios'!$D$6:$L$6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Ratios'!$D$23:$L$23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9BC0-4DFB-9C3D-8AF0E600029C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Ratios'!$C$25</c15:sqref>
                        </c15:formulaRef>
                      </c:ext>
                    </c:extLst>
                    <c:strCache>
                      <c:ptCount val="1"/>
                      <c:pt idx="0">
                        <c:v>Non-Licensed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Ratios'!$D$6:$L$6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Ratios'!$D$25:$L$25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BC0-4DFB-9C3D-8AF0E600029C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Ratios'!$C$27</c15:sqref>
                        </c15:formulaRef>
                      </c:ext>
                    </c:extLst>
                    <c:strCache>
                      <c:ptCount val="1"/>
                      <c:pt idx="0">
                        <c:v>Non-Licensed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Ratios'!$D$6:$L$6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Ratios'!$D$27:$L$27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7</c:v>
                      </c:pt>
                      <c:pt idx="1">
                        <c:v>7</c:v>
                      </c:pt>
                      <c:pt idx="2">
                        <c:v>5</c:v>
                      </c:pt>
                      <c:pt idx="3">
                        <c:v>5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6.88</c:v>
                      </c:pt>
                      <c:pt idx="7">
                        <c:v>7.75</c:v>
                      </c:pt>
                      <c:pt idx="8">
                        <c:v>8.1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9BC0-4DFB-9C3D-8AF0E600029C}"/>
                  </c:ext>
                </c:extLst>
              </c15:ser>
            </c15:filteredBarSeries>
          </c:ext>
        </c:extLst>
      </c:barChart>
      <c:catAx>
        <c:axId val="118715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7158408"/>
        <c:crosses val="autoZero"/>
        <c:auto val="1"/>
        <c:lblAlgn val="ctr"/>
        <c:lblOffset val="100"/>
        <c:noMultiLvlLbl val="0"/>
      </c:catAx>
      <c:valAx>
        <c:axId val="1187158408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7158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Other</a:t>
            </a:r>
            <a:r>
              <a:rPr lang="en-US" baseline="0"/>
              <a:t> </a:t>
            </a:r>
            <a:r>
              <a:rPr lang="en-US"/>
              <a:t>Instructional Programs </a:t>
            </a:r>
          </a:p>
          <a:p>
            <a:pPr>
              <a:defRPr/>
            </a:pPr>
            <a:r>
              <a:rPr lang="en-US"/>
              <a:t>(200, 300, 400)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2"/>
          <c:order val="2"/>
          <c:tx>
            <c:strRef>
              <c:f>'Staff &amp; Student Ratios'!$C$22</c:f>
              <c:strCache>
                <c:ptCount val="1"/>
                <c:pt idx="0">
                  <c:v>Licensed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Ratios'!$D$22:$L$22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2.9</c:v>
                </c:pt>
                <c:pt idx="4">
                  <c:v>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BD-42C0-B393-42633EE6385F}"/>
            </c:ext>
          </c:extLst>
        </c:ser>
        <c:ser>
          <c:idx val="3"/>
          <c:order val="3"/>
          <c:tx>
            <c:strRef>
              <c:f>'Staff &amp; Student Ratios'!$C$23</c:f>
              <c:strCache>
                <c:ptCount val="1"/>
                <c:pt idx="0">
                  <c:v>Non-Licensed</c:v>
                </c:pt>
              </c:strCache>
              <c:extLst xmlns:c15="http://schemas.microsoft.com/office/drawing/2012/chart"/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  <c:extLst xmlns:c15="http://schemas.microsoft.com/office/drawing/2012/chart"/>
            </c:strRef>
          </c:cat>
          <c:val>
            <c:numRef>
              <c:f>'Staff &amp; Student Ratios'!$D$23:$L$23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5-F8BD-42C0-B393-42633EE6385F}"/>
            </c:ext>
          </c:extLst>
        </c:ser>
        <c:ser>
          <c:idx val="4"/>
          <c:order val="4"/>
          <c:tx>
            <c:strRef>
              <c:f>'Staff &amp; Student Ratios'!$C$24</c:f>
              <c:strCache>
                <c:ptCount val="1"/>
                <c:pt idx="0">
                  <c:v>Licensed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Ratios'!$D$24:$L$24</c:f>
              <c:numCache>
                <c:formatCode>#,##0</c:formatCode>
                <c:ptCount val="9"/>
                <c:pt idx="0">
                  <c:v>8</c:v>
                </c:pt>
                <c:pt idx="1">
                  <c:v>7</c:v>
                </c:pt>
                <c:pt idx="2">
                  <c:v>7</c:v>
                </c:pt>
                <c:pt idx="3">
                  <c:v>6</c:v>
                </c:pt>
                <c:pt idx="4">
                  <c:v>7</c:v>
                </c:pt>
                <c:pt idx="5">
                  <c:v>10</c:v>
                </c:pt>
                <c:pt idx="6">
                  <c:v>9.6999999999999993</c:v>
                </c:pt>
                <c:pt idx="7">
                  <c:v>9.5399999999999991</c:v>
                </c:pt>
                <c:pt idx="8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BD-42C0-B393-42633EE6385F}"/>
            </c:ext>
          </c:extLst>
        </c:ser>
        <c:ser>
          <c:idx val="5"/>
          <c:order val="5"/>
          <c:tx>
            <c:strRef>
              <c:f>'Staff &amp; Student Ratios'!$C$25</c:f>
              <c:strCache>
                <c:ptCount val="1"/>
                <c:pt idx="0">
                  <c:v>Non-Licensed</c:v>
                </c:pt>
              </c:strCache>
              <c:extLst xmlns:c15="http://schemas.microsoft.com/office/drawing/2012/chart"/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  <c:extLst xmlns:c15="http://schemas.microsoft.com/office/drawing/2012/chart"/>
            </c:strRef>
          </c:cat>
          <c:val>
            <c:numRef>
              <c:f>'Staff &amp; Student Ratios'!$D$25:$L$25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6-F8BD-42C0-B393-42633EE6385F}"/>
            </c:ext>
          </c:extLst>
        </c:ser>
        <c:ser>
          <c:idx val="6"/>
          <c:order val="6"/>
          <c:tx>
            <c:strRef>
              <c:f>'Staff &amp; Student Ratios'!$C$26</c:f>
              <c:strCache>
                <c:ptCount val="1"/>
                <c:pt idx="0">
                  <c:v>Licensed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Ratios'!$D$26:$L$26</c:f>
              <c:numCache>
                <c:formatCode>#,##0</c:formatCode>
                <c:ptCount val="9"/>
                <c:pt idx="0">
                  <c:v>7</c:v>
                </c:pt>
                <c:pt idx="1">
                  <c:v>8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14.5</c:v>
                </c:pt>
                <c:pt idx="6">
                  <c:v>15</c:v>
                </c:pt>
                <c:pt idx="7">
                  <c:v>15.5</c:v>
                </c:pt>
                <c:pt idx="8">
                  <c:v>14.5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BD-42C0-B393-42633EE6385F}"/>
            </c:ext>
          </c:extLst>
        </c:ser>
        <c:ser>
          <c:idx val="7"/>
          <c:order val="7"/>
          <c:tx>
            <c:strRef>
              <c:f>'Staff &amp; Student Ratios'!$C$27</c:f>
              <c:strCache>
                <c:ptCount val="1"/>
                <c:pt idx="0">
                  <c:v>Non-Licensed</c:v>
                </c:pt>
              </c:strCache>
              <c:extLst xmlns:c15="http://schemas.microsoft.com/office/drawing/2012/chart"/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  <c:extLst xmlns:c15="http://schemas.microsoft.com/office/drawing/2012/chart"/>
            </c:strRef>
          </c:cat>
          <c:val>
            <c:numRef>
              <c:f>'Staff &amp; Student Ratios'!$D$27:$L$27</c:f>
              <c:numCache>
                <c:formatCode>#,##0</c:formatCode>
                <c:ptCount val="9"/>
                <c:pt idx="0">
                  <c:v>7</c:v>
                </c:pt>
                <c:pt idx="1">
                  <c:v>7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6</c:v>
                </c:pt>
                <c:pt idx="6">
                  <c:v>6.88</c:v>
                </c:pt>
                <c:pt idx="7">
                  <c:v>7.75</c:v>
                </c:pt>
                <c:pt idx="8">
                  <c:v>8.1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7-F8BD-42C0-B393-42633EE63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87158048"/>
        <c:axId val="1187158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'Staff &amp; Student Ratios'!$C$20</c15:sqref>
                        </c15:formulaRef>
                      </c:ext>
                    </c:extLst>
                    <c:strCache>
                      <c:ptCount val="1"/>
                      <c:pt idx="0">
                        <c:v>Licensed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'Staff &amp; Student Ratios'!$D$6:$L$6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'Staff &amp; Student Ratios'!$D$20:$L$20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204</c:v>
                      </c:pt>
                      <c:pt idx="1">
                        <c:v>222</c:v>
                      </c:pt>
                      <c:pt idx="2">
                        <c:v>233.6</c:v>
                      </c:pt>
                      <c:pt idx="3">
                        <c:v>234.4</c:v>
                      </c:pt>
                      <c:pt idx="4">
                        <c:v>230.4</c:v>
                      </c:pt>
                      <c:pt idx="5">
                        <c:v>240.27</c:v>
                      </c:pt>
                      <c:pt idx="6">
                        <c:v>238</c:v>
                      </c:pt>
                      <c:pt idx="7">
                        <c:v>239.17</c:v>
                      </c:pt>
                      <c:pt idx="8">
                        <c:v>237.93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8BD-42C0-B393-42633EE6385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Ratios'!$C$21</c15:sqref>
                        </c15:formulaRef>
                      </c:ext>
                    </c:extLst>
                    <c:strCache>
                      <c:ptCount val="1"/>
                      <c:pt idx="0">
                        <c:v>Non-Licensed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Ratios'!$D$6:$L$6</c15:sqref>
                        </c15:formulaRef>
                      </c:ext>
                    </c:extLst>
                    <c:strCache>
                      <c:ptCount val="9"/>
                      <c:pt idx="0">
                        <c:v>2026</c:v>
                      </c:pt>
                      <c:pt idx="1">
                        <c:v>2025</c:v>
                      </c:pt>
                      <c:pt idx="2">
                        <c:v>2024</c:v>
                      </c:pt>
                      <c:pt idx="3">
                        <c:v>2023</c:v>
                      </c:pt>
                      <c:pt idx="4">
                        <c:v>2022</c:v>
                      </c:pt>
                      <c:pt idx="5">
                        <c:v>2021</c:v>
                      </c:pt>
                      <c:pt idx="6">
                        <c:v>2020</c:v>
                      </c:pt>
                      <c:pt idx="7">
                        <c:v>2019</c:v>
                      </c:pt>
                      <c:pt idx="8">
                        <c:v>2018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'Staff &amp; Student Ratios'!$D$21:$L$21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30</c:v>
                      </c:pt>
                      <c:pt idx="1">
                        <c:v>44</c:v>
                      </c:pt>
                      <c:pt idx="2">
                        <c:v>28.97</c:v>
                      </c:pt>
                      <c:pt idx="3">
                        <c:v>24.63</c:v>
                      </c:pt>
                      <c:pt idx="4">
                        <c:v>25.5</c:v>
                      </c:pt>
                      <c:pt idx="5">
                        <c:v>28.09</c:v>
                      </c:pt>
                      <c:pt idx="6">
                        <c:v>26.03</c:v>
                      </c:pt>
                      <c:pt idx="7">
                        <c:v>26.13</c:v>
                      </c:pt>
                      <c:pt idx="8">
                        <c:v>24.16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F8BD-42C0-B393-42633EE6385F}"/>
                  </c:ext>
                </c:extLst>
              </c15:ser>
            </c15:filteredBarSeries>
          </c:ext>
        </c:extLst>
      </c:barChart>
      <c:catAx>
        <c:axId val="118715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7158408"/>
        <c:crosses val="autoZero"/>
        <c:auto val="1"/>
        <c:lblAlgn val="ctr"/>
        <c:lblOffset val="100"/>
        <c:noMultiLvlLbl val="0"/>
      </c:catAx>
      <c:valAx>
        <c:axId val="1187158408"/>
        <c:scaling>
          <c:orientation val="minMax"/>
          <c:max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7158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'Staff &amp; Student Ratios'!$C$62</c:f>
              <c:strCache>
                <c:ptCount val="1"/>
                <c:pt idx="0">
                  <c:v>Other Instructional Programs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3.0722903823068629E-3"/>
                  <c:y val="-0.20816596555567546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32E-4188-8996-1B62CD553460}"/>
                </c:ext>
              </c:extLst>
            </c:dLbl>
            <c:dLbl>
              <c:idx val="1"/>
              <c:layout>
                <c:manualLayout>
                  <c:x val="0"/>
                  <c:y val="-0.18990112537302706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32E-4188-8996-1B62CD553460}"/>
                </c:ext>
              </c:extLst>
            </c:dLbl>
            <c:dLbl>
              <c:idx val="2"/>
              <c:layout>
                <c:manualLayout>
                  <c:x val="-5.6322954063129924E-17"/>
                  <c:y val="-0.1411948848859647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32E-4188-8996-1B62CD553460}"/>
                </c:ext>
              </c:extLst>
            </c:dLbl>
            <c:dLbl>
              <c:idx val="3"/>
              <c:layout>
                <c:manualLayout>
                  <c:x val="-3.072196620583661E-3"/>
                  <c:y val="-0.1534764318843707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32E-4188-8996-1B62CD553460}"/>
                </c:ext>
              </c:extLst>
            </c:dLbl>
            <c:dLbl>
              <c:idx val="4"/>
              <c:layout>
                <c:manualLayout>
                  <c:x val="0"/>
                  <c:y val="-0.230667673390141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32E-4188-8996-1B62CD553460}"/>
                </c:ext>
              </c:extLst>
            </c:dLbl>
            <c:dLbl>
              <c:idx val="5"/>
              <c:layout>
                <c:manualLayout>
                  <c:x val="1.1264590812625985E-16"/>
                  <c:y val="-0.2295847265667134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32E-4188-8996-1B62CD553460}"/>
                </c:ext>
              </c:extLst>
            </c:dLbl>
            <c:dLbl>
              <c:idx val="6"/>
              <c:layout>
                <c:manualLayout>
                  <c:x val="-6.1443932411674347E-3"/>
                  <c:y val="-0.254830954349884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2E-4188-8996-1B62CD553460}"/>
                </c:ext>
              </c:extLst>
            </c:dLbl>
            <c:dLbl>
              <c:idx val="7"/>
              <c:layout>
                <c:manualLayout>
                  <c:x val="-6.1443932411674347E-3"/>
                  <c:y val="-0.2626522369635302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32E-4188-8996-1B62CD553460}"/>
                </c:ext>
              </c:extLst>
            </c:dLbl>
            <c:dLbl>
              <c:idx val="8"/>
              <c:layout>
                <c:manualLayout>
                  <c:x val="1.1264590812625985E-16"/>
                  <c:y val="-0.2764568127614185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2E-4188-8996-1B62CD5534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Ratios'!$D$62:$L$62</c:f>
              <c:numCache>
                <c:formatCode>#,##0</c:formatCode>
                <c:ptCount val="9"/>
                <c:pt idx="0">
                  <c:v>22</c:v>
                </c:pt>
                <c:pt idx="1">
                  <c:v>22</c:v>
                </c:pt>
                <c:pt idx="2">
                  <c:v>14</c:v>
                </c:pt>
                <c:pt idx="3">
                  <c:v>15.9</c:v>
                </c:pt>
                <c:pt idx="4">
                  <c:v>31.9</c:v>
                </c:pt>
                <c:pt idx="5">
                  <c:v>30.5</c:v>
                </c:pt>
                <c:pt idx="6">
                  <c:v>31.58</c:v>
                </c:pt>
                <c:pt idx="7">
                  <c:v>32.79</c:v>
                </c:pt>
                <c:pt idx="8">
                  <c:v>32.1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2E-4188-8996-1B62CD55346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55759896"/>
        <c:axId val="1355755576"/>
      </c:barChart>
      <c:catAx>
        <c:axId val="1355759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5755576"/>
        <c:crosses val="autoZero"/>
        <c:auto val="1"/>
        <c:lblAlgn val="ctr"/>
        <c:lblOffset val="100"/>
        <c:noMultiLvlLbl val="0"/>
      </c:catAx>
      <c:valAx>
        <c:axId val="1355755576"/>
        <c:scaling>
          <c:orientation val="minMax"/>
          <c:max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5759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Vocational</a:t>
            </a:r>
          </a:p>
          <a:p>
            <a:pPr>
              <a:defRPr/>
            </a:pPr>
            <a:r>
              <a:rPr lang="en-US"/>
              <a:t>(300)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2800064739640716E-2"/>
          <c:y val="0.2641626240988631"/>
          <c:w val="0.87964126496095996"/>
          <c:h val="0.59824745936812729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6D2-4F54-95BC-ECFADA6D694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6D2-4F54-95BC-ECFADA6D694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6D2-4F54-95BC-ECFADA6D694E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C6D2-4F54-95BC-ECFADA6D694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6D2-4F54-95BC-ECFADA6D694E}"/>
              </c:ext>
            </c:extLst>
          </c:dPt>
          <c:dLbls>
            <c:dLbl>
              <c:idx val="0"/>
              <c:layout>
                <c:manualLayout>
                  <c:x val="0"/>
                  <c:y val="-0.1635039180294416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6D2-4F54-95BC-ECFADA6D694E}"/>
                </c:ext>
              </c:extLst>
            </c:dLbl>
            <c:dLbl>
              <c:idx val="1"/>
              <c:layout>
                <c:manualLayout>
                  <c:x val="0"/>
                  <c:y val="-0.1635039180294416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6D2-4F54-95BC-ECFADA6D694E}"/>
                </c:ext>
              </c:extLst>
            </c:dLbl>
            <c:dLbl>
              <c:idx val="2"/>
              <c:layout>
                <c:manualLayout>
                  <c:x val="0"/>
                  <c:y val="-0.1635039180294416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6D2-4F54-95BC-ECFADA6D694E}"/>
                </c:ext>
              </c:extLst>
            </c:dLbl>
            <c:dLbl>
              <c:idx val="3"/>
              <c:layout>
                <c:manualLayout>
                  <c:x val="0"/>
                  <c:y val="-0.128813412288683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6D2-4F54-95BC-ECFADA6D694E}"/>
                </c:ext>
              </c:extLst>
            </c:dLbl>
            <c:dLbl>
              <c:idx val="4"/>
              <c:layout>
                <c:manualLayout>
                  <c:x val="0"/>
                  <c:y val="-0.1760234736739376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6D2-4F54-95BC-ECFADA6D694E}"/>
                </c:ext>
              </c:extLst>
            </c:dLbl>
            <c:dLbl>
              <c:idx val="5"/>
              <c:layout>
                <c:manualLayout>
                  <c:x val="-3.4144245726726663E-3"/>
                  <c:y val="-0.2174957339860589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6D2-4F54-95BC-ECFADA6D694E}"/>
                </c:ext>
              </c:extLst>
            </c:dLbl>
            <c:dLbl>
              <c:idx val="6"/>
              <c:layout>
                <c:manualLayout>
                  <c:x val="-6.8288491453453327E-3"/>
                  <c:y val="-0.2064627523503741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6D2-4F54-95BC-ECFADA6D694E}"/>
                </c:ext>
              </c:extLst>
            </c:dLbl>
            <c:dLbl>
              <c:idx val="7"/>
              <c:layout>
                <c:manualLayout>
                  <c:x val="-3.4144245726726663E-3"/>
                  <c:y val="-0.1976571672484481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6D2-4F54-95BC-ECFADA6D694E}"/>
                </c:ext>
              </c:extLst>
            </c:dLbl>
            <c:dLbl>
              <c:idx val="8"/>
              <c:layout>
                <c:manualLayout>
                  <c:x val="-3.4144245726727917E-3"/>
                  <c:y val="-0.22205994994149325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6D2-4F54-95BC-ECFADA6D69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Ratios'!$D$24:$L$24</c:f>
              <c:numCache>
                <c:formatCode>#,##0</c:formatCode>
                <c:ptCount val="9"/>
                <c:pt idx="0">
                  <c:v>8</c:v>
                </c:pt>
                <c:pt idx="1">
                  <c:v>7</c:v>
                </c:pt>
                <c:pt idx="2">
                  <c:v>7</c:v>
                </c:pt>
                <c:pt idx="3">
                  <c:v>6</c:v>
                </c:pt>
                <c:pt idx="4">
                  <c:v>7</c:v>
                </c:pt>
                <c:pt idx="5">
                  <c:v>10</c:v>
                </c:pt>
                <c:pt idx="6">
                  <c:v>9.6999999999999993</c:v>
                </c:pt>
                <c:pt idx="7">
                  <c:v>9.5399999999999991</c:v>
                </c:pt>
                <c:pt idx="8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D2-4F54-95BC-ECFADA6D6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2984272"/>
        <c:axId val="1002983192"/>
      </c:barChart>
      <c:catAx>
        <c:axId val="100298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2983192"/>
        <c:crosses val="autoZero"/>
        <c:auto val="1"/>
        <c:lblAlgn val="ctr"/>
        <c:lblOffset val="100"/>
        <c:noMultiLvlLbl val="0"/>
      </c:catAx>
      <c:valAx>
        <c:axId val="1002983192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2984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Alternative/At-risk/Other</a:t>
            </a:r>
          </a:p>
          <a:p>
            <a:pPr>
              <a:defRPr/>
            </a:pPr>
            <a:r>
              <a:rPr lang="en-US"/>
              <a:t>(400)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2800064739640716E-2"/>
          <c:y val="0.2641626240988631"/>
          <c:w val="0.87964126496095996"/>
          <c:h val="0.59824745936812729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6CA-4E7C-97C8-DB10942C49D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6CA-4E7C-97C8-DB10942C49D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6CA-4E7C-97C8-DB10942C49D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6CA-4E7C-97C8-DB10942C49D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6CA-4E7C-97C8-DB10942C49D5}"/>
              </c:ext>
            </c:extLst>
          </c:dPt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Ratios'!$D$26:$L$26</c:f>
              <c:numCache>
                <c:formatCode>#,##0</c:formatCode>
                <c:ptCount val="9"/>
                <c:pt idx="0">
                  <c:v>7</c:v>
                </c:pt>
                <c:pt idx="1">
                  <c:v>8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14.5</c:v>
                </c:pt>
                <c:pt idx="6">
                  <c:v>15</c:v>
                </c:pt>
                <c:pt idx="7">
                  <c:v>15.5</c:v>
                </c:pt>
                <c:pt idx="8">
                  <c:v>14.5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6CA-4E7C-97C8-DB10942C49D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'Staff &amp; Student Ratios'!$D$6:$L$6</c:f>
              <c:strCache>
                <c:ptCount val="9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  <c:pt idx="6">
                  <c:v>2020</c:v>
                </c:pt>
                <c:pt idx="7">
                  <c:v>2019</c:v>
                </c:pt>
                <c:pt idx="8">
                  <c:v>2018</c:v>
                </c:pt>
              </c:strCache>
            </c:strRef>
          </c:cat>
          <c:val>
            <c:numRef>
              <c:f>'Staff &amp; Student Ratios'!$D$27:$L$27</c:f>
              <c:numCache>
                <c:formatCode>#,##0</c:formatCode>
                <c:ptCount val="9"/>
                <c:pt idx="0">
                  <c:v>7</c:v>
                </c:pt>
                <c:pt idx="1">
                  <c:v>7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6</c:v>
                </c:pt>
                <c:pt idx="6">
                  <c:v>6.88</c:v>
                </c:pt>
                <c:pt idx="7">
                  <c:v>7.75</c:v>
                </c:pt>
                <c:pt idx="8">
                  <c:v>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6CA-4E7C-97C8-DB10942C49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2984272"/>
        <c:axId val="1002983192"/>
      </c:barChart>
      <c:catAx>
        <c:axId val="100298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2983192"/>
        <c:crosses val="autoZero"/>
        <c:auto val="1"/>
        <c:lblAlgn val="ctr"/>
        <c:lblOffset val="100"/>
        <c:noMultiLvlLbl val="0"/>
      </c:catAx>
      <c:valAx>
        <c:axId val="1002983192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2984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FTEs 2026 &amp; 2018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'Staff &amp; Student Ratios'!$C$69</c:f>
              <c:strCache>
                <c:ptCount val="1"/>
                <c:pt idx="0">
                  <c:v>Instruction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('Staff &amp; Student Ratios'!$D$68,'Staff &amp; Student Ratios'!$L$68)</c:f>
              <c:strCache>
                <c:ptCount val="2"/>
                <c:pt idx="0">
                  <c:v>2026</c:v>
                </c:pt>
                <c:pt idx="1">
                  <c:v>2018</c:v>
                </c:pt>
              </c:strCache>
            </c:strRef>
          </c:cat>
          <c:val>
            <c:numRef>
              <c:f>('Staff &amp; Student Ratios'!$D$69,'Staff &amp; Student Ratios'!$L$69)</c:f>
              <c:numCache>
                <c:formatCode>#,##0</c:formatCode>
                <c:ptCount val="2"/>
                <c:pt idx="0">
                  <c:v>256</c:v>
                </c:pt>
                <c:pt idx="1">
                  <c:v>294.19000000000005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99-4FC0-9198-B49FDE117F76}"/>
            </c:ext>
          </c:extLst>
        </c:ser>
        <c:ser>
          <c:idx val="1"/>
          <c:order val="1"/>
          <c:tx>
            <c:strRef>
              <c:f>'Staff &amp; Student Ratios'!$C$70</c:f>
              <c:strCache>
                <c:ptCount val="1"/>
                <c:pt idx="0">
                  <c:v>Student Support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('Staff &amp; Student Ratios'!$D$68,'Staff &amp; Student Ratios'!$L$68)</c:f>
              <c:strCache>
                <c:ptCount val="2"/>
                <c:pt idx="0">
                  <c:v>2026</c:v>
                </c:pt>
                <c:pt idx="1">
                  <c:v>2018</c:v>
                </c:pt>
              </c:strCache>
            </c:strRef>
          </c:cat>
          <c:val>
            <c:numRef>
              <c:f>('Staff &amp; Student Ratios'!$D$70,'Staff &amp; Student Ratios'!$L$70)</c:f>
              <c:numCache>
                <c:formatCode>#,##0</c:formatCode>
                <c:ptCount val="2"/>
                <c:pt idx="0">
                  <c:v>34</c:v>
                </c:pt>
                <c:pt idx="1">
                  <c:v>31.1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99-4FC0-9198-B49FDE117F76}"/>
            </c:ext>
          </c:extLst>
        </c:ser>
        <c:ser>
          <c:idx val="2"/>
          <c:order val="2"/>
          <c:tx>
            <c:strRef>
              <c:f>'Staff &amp; Student Ratios'!$C$71</c:f>
              <c:strCache>
                <c:ptCount val="1"/>
                <c:pt idx="0">
                  <c:v>Staff Support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('Staff &amp; Student Ratios'!$D$68,'Staff &amp; Student Ratios'!$L$68)</c:f>
              <c:strCache>
                <c:ptCount val="2"/>
                <c:pt idx="0">
                  <c:v>2026</c:v>
                </c:pt>
                <c:pt idx="1">
                  <c:v>2018</c:v>
                </c:pt>
              </c:strCache>
            </c:strRef>
          </c:cat>
          <c:val>
            <c:numRef>
              <c:f>('Staff &amp; Student Ratios'!$D$71,'Staff &amp; Student Ratios'!$L$71)</c:f>
              <c:numCache>
                <c:formatCode>#,##0</c:formatCode>
                <c:ptCount val="2"/>
                <c:pt idx="0">
                  <c:v>16</c:v>
                </c:pt>
                <c:pt idx="1">
                  <c:v>14.1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399-4FC0-9198-B49FDE117F76}"/>
            </c:ext>
          </c:extLst>
        </c:ser>
        <c:ser>
          <c:idx val="3"/>
          <c:order val="3"/>
          <c:tx>
            <c:strRef>
              <c:f>'Staff &amp; Student Ratios'!$C$72</c:f>
              <c:strCache>
                <c:ptCount val="1"/>
                <c:pt idx="0">
                  <c:v>General Admin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('Staff &amp; Student Ratios'!$D$68,'Staff &amp; Student Ratios'!$L$68)</c:f>
              <c:strCache>
                <c:ptCount val="2"/>
                <c:pt idx="0">
                  <c:v>2026</c:v>
                </c:pt>
                <c:pt idx="1">
                  <c:v>2018</c:v>
                </c:pt>
              </c:strCache>
            </c:strRef>
          </c:cat>
          <c:val>
            <c:numRef>
              <c:f>('Staff &amp; Student Ratios'!$D$72,'Staff &amp; Student Ratios'!$L$72)</c:f>
              <c:numCache>
                <c:formatCode>#,##0</c:formatCode>
                <c:ptCount val="2"/>
                <c:pt idx="0">
                  <c:v>4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399-4FC0-9198-B49FDE117F76}"/>
            </c:ext>
          </c:extLst>
        </c:ser>
        <c:ser>
          <c:idx val="4"/>
          <c:order val="4"/>
          <c:tx>
            <c:strRef>
              <c:f>'Staff &amp; Student Ratios'!$C$73</c:f>
              <c:strCache>
                <c:ptCount val="1"/>
                <c:pt idx="0">
                  <c:v>School Admin.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('Staff &amp; Student Ratios'!$D$68,'Staff &amp; Student Ratios'!$L$68)</c:f>
              <c:strCache>
                <c:ptCount val="2"/>
                <c:pt idx="0">
                  <c:v>2026</c:v>
                </c:pt>
                <c:pt idx="1">
                  <c:v>2018</c:v>
                </c:pt>
              </c:strCache>
            </c:strRef>
          </c:cat>
          <c:val>
            <c:numRef>
              <c:f>('Staff &amp; Student Ratios'!$D$73,'Staff &amp; Student Ratios'!$L$73)</c:f>
              <c:numCache>
                <c:formatCode>#,##0</c:formatCode>
                <c:ptCount val="2"/>
                <c:pt idx="0">
                  <c:v>50</c:v>
                </c:pt>
                <c:pt idx="1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2399-4FC0-9198-B49FDE117F76}"/>
            </c:ext>
          </c:extLst>
        </c:ser>
        <c:ser>
          <c:idx val="5"/>
          <c:order val="5"/>
          <c:tx>
            <c:strRef>
              <c:f>'Staff &amp; Student Ratios'!$C$74</c:f>
              <c:strCache>
                <c:ptCount val="1"/>
                <c:pt idx="0">
                  <c:v>Central Support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('Staff &amp; Student Ratios'!$D$68,'Staff &amp; Student Ratios'!$L$68)</c:f>
              <c:strCache>
                <c:ptCount val="2"/>
                <c:pt idx="0">
                  <c:v>2026</c:v>
                </c:pt>
                <c:pt idx="1">
                  <c:v>2018</c:v>
                </c:pt>
              </c:strCache>
            </c:strRef>
          </c:cat>
          <c:val>
            <c:numRef>
              <c:f>('Staff &amp; Student Ratios'!$D$74,'Staff &amp; Student Ratios'!$L$74)</c:f>
              <c:numCache>
                <c:formatCode>#,##0</c:formatCode>
                <c:ptCount val="2"/>
                <c:pt idx="0">
                  <c:v>16</c:v>
                </c:pt>
                <c:pt idx="1">
                  <c:v>17.899999999999999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2399-4FC0-9198-B49FDE117F76}"/>
            </c:ext>
          </c:extLst>
        </c:ser>
        <c:ser>
          <c:idx val="6"/>
          <c:order val="6"/>
          <c:tx>
            <c:strRef>
              <c:f>'Staff &amp; Student Ratios'!$C$75</c:f>
              <c:strCache>
                <c:ptCount val="1"/>
                <c:pt idx="0">
                  <c:v>Operations &amp; Maintenance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('Staff &amp; Student Ratios'!$D$68,'Staff &amp; Student Ratios'!$L$68)</c:f>
              <c:strCache>
                <c:ptCount val="2"/>
                <c:pt idx="0">
                  <c:v>2026</c:v>
                </c:pt>
                <c:pt idx="1">
                  <c:v>2018</c:v>
                </c:pt>
              </c:strCache>
            </c:strRef>
          </c:cat>
          <c:val>
            <c:numRef>
              <c:f>('Staff &amp; Student Ratios'!$D$75,'Staff &amp; Student Ratios'!$L$75)</c:f>
              <c:numCache>
                <c:formatCode>#,##0</c:formatCode>
                <c:ptCount val="2"/>
                <c:pt idx="0">
                  <c:v>60</c:v>
                </c:pt>
                <c:pt idx="1">
                  <c:v>61.3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2399-4FC0-9198-B49FDE117F76}"/>
            </c:ext>
          </c:extLst>
        </c:ser>
        <c:ser>
          <c:idx val="7"/>
          <c:order val="7"/>
          <c:tx>
            <c:strRef>
              <c:f>'Staff &amp; Student Ratios'!$C$76</c:f>
              <c:strCache>
                <c:ptCount val="1"/>
                <c:pt idx="0">
                  <c:v>Transportation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('Staff &amp; Student Ratios'!$D$68,'Staff &amp; Student Ratios'!$L$68)</c:f>
              <c:strCache>
                <c:ptCount val="2"/>
                <c:pt idx="0">
                  <c:v>2026</c:v>
                </c:pt>
                <c:pt idx="1">
                  <c:v>2018</c:v>
                </c:pt>
              </c:strCache>
            </c:strRef>
          </c:cat>
          <c:val>
            <c:numRef>
              <c:f>('Staff &amp; Student Ratios'!$D$76,'Staff &amp; Student Ratios'!$L$76)</c:f>
              <c:numCache>
                <c:formatCode>#,##0</c:formatCode>
                <c:ptCount val="2"/>
                <c:pt idx="0">
                  <c:v>47</c:v>
                </c:pt>
                <c:pt idx="1">
                  <c:v>47.5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399-4FC0-9198-B49FDE117F76}"/>
            </c:ext>
          </c:extLst>
        </c:ser>
        <c:ser>
          <c:idx val="8"/>
          <c:order val="8"/>
          <c:tx>
            <c:strRef>
              <c:f>'Staff &amp; Student Ratios'!$C$77</c:f>
              <c:strCache>
                <c:ptCount val="1"/>
                <c:pt idx="0">
                  <c:v>Other Support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('Staff &amp; Student Ratios'!$D$68,'Staff &amp; Student Ratios'!$L$68)</c:f>
              <c:strCache>
                <c:ptCount val="2"/>
                <c:pt idx="0">
                  <c:v>2026</c:v>
                </c:pt>
                <c:pt idx="1">
                  <c:v>2018</c:v>
                </c:pt>
              </c:strCache>
            </c:strRef>
          </c:cat>
          <c:val>
            <c:numRef>
              <c:f>('Staff &amp; Student Ratios'!$D$77,'Staff &amp; Student Ratios'!$L$77)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399-4FC0-9198-B49FDE117F76}"/>
            </c:ext>
          </c:extLst>
        </c:ser>
        <c:ser>
          <c:idx val="9"/>
          <c:order val="9"/>
          <c:tx>
            <c:strRef>
              <c:f>'Staff &amp; Student Ratios'!$C$78</c:f>
              <c:strCache>
                <c:ptCount val="1"/>
                <c:pt idx="0">
                  <c:v>Community Services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('Staff &amp; Student Ratios'!$D$68,'Staff &amp; Student Ratios'!$L$68)</c:f>
              <c:strCache>
                <c:ptCount val="2"/>
                <c:pt idx="0">
                  <c:v>2026</c:v>
                </c:pt>
                <c:pt idx="1">
                  <c:v>2018</c:v>
                </c:pt>
              </c:strCache>
            </c:strRef>
          </c:cat>
          <c:val>
            <c:numRef>
              <c:f>('Staff &amp; Student Ratios'!$D$78,'Staff &amp; Student Ratios'!$L$78)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2399-4FC0-9198-B49FDE117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406495"/>
        <c:axId val="40404335"/>
      </c:barChart>
      <c:catAx>
        <c:axId val="40406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04335"/>
        <c:crosses val="autoZero"/>
        <c:auto val="1"/>
        <c:lblAlgn val="ctr"/>
        <c:lblOffset val="100"/>
        <c:noMultiLvlLbl val="0"/>
      </c:catAx>
      <c:valAx>
        <c:axId val="40404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064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Loca, State,</a:t>
            </a:r>
            <a:r>
              <a:rPr lang="en-US" baseline="0"/>
              <a:t> and Federal Sources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'Total Sources'!$A$11</c:f>
              <c:strCache>
                <c:ptCount val="1"/>
                <c:pt idx="0">
                  <c:v>Total Local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'Total Sources'!$C$5:$L$5</c:f>
              <c:numCache>
                <c:formatCode>General</c:formatCod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numCache>
            </c:numRef>
          </c:cat>
          <c:val>
            <c:numRef>
              <c:f>'Total Sources'!$C$11:$L$11</c:f>
              <c:numCache>
                <c:formatCode>_(* #,##0_);_(* \(#,##0\);_(* "-"??_);_(@_)</c:formatCode>
                <c:ptCount val="10"/>
                <c:pt idx="0">
                  <c:v>3778802</c:v>
                </c:pt>
                <c:pt idx="1">
                  <c:v>5376963</c:v>
                </c:pt>
                <c:pt idx="2">
                  <c:v>5398215</c:v>
                </c:pt>
                <c:pt idx="3">
                  <c:v>4861234</c:v>
                </c:pt>
                <c:pt idx="4">
                  <c:v>48251209</c:v>
                </c:pt>
                <c:pt idx="5">
                  <c:v>42931901</c:v>
                </c:pt>
                <c:pt idx="6">
                  <c:v>42774373</c:v>
                </c:pt>
                <c:pt idx="7">
                  <c:v>42290736</c:v>
                </c:pt>
                <c:pt idx="8">
                  <c:v>38331688</c:v>
                </c:pt>
                <c:pt idx="9">
                  <c:v>38231526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5-403C-BC3B-BA1E3A30B440}"/>
            </c:ext>
          </c:extLst>
        </c:ser>
        <c:ser>
          <c:idx val="1"/>
          <c:order val="1"/>
          <c:tx>
            <c:strRef>
              <c:f>'Total Sources'!$A$17</c:f>
              <c:strCache>
                <c:ptCount val="1"/>
                <c:pt idx="0">
                  <c:v>Total State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'Total Sources'!$C$5:$L$5</c:f>
              <c:numCache>
                <c:formatCode>General</c:formatCod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numCache>
            </c:numRef>
          </c:cat>
          <c:val>
            <c:numRef>
              <c:f>'Total Sources'!$C$17:$L$17</c:f>
              <c:numCache>
                <c:formatCode>_(* #,##0_);_(* \(#,##0\);_(* "-"??_);_(@_)</c:formatCode>
                <c:ptCount val="10"/>
                <c:pt idx="0">
                  <c:v>64443543</c:v>
                </c:pt>
                <c:pt idx="1">
                  <c:v>65838747</c:v>
                </c:pt>
                <c:pt idx="2">
                  <c:v>59528521</c:v>
                </c:pt>
                <c:pt idx="3">
                  <c:v>63889614</c:v>
                </c:pt>
                <c:pt idx="4">
                  <c:v>15244996</c:v>
                </c:pt>
                <c:pt idx="5">
                  <c:v>19219171</c:v>
                </c:pt>
                <c:pt idx="6">
                  <c:v>19091931</c:v>
                </c:pt>
                <c:pt idx="7">
                  <c:v>21041566</c:v>
                </c:pt>
                <c:pt idx="8">
                  <c:v>23738224</c:v>
                </c:pt>
                <c:pt idx="9">
                  <c:v>20889515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5-403C-BC3B-BA1E3A30B440}"/>
            </c:ext>
          </c:extLst>
        </c:ser>
        <c:ser>
          <c:idx val="2"/>
          <c:order val="2"/>
          <c:tx>
            <c:strRef>
              <c:f>'Total Sources'!$A$26</c:f>
              <c:strCache>
                <c:ptCount val="1"/>
                <c:pt idx="0">
                  <c:v>Total Federal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'Total Sources'!$C$5:$L$5</c:f>
              <c:numCache>
                <c:formatCode>General</c:formatCod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numCache>
            </c:numRef>
          </c:cat>
          <c:val>
            <c:numRef>
              <c:f>'Total Sources'!$C$26:$L$26</c:f>
              <c:numCache>
                <c:formatCode>_(* #,##0_);_(* \(#,##0\);_(* "-"??_);_(@_)</c:formatCode>
                <c:ptCount val="10"/>
                <c:pt idx="0">
                  <c:v>6970322</c:v>
                </c:pt>
                <c:pt idx="1">
                  <c:v>8224761</c:v>
                </c:pt>
                <c:pt idx="2">
                  <c:v>8375557</c:v>
                </c:pt>
                <c:pt idx="3">
                  <c:v>8704194</c:v>
                </c:pt>
                <c:pt idx="4">
                  <c:v>5586999</c:v>
                </c:pt>
                <c:pt idx="5">
                  <c:v>2970912</c:v>
                </c:pt>
                <c:pt idx="6">
                  <c:v>3344842</c:v>
                </c:pt>
                <c:pt idx="7">
                  <c:v>3124545</c:v>
                </c:pt>
                <c:pt idx="8">
                  <c:v>3896002</c:v>
                </c:pt>
                <c:pt idx="9">
                  <c:v>4400589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5-403C-BC3B-BA1E3A30B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40567016"/>
        <c:axId val="940568816"/>
      </c:barChart>
      <c:catAx>
        <c:axId val="94056701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568816"/>
        <c:crosses val="autoZero"/>
        <c:auto val="1"/>
        <c:lblAlgn val="ctr"/>
        <c:lblOffset val="100"/>
        <c:noMultiLvlLbl val="0"/>
      </c:catAx>
      <c:valAx>
        <c:axId val="94056881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567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9.xml"/><Relationship Id="rId13" Type="http://schemas.openxmlformats.org/officeDocument/2006/relationships/chart" Target="../charts/chart34.xml"/><Relationship Id="rId3" Type="http://schemas.openxmlformats.org/officeDocument/2006/relationships/chart" Target="../charts/chart24.xml"/><Relationship Id="rId7" Type="http://schemas.openxmlformats.org/officeDocument/2006/relationships/chart" Target="../charts/chart28.xml"/><Relationship Id="rId12" Type="http://schemas.openxmlformats.org/officeDocument/2006/relationships/chart" Target="../charts/chart33.xml"/><Relationship Id="rId2" Type="http://schemas.openxmlformats.org/officeDocument/2006/relationships/chart" Target="../charts/chart23.xml"/><Relationship Id="rId16" Type="http://schemas.openxmlformats.org/officeDocument/2006/relationships/chart" Target="../charts/chart37.xml"/><Relationship Id="rId1" Type="http://schemas.openxmlformats.org/officeDocument/2006/relationships/chart" Target="../charts/chart22.xml"/><Relationship Id="rId6" Type="http://schemas.openxmlformats.org/officeDocument/2006/relationships/chart" Target="../charts/chart27.xml"/><Relationship Id="rId11" Type="http://schemas.openxmlformats.org/officeDocument/2006/relationships/chart" Target="../charts/chart32.xml"/><Relationship Id="rId5" Type="http://schemas.openxmlformats.org/officeDocument/2006/relationships/chart" Target="../charts/chart26.xml"/><Relationship Id="rId15" Type="http://schemas.openxmlformats.org/officeDocument/2006/relationships/chart" Target="../charts/chart36.xml"/><Relationship Id="rId10" Type="http://schemas.openxmlformats.org/officeDocument/2006/relationships/chart" Target="../charts/chart31.xml"/><Relationship Id="rId4" Type="http://schemas.openxmlformats.org/officeDocument/2006/relationships/chart" Target="../charts/chart25.xml"/><Relationship Id="rId9" Type="http://schemas.openxmlformats.org/officeDocument/2006/relationships/chart" Target="../charts/chart30.xml"/><Relationship Id="rId14" Type="http://schemas.openxmlformats.org/officeDocument/2006/relationships/chart" Target="../charts/chart3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85725</xdr:colOff>
      <xdr:row>2</xdr:row>
      <xdr:rowOff>447675</xdr:rowOff>
    </xdr:from>
    <xdr:ext cx="3790950" cy="2162175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26</xdr:col>
      <xdr:colOff>152400</xdr:colOff>
      <xdr:row>30</xdr:row>
      <xdr:rowOff>57150</xdr:rowOff>
    </xdr:from>
    <xdr:to>
      <xdr:col>30</xdr:col>
      <xdr:colOff>619125</xdr:colOff>
      <xdr:row>42</xdr:row>
      <xdr:rowOff>180976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314FA26-B05F-8A21-EB10-0B9F793B9B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742949</xdr:colOff>
      <xdr:row>45</xdr:row>
      <xdr:rowOff>0</xdr:rowOff>
    </xdr:from>
    <xdr:to>
      <xdr:col>32</xdr:col>
      <xdr:colOff>381001</xdr:colOff>
      <xdr:row>57</xdr:row>
      <xdr:rowOff>123825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629B74F-C29F-DF5C-D67F-9DC7429799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528637</xdr:colOff>
      <xdr:row>29</xdr:row>
      <xdr:rowOff>90487</xdr:rowOff>
    </xdr:from>
    <xdr:to>
      <xdr:col>40</xdr:col>
      <xdr:colOff>123825</xdr:colOff>
      <xdr:row>44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9B140B4-035D-8B15-A7C6-8391709F57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30</xdr:col>
      <xdr:colOff>723899</xdr:colOff>
      <xdr:row>7</xdr:row>
      <xdr:rowOff>66675</xdr:rowOff>
    </xdr:from>
    <xdr:ext cx="6143625" cy="2971800"/>
    <xdr:graphicFrame macro="">
      <xdr:nvGraphicFramePr>
        <xdr:cNvPr id="11" name="Chart 10" title="Chart">
          <a:extLst>
            <a:ext uri="{FF2B5EF4-FFF2-40B4-BE49-F238E27FC236}">
              <a16:creationId xmlns:a16="http://schemas.microsoft.com/office/drawing/2014/main" id="{4B0E7527-94DB-41B5-8F09-4138E2CFE1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twoCellAnchor>
    <xdr:from>
      <xdr:col>40</xdr:col>
      <xdr:colOff>419100</xdr:colOff>
      <xdr:row>3</xdr:row>
      <xdr:rowOff>142874</xdr:rowOff>
    </xdr:from>
    <xdr:to>
      <xdr:col>44</xdr:col>
      <xdr:colOff>762000</xdr:colOff>
      <xdr:row>25</xdr:row>
      <xdr:rowOff>57149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66DA89B-275C-C086-9BAD-A8F3FC62C9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38100</xdr:colOff>
      <xdr:row>16</xdr:row>
      <xdr:rowOff>114300</xdr:rowOff>
    </xdr:from>
    <xdr:to>
      <xdr:col>30</xdr:col>
      <xdr:colOff>457200</xdr:colOff>
      <xdr:row>30</xdr:row>
      <xdr:rowOff>28575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2FCD6FB-228C-AA52-83E3-4E0CEF28EC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23</xdr:col>
      <xdr:colOff>228606</xdr:colOff>
      <xdr:row>94</xdr:row>
      <xdr:rowOff>9525</xdr:rowOff>
    </xdr:from>
    <xdr:to>
      <xdr:col>27</xdr:col>
      <xdr:colOff>800100</xdr:colOff>
      <xdr:row>108</xdr:row>
      <xdr:rowOff>104775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28B2E85-7327-77E4-33B9-E2ECD053AB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28</xdr:col>
      <xdr:colOff>0</xdr:colOff>
      <xdr:row>94</xdr:row>
      <xdr:rowOff>0</xdr:rowOff>
    </xdr:from>
    <xdr:to>
      <xdr:col>32</xdr:col>
      <xdr:colOff>666744</xdr:colOff>
      <xdr:row>108</xdr:row>
      <xdr:rowOff>95250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95CC8D26-5691-4DD3-A826-51295463B1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33</xdr:col>
      <xdr:colOff>0</xdr:colOff>
      <xdr:row>94</xdr:row>
      <xdr:rowOff>0</xdr:rowOff>
    </xdr:from>
    <xdr:to>
      <xdr:col>37</xdr:col>
      <xdr:colOff>666744</xdr:colOff>
      <xdr:row>108</xdr:row>
      <xdr:rowOff>95250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66F08C21-5EC3-4219-A920-05AF809909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38</xdr:col>
      <xdr:colOff>19050</xdr:colOff>
      <xdr:row>94</xdr:row>
      <xdr:rowOff>0</xdr:rowOff>
    </xdr:from>
    <xdr:to>
      <xdr:col>42</xdr:col>
      <xdr:colOff>685794</xdr:colOff>
      <xdr:row>108</xdr:row>
      <xdr:rowOff>95250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8D7A8C87-5F74-4F46-8469-6536C1193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22</xdr:col>
      <xdr:colOff>762000</xdr:colOff>
      <xdr:row>110</xdr:row>
      <xdr:rowOff>104775</xdr:rowOff>
    </xdr:from>
    <xdr:to>
      <xdr:col>28</xdr:col>
      <xdr:colOff>304800</xdr:colOff>
      <xdr:row>127</xdr:row>
      <xdr:rowOff>95250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F9EE8047-0DDF-C18F-0884-21EE1D337D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34</xdr:col>
      <xdr:colOff>9525</xdr:colOff>
      <xdr:row>110</xdr:row>
      <xdr:rowOff>66675</xdr:rowOff>
    </xdr:from>
    <xdr:to>
      <xdr:col>39</xdr:col>
      <xdr:colOff>390525</xdr:colOff>
      <xdr:row>127</xdr:row>
      <xdr:rowOff>57150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EA7A69AD-3660-1120-9AB6-4C62F90CBC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342900</xdr:colOff>
      <xdr:row>110</xdr:row>
      <xdr:rowOff>76200</xdr:rowOff>
    </xdr:from>
    <xdr:to>
      <xdr:col>33</xdr:col>
      <xdr:colOff>723900</xdr:colOff>
      <xdr:row>127</xdr:row>
      <xdr:rowOff>66675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5FC302D0-4017-3A44-6623-B178E5D9EF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39</xdr:col>
      <xdr:colOff>542925</xdr:colOff>
      <xdr:row>110</xdr:row>
      <xdr:rowOff>76200</xdr:rowOff>
    </xdr:from>
    <xdr:to>
      <xdr:col>45</xdr:col>
      <xdr:colOff>85725</xdr:colOff>
      <xdr:row>127</xdr:row>
      <xdr:rowOff>66675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D719CC08-14A1-5B8B-60B0-A364E69812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23</xdr:col>
      <xdr:colOff>23812</xdr:colOff>
      <xdr:row>128</xdr:row>
      <xdr:rowOff>19050</xdr:rowOff>
    </xdr:from>
    <xdr:to>
      <xdr:col>28</xdr:col>
      <xdr:colOff>333375</xdr:colOff>
      <xdr:row>144</xdr:row>
      <xdr:rowOff>66675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DC017F8A-C762-5522-6494-3CA9DB85AE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504825</xdr:colOff>
      <xdr:row>128</xdr:row>
      <xdr:rowOff>28575</xdr:rowOff>
    </xdr:from>
    <xdr:to>
      <xdr:col>33</xdr:col>
      <xdr:colOff>814388</xdr:colOff>
      <xdr:row>144</xdr:row>
      <xdr:rowOff>76200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E24C58D1-1C14-4753-9798-D29BC56C38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34</xdr:col>
      <xdr:colOff>76200</xdr:colOff>
      <xdr:row>128</xdr:row>
      <xdr:rowOff>47625</xdr:rowOff>
    </xdr:from>
    <xdr:to>
      <xdr:col>39</xdr:col>
      <xdr:colOff>385763</xdr:colOff>
      <xdr:row>144</xdr:row>
      <xdr:rowOff>95250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CFAA4441-DAD9-40B0-8A81-A6B871A899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23</xdr:col>
      <xdr:colOff>0</xdr:colOff>
      <xdr:row>145</xdr:row>
      <xdr:rowOff>0</xdr:rowOff>
    </xdr:from>
    <xdr:to>
      <xdr:col>28</xdr:col>
      <xdr:colOff>309563</xdr:colOff>
      <xdr:row>161</xdr:row>
      <xdr:rowOff>47625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F42DE8BD-FA20-4B84-BF85-ECFBE11975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30</xdr:col>
      <xdr:colOff>823912</xdr:colOff>
      <xdr:row>27</xdr:row>
      <xdr:rowOff>114300</xdr:rowOff>
    </xdr:from>
    <xdr:to>
      <xdr:col>35</xdr:col>
      <xdr:colOff>409575</xdr:colOff>
      <xdr:row>40</xdr:row>
      <xdr:rowOff>142875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F169EBDB-6691-CDA1-D4B7-046B1FFA00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35</xdr:col>
      <xdr:colOff>504825</xdr:colOff>
      <xdr:row>45</xdr:row>
      <xdr:rowOff>76200</xdr:rowOff>
    </xdr:from>
    <xdr:to>
      <xdr:col>40</xdr:col>
      <xdr:colOff>100013</xdr:colOff>
      <xdr:row>58</xdr:row>
      <xdr:rowOff>128588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F062A7D1-5D40-4B0D-B952-13C4BBBF15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4</xdr:col>
      <xdr:colOff>495301</xdr:colOff>
      <xdr:row>9</xdr:row>
      <xdr:rowOff>32770</xdr:rowOff>
    </xdr:from>
    <xdr:to>
      <xdr:col>8</xdr:col>
      <xdr:colOff>828675</xdr:colOff>
      <xdr:row>10</xdr:row>
      <xdr:rowOff>104779</xdr:rowOff>
    </xdr:to>
    <xdr:sp macro="" textlink="">
      <xdr:nvSpPr>
        <xdr:cNvPr id="6" name="Arrow: Curved Left 5">
          <a:extLst>
            <a:ext uri="{FF2B5EF4-FFF2-40B4-BE49-F238E27FC236}">
              <a16:creationId xmlns:a16="http://schemas.microsoft.com/office/drawing/2014/main" id="{68817E0B-7D1B-EF61-0AC5-B7E794CF7E91}"/>
            </a:ext>
          </a:extLst>
        </xdr:cNvPr>
        <xdr:cNvSpPr/>
      </xdr:nvSpPr>
      <xdr:spPr>
        <a:xfrm rot="5400000">
          <a:off x="5659946" y="49725"/>
          <a:ext cx="233934" cy="3895724"/>
        </a:xfrm>
        <a:prstGeom prst="curved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0.23934</cdr:x>
      <cdr:y>0.32661</cdr:y>
    </cdr:from>
    <cdr:to>
      <cdr:x>0.93128</cdr:x>
      <cdr:y>0.48387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23FFAEDF-24D5-F5F5-648A-C538A1ED7738}"/>
            </a:ext>
          </a:extLst>
        </cdr:cNvPr>
        <cdr:cNvCxnSpPr/>
      </cdr:nvCxnSpPr>
      <cdr:spPr>
        <a:xfrm xmlns:a="http://schemas.openxmlformats.org/drawingml/2006/main" flipH="1" flipV="1">
          <a:off x="962025" y="771525"/>
          <a:ext cx="2781300" cy="371475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0.23697</cdr:x>
      <cdr:y>0.47581</cdr:y>
    </cdr:from>
    <cdr:to>
      <cdr:x>0.93128</cdr:x>
      <cdr:y>0.58065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00DBC5DD-4D19-6119-91C8-3C684471FA86}"/>
            </a:ext>
          </a:extLst>
        </cdr:cNvPr>
        <cdr:cNvCxnSpPr/>
      </cdr:nvCxnSpPr>
      <cdr:spPr>
        <a:xfrm xmlns:a="http://schemas.openxmlformats.org/drawingml/2006/main" flipH="1" flipV="1">
          <a:off x="952500" y="1123950"/>
          <a:ext cx="2790825" cy="24765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0.23697</cdr:x>
      <cdr:y>0.75806</cdr:y>
    </cdr:from>
    <cdr:to>
      <cdr:x>0.93128</cdr:x>
      <cdr:y>0.79032</cdr:y>
    </cdr:to>
    <cdr:cxnSp macro="">
      <cdr:nvCxnSpPr>
        <cdr:cNvPr id="7" name="Straight Connector 6">
          <a:extLst xmlns:a="http://schemas.openxmlformats.org/drawingml/2006/main">
            <a:ext uri="{FF2B5EF4-FFF2-40B4-BE49-F238E27FC236}">
              <a16:creationId xmlns:a16="http://schemas.microsoft.com/office/drawing/2014/main" id="{6A54B9C6-74FC-17D4-8C5E-94449223624A}"/>
            </a:ext>
          </a:extLst>
        </cdr:cNvPr>
        <cdr:cNvCxnSpPr/>
      </cdr:nvCxnSpPr>
      <cdr:spPr>
        <a:xfrm xmlns:a="http://schemas.openxmlformats.org/drawingml/2006/main" flipH="1" flipV="1">
          <a:off x="952500" y="1790700"/>
          <a:ext cx="2790825" cy="762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0.23697</cdr:x>
      <cdr:y>0.83065</cdr:y>
    </cdr:from>
    <cdr:to>
      <cdr:x>0.93128</cdr:x>
      <cdr:y>0.85887</cdr:y>
    </cdr:to>
    <cdr:cxnSp macro="">
      <cdr:nvCxnSpPr>
        <cdr:cNvPr id="9" name="Straight Connector 8">
          <a:extLst xmlns:a="http://schemas.openxmlformats.org/drawingml/2006/main">
            <a:ext uri="{FF2B5EF4-FFF2-40B4-BE49-F238E27FC236}">
              <a16:creationId xmlns:a16="http://schemas.microsoft.com/office/drawing/2014/main" id="{ACF41D51-F058-3E40-C637-C32E730352FD}"/>
            </a:ext>
          </a:extLst>
        </cdr:cNvPr>
        <cdr:cNvCxnSpPr/>
      </cdr:nvCxnSpPr>
      <cdr:spPr>
        <a:xfrm xmlns:a="http://schemas.openxmlformats.org/drawingml/2006/main" flipH="1" flipV="1">
          <a:off x="952500" y="1962150"/>
          <a:ext cx="2790825" cy="66675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468922</xdr:colOff>
      <xdr:row>27</xdr:row>
      <xdr:rowOff>21983</xdr:rowOff>
    </xdr:from>
    <xdr:to>
      <xdr:col>28</xdr:col>
      <xdr:colOff>222366</xdr:colOff>
      <xdr:row>53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D69F4-26DF-4A05-9B1B-AB7C27F35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4522" y="4898783"/>
          <a:ext cx="14069519" cy="4950067"/>
        </a:xfrm>
        <a:prstGeom prst="rect">
          <a:avLst/>
        </a:prstGeom>
      </xdr:spPr>
    </xdr:pic>
    <xdr:clientData/>
  </xdr:twoCellAnchor>
  <xdr:twoCellAnchor editAs="oneCell">
    <xdr:from>
      <xdr:col>5</xdr:col>
      <xdr:colOff>483577</xdr:colOff>
      <xdr:row>46</xdr:row>
      <xdr:rowOff>102576</xdr:rowOff>
    </xdr:from>
    <xdr:to>
      <xdr:col>15</xdr:col>
      <xdr:colOff>251490</xdr:colOff>
      <xdr:row>58</xdr:row>
      <xdr:rowOff>152853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374ABE-9838-442A-B2E9-4C7633BC7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89177" y="8541726"/>
          <a:ext cx="6159188" cy="1993377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142875</xdr:colOff>
      <xdr:row>3</xdr:row>
      <xdr:rowOff>150647</xdr:rowOff>
    </xdr:from>
    <xdr:to>
      <xdr:col>21</xdr:col>
      <xdr:colOff>447674</xdr:colOff>
      <xdr:row>26</xdr:row>
      <xdr:rowOff>269383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9A140FB-C7EC-442B-9C07-95EBB95FF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39750" y="636422"/>
          <a:ext cx="3962399" cy="4185911"/>
        </a:xfrm>
        <a:prstGeom prst="rect">
          <a:avLst/>
        </a:prstGeom>
      </xdr:spPr>
    </xdr:pic>
    <xdr:clientData/>
  </xdr:twoCellAnchor>
  <xdr:twoCellAnchor>
    <xdr:from>
      <xdr:col>1</xdr:col>
      <xdr:colOff>1123950</xdr:colOff>
      <xdr:row>12</xdr:row>
      <xdr:rowOff>0</xdr:rowOff>
    </xdr:from>
    <xdr:to>
      <xdr:col>14</xdr:col>
      <xdr:colOff>142875</xdr:colOff>
      <xdr:row>26</xdr:row>
      <xdr:rowOff>142875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9A469F8E-B770-4552-1FDE-D70815A3677D}"/>
            </a:ext>
          </a:extLst>
        </xdr:cNvPr>
        <xdr:cNvCxnSpPr/>
      </xdr:nvCxnSpPr>
      <xdr:spPr>
        <a:xfrm flipV="1">
          <a:off x="2971800" y="1943100"/>
          <a:ext cx="9658350" cy="27527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1085850</xdr:colOff>
      <xdr:row>18</xdr:row>
      <xdr:rowOff>104775</xdr:rowOff>
    </xdr:from>
    <xdr:to>
      <xdr:col>13</xdr:col>
      <xdr:colOff>552450</xdr:colOff>
      <xdr:row>26</xdr:row>
      <xdr:rowOff>180975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59B6E21B-167F-0EE3-FBC1-1EABBF578B4E}"/>
            </a:ext>
          </a:extLst>
        </xdr:cNvPr>
        <xdr:cNvCxnSpPr/>
      </xdr:nvCxnSpPr>
      <xdr:spPr>
        <a:xfrm flipV="1">
          <a:off x="4152900" y="3019425"/>
          <a:ext cx="8277225" cy="17145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1181100</xdr:colOff>
      <xdr:row>26</xdr:row>
      <xdr:rowOff>276225</xdr:rowOff>
    </xdr:from>
    <xdr:to>
      <xdr:col>10</xdr:col>
      <xdr:colOff>276225</xdr:colOff>
      <xdr:row>32</xdr:row>
      <xdr:rowOff>66675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C9A5EE8B-C0F1-2DDB-174D-9F603AEB2D54}"/>
            </a:ext>
          </a:extLst>
        </xdr:cNvPr>
        <xdr:cNvCxnSpPr/>
      </xdr:nvCxnSpPr>
      <xdr:spPr>
        <a:xfrm>
          <a:off x="5353050" y="4829175"/>
          <a:ext cx="4972050" cy="15716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1304925</xdr:colOff>
      <xdr:row>26</xdr:row>
      <xdr:rowOff>276225</xdr:rowOff>
    </xdr:from>
    <xdr:to>
      <xdr:col>12</xdr:col>
      <xdr:colOff>457200</xdr:colOff>
      <xdr:row>56</xdr:row>
      <xdr:rowOff>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26ED3CAF-3235-3FCD-B573-12324DB2E393}"/>
            </a:ext>
          </a:extLst>
        </xdr:cNvPr>
        <xdr:cNvCxnSpPr/>
      </xdr:nvCxnSpPr>
      <xdr:spPr>
        <a:xfrm>
          <a:off x="6686550" y="4829175"/>
          <a:ext cx="5038725" cy="53911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538162</xdr:colOff>
      <xdr:row>14</xdr:row>
      <xdr:rowOff>133350</xdr:rowOff>
    </xdr:from>
    <xdr:to>
      <xdr:col>24</xdr:col>
      <xdr:colOff>762000</xdr:colOff>
      <xdr:row>27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AD068C-5330-C0E1-8A9D-803F0D2B9D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533399</xdr:colOff>
      <xdr:row>2</xdr:row>
      <xdr:rowOff>104775</xdr:rowOff>
    </xdr:from>
    <xdr:to>
      <xdr:col>24</xdr:col>
      <xdr:colOff>790574</xdr:colOff>
      <xdr:row>14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052D69-9273-47C4-AB4F-9988A0995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219075</xdr:colOff>
      <xdr:row>2</xdr:row>
      <xdr:rowOff>104775</xdr:rowOff>
    </xdr:from>
    <xdr:to>
      <xdr:col>20</xdr:col>
      <xdr:colOff>457200</xdr:colOff>
      <xdr:row>14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9A52ED8-619F-8768-6FC4-7D4EEC55FE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228600</xdr:colOff>
      <xdr:row>14</xdr:row>
      <xdr:rowOff>142875</xdr:rowOff>
    </xdr:from>
    <xdr:to>
      <xdr:col>20</xdr:col>
      <xdr:colOff>504825</xdr:colOff>
      <xdr:row>26</xdr:row>
      <xdr:rowOff>133350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72E5391-7009-4CC8-A267-A4612C09A3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0</xdr:colOff>
      <xdr:row>3</xdr:row>
      <xdr:rowOff>0</xdr:rowOff>
    </xdr:from>
    <xdr:to>
      <xdr:col>29</xdr:col>
      <xdr:colOff>238125</xdr:colOff>
      <xdr:row>14</xdr:row>
      <xdr:rowOff>104775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5CB60CB-8A41-4140-B906-D6F904C497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514350</xdr:colOff>
      <xdr:row>27</xdr:row>
      <xdr:rowOff>142875</xdr:rowOff>
    </xdr:from>
    <xdr:to>
      <xdr:col>25</xdr:col>
      <xdr:colOff>9525</xdr:colOff>
      <xdr:row>40</xdr:row>
      <xdr:rowOff>104775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FADD9CA-CE7F-17A6-701D-5D983F9F96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223837</xdr:colOff>
      <xdr:row>70</xdr:row>
      <xdr:rowOff>28575</xdr:rowOff>
    </xdr:from>
    <xdr:to>
      <xdr:col>20</xdr:col>
      <xdr:colOff>704850</xdr:colOff>
      <xdr:row>83</xdr:row>
      <xdr:rowOff>57150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D91D51EA-D30F-BB8B-7716-EAB35C30E9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21</xdr:col>
      <xdr:colOff>66675</xdr:colOff>
      <xdr:row>69</xdr:row>
      <xdr:rowOff>123825</xdr:rowOff>
    </xdr:from>
    <xdr:to>
      <xdr:col>25</xdr:col>
      <xdr:colOff>547688</xdr:colOff>
      <xdr:row>82</xdr:row>
      <xdr:rowOff>190500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DDF6F81A-2279-4E5B-BF95-A5B58DF578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219075</xdr:colOff>
      <xdr:row>27</xdr:row>
      <xdr:rowOff>142875</xdr:rowOff>
    </xdr:from>
    <xdr:to>
      <xdr:col>29</xdr:col>
      <xdr:colOff>552450</xdr:colOff>
      <xdr:row>40</xdr:row>
      <xdr:rowOff>104775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9B176C65-90F8-4675-AC61-639EB4C845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16</xdr:col>
      <xdr:colOff>119062</xdr:colOff>
      <xdr:row>27</xdr:row>
      <xdr:rowOff>161924</xdr:rowOff>
    </xdr:from>
    <xdr:to>
      <xdr:col>20</xdr:col>
      <xdr:colOff>428625</xdr:colOff>
      <xdr:row>40</xdr:row>
      <xdr:rowOff>123824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EBF07F2B-4928-F45B-4871-981898EC49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16</xdr:col>
      <xdr:colOff>138112</xdr:colOff>
      <xdr:row>41</xdr:row>
      <xdr:rowOff>133350</xdr:rowOff>
    </xdr:from>
    <xdr:to>
      <xdr:col>20</xdr:col>
      <xdr:colOff>495300</xdr:colOff>
      <xdr:row>54</xdr:row>
      <xdr:rowOff>66675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1804FED0-484C-158C-2597-C58A4775B6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20</xdr:col>
      <xdr:colOff>552450</xdr:colOff>
      <xdr:row>41</xdr:row>
      <xdr:rowOff>104775</xdr:rowOff>
    </xdr:from>
    <xdr:to>
      <xdr:col>25</xdr:col>
      <xdr:colOff>71438</xdr:colOff>
      <xdr:row>54</xdr:row>
      <xdr:rowOff>38100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AB8DD636-01FD-498C-922A-4E3058DA9A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247650</xdr:colOff>
      <xdr:row>41</xdr:row>
      <xdr:rowOff>57149</xdr:rowOff>
    </xdr:from>
    <xdr:to>
      <xdr:col>29</xdr:col>
      <xdr:colOff>581025</xdr:colOff>
      <xdr:row>54</xdr:row>
      <xdr:rowOff>38099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ED0DCA7-9483-FAE1-395A-B87AED5B6B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16</xdr:col>
      <xdr:colOff>176212</xdr:colOff>
      <xdr:row>54</xdr:row>
      <xdr:rowOff>142874</xdr:rowOff>
    </xdr:from>
    <xdr:to>
      <xdr:col>20</xdr:col>
      <xdr:colOff>542926</xdr:colOff>
      <xdr:row>67</xdr:row>
      <xdr:rowOff>66675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DA1044A-EDF5-C66C-02DE-D0236BC3B0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21</xdr:col>
      <xdr:colOff>0</xdr:colOff>
      <xdr:row>55</xdr:row>
      <xdr:rowOff>0</xdr:rowOff>
    </xdr:from>
    <xdr:to>
      <xdr:col>25</xdr:col>
      <xdr:colOff>366714</xdr:colOff>
      <xdr:row>67</xdr:row>
      <xdr:rowOff>85726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4557176B-6479-475A-8730-C7FA5CF0D9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16</xdr:col>
      <xdr:colOff>481012</xdr:colOff>
      <xdr:row>112</xdr:row>
      <xdr:rowOff>28574</xdr:rowOff>
    </xdr:from>
    <xdr:to>
      <xdr:col>21</xdr:col>
      <xdr:colOff>104775</xdr:colOff>
      <xdr:row>125</xdr:row>
      <xdr:rowOff>171450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02DF1B4-FABA-223A-9F7E-7047AC42C2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22</xdr:row>
      <xdr:rowOff>0</xdr:rowOff>
    </xdr:from>
    <xdr:to>
      <xdr:col>27</xdr:col>
      <xdr:colOff>552450</xdr:colOff>
      <xdr:row>49</xdr:row>
      <xdr:rowOff>1792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A1F1A4-14CA-3E82-1DB9-03F7D80D9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4248150"/>
          <a:ext cx="8315325" cy="43737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314325</xdr:colOff>
      <xdr:row>7</xdr:row>
      <xdr:rowOff>38100</xdr:rowOff>
    </xdr:from>
    <xdr:to>
      <xdr:col>19</xdr:col>
      <xdr:colOff>180975</xdr:colOff>
      <xdr:row>19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CA5249-DFAD-6DF2-ADA6-C861FC9CE6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lvwater-my.sharepoint.com/personal/johnsop_lvvwd_com/Documents/DCSD/SSA%20Edit%201-DCSD%2010%20year%20budget%20analysis_NDE%20Analysis.xlsx" TargetMode="External"/><Relationship Id="rId1" Type="http://schemas.openxmlformats.org/officeDocument/2006/relationships/externalLinkPath" Target="SSA%20Edit%201-DCSD%2010%20year%20budget%20analysis_NDE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Y2026-FY2015"/>
      <sheetName val="NDE Summary"/>
      <sheetName val="Staff &amp; Student Ratios"/>
      <sheetName val="BLS Inflation Index"/>
      <sheetName val="English Learner"/>
      <sheetName val="At-risk"/>
      <sheetName val="Staffing Comparisons"/>
      <sheetName val="NRS 387.303 Staff FY2023"/>
      <sheetName val="Negotiated Salary Increases"/>
      <sheetName val="SB 231"/>
      <sheetName val="Ending Fund Balance"/>
      <sheetName val="Legal Liabilities"/>
      <sheetName val="Health Contribution"/>
      <sheetName val="NVPERS"/>
    </sheetNames>
    <sheetDataSet>
      <sheetData sheetId="0"/>
      <sheetData sheetId="1"/>
      <sheetData sheetId="2">
        <row r="9">
          <cell r="D9">
            <v>4691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Paul Johnson" id="{35F56F34-48A6-4C41-ABF9-FFD5DE4A5D99}" userId="S::johnsop@lvvwd.com::334c478b-4f3a-4390-b606-a401a512c65f" providerId="AD"/>
  <person displayName="Megan Peterson" id="{83FE4834-CB8E-4A83-88E9-9EF3E52A9FD7}" userId="S::megan.peterson@doe.nv.gov::831bf0f3-b6fe-4383-ac96-c0c399f260be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5-12-15T23:20:38.32" personId="{35F56F34-48A6-4C41-ABF9-FFD5DE4A5D99}" id="{B377F992-E29D-45D8-AE60-AF4FB9BEC2BF}">
    <text xml:space="preserve"> This appears to be high by a significant amount.  Could be as much as $4 million.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3" dT="2025-10-15T16:22:06.93" personId="{83FE4834-CB8E-4A83-88E9-9EF3E52A9FD7}" id="{3AEB01DB-F146-4C74-8169-BFD2144B1DD2}">
    <text xml:space="preserve">Section 5.1, page 3. This funding amount is fixed for FY26. </text>
  </threadedComment>
  <threadedComment ref="A6" dT="2025-10-15T16:23:04.57" personId="{83FE4834-CB8E-4A83-88E9-9EF3E52A9FD7}" id="{1CCD6F0A-BD72-4BDE-B82B-563109175363}">
    <text xml:space="preserve">Section 5.2, page 3. This funding is fixed for FY26. </text>
  </threadedComment>
  <threadedComment ref="A8" dT="2025-10-15T16:23:26.06" personId="{83FE4834-CB8E-4A83-88E9-9EF3E52A9FD7}" id="{72089780-8506-4A94-90CD-820C78724362}">
    <text xml:space="preserve">Section 5.4, page 4. This funding is subject to change based on quarterly enrollment (ADE) reports. </text>
  </threadedComment>
  <threadedComment ref="A10" dT="2025-10-15T16:23:44.81" personId="{83FE4834-CB8E-4A83-88E9-9EF3E52A9FD7}" id="{BD45F09B-BFE6-4E46-9AA4-D7EDCF228005}">
    <text xml:space="preserve">Section 5.8, page 5. These counts are fixed for the year and funding will not change. </text>
  </threadedComment>
  <threadedComment ref="A18" dT="2025-10-15T16:26:08.71" personId="{83FE4834-CB8E-4A83-88E9-9EF3E52A9FD7}" id="{5420E9B6-52F5-42D5-B17F-D5BE67F94985}">
    <text xml:space="preserve">State Special Education Allocation workbook, Totals located on District Base Allocation Tab and 13% Supp Allocation Tab.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outlinePr summaryBelow="0" summaryRight="0"/>
  </sheetPr>
  <dimension ref="A1:AM965"/>
  <sheetViews>
    <sheetView workbookViewId="0">
      <selection activeCell="E28" sqref="E28"/>
    </sheetView>
  </sheetViews>
  <sheetFormatPr defaultColWidth="12.5703125" defaultRowHeight="15.75" customHeight="1"/>
  <cols>
    <col min="1" max="2" width="5.7109375" customWidth="1"/>
    <col min="3" max="3" width="26.42578125" customWidth="1"/>
    <col min="4" max="4" width="12.140625" customWidth="1"/>
    <col min="5" max="5" width="16.42578125" style="113" bestFit="1" customWidth="1"/>
    <col min="6" max="6" width="4.140625" style="266" hidden="1" customWidth="1"/>
    <col min="7" max="7" width="16.42578125" style="107" hidden="1" customWidth="1"/>
    <col min="8" max="8" width="16.42578125" style="348" hidden="1" customWidth="1"/>
    <col min="9" max="9" width="16.42578125" customWidth="1"/>
    <col min="10" max="10" width="14.7109375" style="113" hidden="1" customWidth="1"/>
    <col min="11" max="11" width="4.28515625" style="310" hidden="1" customWidth="1"/>
    <col min="12" max="12" width="14.7109375" style="107" hidden="1" customWidth="1"/>
    <col min="13" max="13" width="14.7109375" style="294" hidden="1" customWidth="1"/>
    <col min="23" max="23" width="10.140625" customWidth="1"/>
  </cols>
  <sheetData>
    <row r="1" spans="1:39" ht="12.75">
      <c r="A1" s="1"/>
      <c r="B1" s="1"/>
      <c r="C1" s="1" t="s">
        <v>0</v>
      </c>
      <c r="D1" s="1"/>
      <c r="E1" s="155"/>
      <c r="F1" s="248"/>
      <c r="G1" s="205"/>
      <c r="H1" s="332"/>
      <c r="I1" s="2"/>
      <c r="J1" s="155"/>
      <c r="K1" s="301"/>
      <c r="L1" s="205"/>
      <c r="M1" s="288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39" ht="12.75">
      <c r="E2" s="228" t="s">
        <v>1</v>
      </c>
      <c r="F2" s="249"/>
      <c r="G2" s="206"/>
      <c r="H2" s="333"/>
      <c r="I2" s="272" t="s">
        <v>284</v>
      </c>
      <c r="J2" s="280" t="s">
        <v>1</v>
      </c>
      <c r="K2" s="302"/>
      <c r="L2" s="206"/>
      <c r="M2" s="289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39" ht="42" customHeight="1">
      <c r="A3" s="4"/>
      <c r="B3" s="4"/>
      <c r="C3" s="134" t="s">
        <v>2</v>
      </c>
      <c r="D3" s="146" t="s">
        <v>267</v>
      </c>
      <c r="E3" s="229" t="s">
        <v>3</v>
      </c>
      <c r="F3" s="250"/>
      <c r="G3" s="207" t="s">
        <v>286</v>
      </c>
      <c r="H3" s="334" t="s">
        <v>285</v>
      </c>
      <c r="I3" s="273" t="s">
        <v>4</v>
      </c>
      <c r="J3" s="281" t="s">
        <v>4</v>
      </c>
      <c r="K3" s="303"/>
      <c r="L3" s="331" t="s">
        <v>288</v>
      </c>
      <c r="M3" s="330" t="s">
        <v>287</v>
      </c>
      <c r="N3" s="134" t="s">
        <v>5</v>
      </c>
      <c r="O3" s="134">
        <f t="shared" ref="O3:W3" si="0">N3-1</f>
        <v>2023</v>
      </c>
      <c r="P3" s="134">
        <f t="shared" si="0"/>
        <v>2022</v>
      </c>
      <c r="Q3" s="134">
        <f t="shared" si="0"/>
        <v>2021</v>
      </c>
      <c r="R3" s="134">
        <f t="shared" si="0"/>
        <v>2020</v>
      </c>
      <c r="S3" s="134">
        <f t="shared" si="0"/>
        <v>2019</v>
      </c>
      <c r="T3" s="134">
        <f t="shared" si="0"/>
        <v>2018</v>
      </c>
      <c r="U3" s="134">
        <f t="shared" si="0"/>
        <v>2017</v>
      </c>
      <c r="V3" s="134">
        <f t="shared" si="0"/>
        <v>2016</v>
      </c>
      <c r="W3" s="134">
        <f t="shared" si="0"/>
        <v>2015</v>
      </c>
      <c r="X3" s="146" t="s">
        <v>267</v>
      </c>
      <c r="Y3" s="135" t="s">
        <v>253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39" ht="12.75">
      <c r="A4" s="1"/>
      <c r="B4" s="1"/>
      <c r="C4" s="1" t="s">
        <v>6</v>
      </c>
      <c r="D4" s="1"/>
      <c r="E4" s="155"/>
      <c r="F4" s="248"/>
      <c r="G4" s="205"/>
      <c r="H4" s="332"/>
      <c r="I4" s="274"/>
      <c r="J4" s="282"/>
      <c r="K4" s="301"/>
      <c r="L4" s="205"/>
      <c r="M4" s="290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39" ht="12.75">
      <c r="A5" s="1"/>
      <c r="B5" s="1"/>
      <c r="C5" s="1" t="s">
        <v>7</v>
      </c>
      <c r="D5" s="103">
        <f>+E5/E$9</f>
        <v>9.6802561245300251E-3</v>
      </c>
      <c r="E5" s="155">
        <v>579000</v>
      </c>
      <c r="F5" s="248"/>
      <c r="G5" s="208">
        <f>IFERROR(+H5/J5,0)</f>
        <v>-3.3924242424242426E-2</v>
      </c>
      <c r="H5" s="332">
        <f>+J5-I5</f>
        <v>-20151</v>
      </c>
      <c r="I5" s="274">
        <v>614151</v>
      </c>
      <c r="J5" s="282">
        <v>594000</v>
      </c>
      <c r="K5" s="301"/>
      <c r="L5" s="222">
        <f>IFERROR(+M5/O5,0)</f>
        <v>3.1902819226617564E-2</v>
      </c>
      <c r="M5" s="290">
        <f>+O5-N5</f>
        <v>24117</v>
      </c>
      <c r="N5" s="2">
        <v>731835</v>
      </c>
      <c r="O5" s="2">
        <v>755952</v>
      </c>
      <c r="P5" s="2">
        <v>582494</v>
      </c>
      <c r="Q5" s="2">
        <v>46991384</v>
      </c>
      <c r="R5" s="2">
        <v>41543182</v>
      </c>
      <c r="S5" s="2">
        <v>41248262</v>
      </c>
      <c r="T5" s="2">
        <f>39206004</f>
        <v>39206004</v>
      </c>
      <c r="U5" s="2">
        <v>37219831</v>
      </c>
      <c r="V5" s="2">
        <v>37355817</v>
      </c>
      <c r="W5" s="2">
        <v>36219518</v>
      </c>
      <c r="X5" s="103">
        <f>+W5/W$9</f>
        <v>0.71863652480053208</v>
      </c>
    </row>
    <row r="6" spans="1:39" ht="12.75">
      <c r="A6" s="1"/>
      <c r="B6" s="1"/>
      <c r="C6" s="1" t="s">
        <v>8</v>
      </c>
      <c r="D6" s="103">
        <f t="shared" ref="D6:D36" si="1">+E6/E$9</f>
        <v>0.99031974387546995</v>
      </c>
      <c r="E6" s="155">
        <f>+E10</f>
        <v>59233467</v>
      </c>
      <c r="F6" s="248"/>
      <c r="G6" s="208">
        <f>IFERROR(+H6/J6,0)</f>
        <v>3.9285227561617647E-2</v>
      </c>
      <c r="H6" s="332">
        <f t="shared" ref="H6:H7" si="2">+J6-I6</f>
        <v>2390274</v>
      </c>
      <c r="I6" s="274">
        <v>58453818</v>
      </c>
      <c r="J6" s="282">
        <v>60844092</v>
      </c>
      <c r="K6" s="301"/>
      <c r="L6" s="222">
        <f t="shared" ref="L6:L36" si="3">IFERROR(+M6/O6,0)</f>
        <v>-5.8679670123704987E-2</v>
      </c>
      <c r="M6" s="290">
        <f t="shared" ref="M6:M9" si="4">+O6-N6</f>
        <v>-3197619</v>
      </c>
      <c r="N6" s="2">
        <v>57690410</v>
      </c>
      <c r="O6" s="2">
        <v>54492791</v>
      </c>
      <c r="P6" s="2">
        <v>58888252</v>
      </c>
      <c r="Q6" s="2">
        <v>7930203</v>
      </c>
      <c r="R6" s="2">
        <v>11721372</v>
      </c>
      <c r="S6" s="2">
        <v>12798551</v>
      </c>
      <c r="T6" s="2">
        <v>13802093</v>
      </c>
      <c r="U6" s="2">
        <v>13456581</v>
      </c>
      <c r="V6" s="2">
        <v>13518543</v>
      </c>
      <c r="W6" s="2">
        <v>14118603</v>
      </c>
      <c r="X6" s="103">
        <f t="shared" ref="X6:X36" si="5">+W6/W$9</f>
        <v>0.28012917772562201</v>
      </c>
    </row>
    <row r="7" spans="1:39" ht="12.75">
      <c r="A7" s="1"/>
      <c r="B7" s="1"/>
      <c r="C7" s="1" t="s">
        <v>9</v>
      </c>
      <c r="D7" s="103">
        <f t="shared" si="1"/>
        <v>0</v>
      </c>
      <c r="E7" s="155"/>
      <c r="F7" s="248"/>
      <c r="G7" s="208">
        <f>IFERROR(+H7/J7,0)</f>
        <v>0</v>
      </c>
      <c r="H7" s="332">
        <f t="shared" si="2"/>
        <v>0</v>
      </c>
      <c r="I7" s="274"/>
      <c r="J7" s="282"/>
      <c r="K7" s="301"/>
      <c r="L7" s="222">
        <f t="shared" si="3"/>
        <v>0</v>
      </c>
      <c r="M7" s="290">
        <f t="shared" si="4"/>
        <v>0</v>
      </c>
      <c r="N7" s="2"/>
      <c r="O7" s="2"/>
      <c r="P7" s="2"/>
      <c r="Q7" s="2"/>
      <c r="R7" s="2">
        <v>20416</v>
      </c>
      <c r="S7" s="2">
        <v>0</v>
      </c>
      <c r="T7" s="2">
        <v>0</v>
      </c>
      <c r="U7" s="2">
        <v>29015</v>
      </c>
      <c r="V7" s="2">
        <v>43384</v>
      </c>
      <c r="W7" s="2">
        <v>52644</v>
      </c>
      <c r="X7" s="103">
        <f t="shared" si="5"/>
        <v>1.0445169704245984E-3</v>
      </c>
    </row>
    <row r="8" spans="1:39" ht="12.75">
      <c r="A8" s="1"/>
      <c r="B8" s="1"/>
      <c r="C8" s="1" t="s">
        <v>10</v>
      </c>
      <c r="D8" s="147">
        <f t="shared" si="1"/>
        <v>0</v>
      </c>
      <c r="E8" s="155"/>
      <c r="F8" s="251"/>
      <c r="G8" s="209"/>
      <c r="H8" s="335"/>
      <c r="I8" s="274">
        <f>18515+1089</f>
        <v>19604</v>
      </c>
      <c r="J8" s="282"/>
      <c r="K8" s="304"/>
      <c r="L8" s="327">
        <f t="shared" si="3"/>
        <v>1.479408436620089</v>
      </c>
      <c r="M8" s="291">
        <f t="shared" si="4"/>
        <v>56219</v>
      </c>
      <c r="N8" s="5">
        <f>-21657+3439</f>
        <v>-18218</v>
      </c>
      <c r="O8" s="5">
        <f>18915+19086</f>
        <v>38001</v>
      </c>
      <c r="P8" s="5">
        <f>-9089+32870</f>
        <v>23781</v>
      </c>
      <c r="Q8" s="5">
        <f>30916+59646</f>
        <v>90562</v>
      </c>
      <c r="R8" s="5">
        <f>-9402+25210</f>
        <v>15808</v>
      </c>
      <c r="S8" s="5">
        <f>6012+5391</f>
        <v>11403</v>
      </c>
      <c r="T8" s="5">
        <f>1767+16502</f>
        <v>18269</v>
      </c>
      <c r="U8" s="5">
        <v>23475</v>
      </c>
      <c r="V8" s="5">
        <f>-9663+9004</f>
        <v>-659</v>
      </c>
      <c r="W8" s="5">
        <v>9565</v>
      </c>
      <c r="X8" s="147">
        <f t="shared" si="5"/>
        <v>1.8978050342130696E-4</v>
      </c>
      <c r="Y8" s="105"/>
    </row>
    <row r="9" spans="1:39" ht="14.25">
      <c r="A9" s="1"/>
      <c r="B9" s="1"/>
      <c r="C9" s="1" t="s">
        <v>11</v>
      </c>
      <c r="D9" s="103">
        <f t="shared" si="1"/>
        <v>1</v>
      </c>
      <c r="E9" s="363">
        <f t="shared" ref="E9:W9" si="6">SUM(E4:E8)</f>
        <v>59812467</v>
      </c>
      <c r="F9" s="248"/>
      <c r="G9" s="208">
        <f>IFERROR(+H9/J9,0)</f>
        <v>3.8258333282876041E-2</v>
      </c>
      <c r="H9" s="332">
        <f>+J9-I9</f>
        <v>2350519</v>
      </c>
      <c r="I9" s="361">
        <f t="shared" si="6"/>
        <v>59087573</v>
      </c>
      <c r="J9" s="362">
        <f t="shared" si="6"/>
        <v>61438092</v>
      </c>
      <c r="K9" s="301"/>
      <c r="L9" s="222">
        <f t="shared" si="3"/>
        <v>-5.6383913655685708E-2</v>
      </c>
      <c r="M9" s="290">
        <f t="shared" si="4"/>
        <v>-3117283</v>
      </c>
      <c r="N9" s="2">
        <f t="shared" si="6"/>
        <v>58404027</v>
      </c>
      <c r="O9" s="2">
        <f t="shared" si="6"/>
        <v>55286744</v>
      </c>
      <c r="P9" s="2">
        <f t="shared" si="6"/>
        <v>59494527</v>
      </c>
      <c r="Q9" s="2">
        <f t="shared" si="6"/>
        <v>55012149</v>
      </c>
      <c r="R9" s="2">
        <f t="shared" si="6"/>
        <v>53300778</v>
      </c>
      <c r="S9" s="2">
        <f t="shared" si="6"/>
        <v>54058216</v>
      </c>
      <c r="T9" s="2">
        <f t="shared" si="6"/>
        <v>53026366</v>
      </c>
      <c r="U9" s="2">
        <f t="shared" si="6"/>
        <v>50728902</v>
      </c>
      <c r="V9" s="2">
        <f t="shared" si="6"/>
        <v>50917085</v>
      </c>
      <c r="W9" s="2">
        <f t="shared" si="6"/>
        <v>50400330</v>
      </c>
      <c r="X9" s="103">
        <f t="shared" si="5"/>
        <v>1</v>
      </c>
      <c r="Y9" s="131">
        <f>IFERROR(+E9/W9-1,0)</f>
        <v>0.18674752724833343</v>
      </c>
    </row>
    <row r="10" spans="1:39" ht="12.75">
      <c r="C10" s="230">
        <f>+E9-I9</f>
        <v>724894</v>
      </c>
      <c r="D10" s="103">
        <f>+C10/I9</f>
        <v>1.2268129543922882E-2</v>
      </c>
      <c r="E10" s="113">
        <f>3977265+5428400+49827802</f>
        <v>59233467</v>
      </c>
      <c r="F10" s="252"/>
      <c r="G10" s="210">
        <f>+E9-E10</f>
        <v>579000</v>
      </c>
      <c r="H10" s="364">
        <f>+I9/N9-1</f>
        <v>1.1703747756982574E-2</v>
      </c>
      <c r="I10" s="276"/>
      <c r="J10" s="282"/>
      <c r="K10" s="301"/>
      <c r="L10" s="222"/>
      <c r="M10" s="290"/>
      <c r="N10" s="2"/>
      <c r="O10" s="2"/>
      <c r="P10" s="2"/>
      <c r="Q10" s="2"/>
      <c r="R10" s="2"/>
      <c r="S10" s="2"/>
      <c r="T10" s="2"/>
      <c r="U10" s="2"/>
      <c r="V10" s="2"/>
      <c r="W10" s="2"/>
      <c r="X10" s="103"/>
    </row>
    <row r="11" spans="1:39" ht="12.75">
      <c r="A11" s="1"/>
      <c r="B11" s="1"/>
      <c r="C11" s="1" t="s">
        <v>12</v>
      </c>
      <c r="D11" s="103"/>
      <c r="E11" s="155"/>
      <c r="F11" s="248"/>
      <c r="G11" s="205"/>
      <c r="H11" s="332"/>
      <c r="I11" s="274"/>
      <c r="J11" s="282"/>
      <c r="K11" s="301"/>
      <c r="L11" s="222"/>
      <c r="M11" s="290"/>
      <c r="N11" s="2"/>
      <c r="O11" s="2"/>
      <c r="P11" s="2"/>
      <c r="Q11" s="2"/>
      <c r="R11" s="2"/>
      <c r="S11" s="2"/>
      <c r="T11" s="2"/>
      <c r="U11" s="2"/>
      <c r="V11" s="2"/>
      <c r="W11" s="2"/>
      <c r="X11" s="103"/>
    </row>
    <row r="12" spans="1:39" ht="12.75">
      <c r="A12" s="1">
        <v>100</v>
      </c>
      <c r="B12" s="1">
        <v>1000</v>
      </c>
      <c r="C12" s="1" t="s">
        <v>13</v>
      </c>
      <c r="D12" s="103">
        <f t="shared" si="1"/>
        <v>0.43050504838732034</v>
      </c>
      <c r="E12" s="155">
        <v>25749569</v>
      </c>
      <c r="F12" s="248"/>
      <c r="G12" s="208">
        <f t="shared" ref="G12:G29" si="7">IFERROR(+H12/J12,0)</f>
        <v>-2.5072590803869661E-2</v>
      </c>
      <c r="H12" s="332">
        <f t="shared" ref="H12:H29" si="8">+J12-I12</f>
        <v>-638180</v>
      </c>
      <c r="I12" s="274">
        <v>26091473</v>
      </c>
      <c r="J12" s="282">
        <v>25453293</v>
      </c>
      <c r="K12" s="301"/>
      <c r="L12" s="222">
        <f t="shared" si="3"/>
        <v>-0.11106351857565454</v>
      </c>
      <c r="M12" s="290">
        <f t="shared" ref="M12:M36" si="9">+O12-N12</f>
        <v>-2635709</v>
      </c>
      <c r="N12" s="2">
        <v>26367255</v>
      </c>
      <c r="O12" s="2">
        <v>23731546</v>
      </c>
      <c r="P12" s="2">
        <v>24043897</v>
      </c>
      <c r="Q12" s="2">
        <v>23770863</v>
      </c>
      <c r="R12" s="2">
        <v>23940497</v>
      </c>
      <c r="S12" s="2">
        <v>23181589</v>
      </c>
      <c r="T12" s="2">
        <v>23223660</v>
      </c>
      <c r="U12" s="2">
        <v>22003433</v>
      </c>
      <c r="V12" s="2">
        <v>22298368</v>
      </c>
      <c r="W12" s="2">
        <v>21832519</v>
      </c>
      <c r="X12" s="103">
        <f t="shared" si="5"/>
        <v>0.43318206448251428</v>
      </c>
      <c r="Y12" s="103">
        <f>IFERROR(+E12/W12-1,0)</f>
        <v>0.17941356194399738</v>
      </c>
      <c r="Z12" s="110"/>
    </row>
    <row r="13" spans="1:39" ht="12.75">
      <c r="A13" s="1">
        <v>200</v>
      </c>
      <c r="B13" s="1">
        <v>1000</v>
      </c>
      <c r="C13" s="1" t="s">
        <v>14</v>
      </c>
      <c r="D13" s="103">
        <f t="shared" si="1"/>
        <v>0</v>
      </c>
      <c r="E13" s="155"/>
      <c r="F13" s="248"/>
      <c r="G13" s="208">
        <f t="shared" si="7"/>
        <v>0</v>
      </c>
      <c r="H13" s="332">
        <f t="shared" si="8"/>
        <v>0</v>
      </c>
      <c r="I13" s="274">
        <v>0</v>
      </c>
      <c r="J13" s="282">
        <v>0</v>
      </c>
      <c r="K13" s="301"/>
      <c r="L13" s="222">
        <f t="shared" si="3"/>
        <v>0</v>
      </c>
      <c r="M13" s="290">
        <f t="shared" si="9"/>
        <v>0</v>
      </c>
      <c r="N13" s="2">
        <v>0</v>
      </c>
      <c r="O13" s="2">
        <v>0</v>
      </c>
      <c r="P13" s="2">
        <v>3610338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X13" s="103">
        <f t="shared" si="5"/>
        <v>0</v>
      </c>
      <c r="Y13" s="103"/>
    </row>
    <row r="14" spans="1:39" ht="12.75">
      <c r="A14" s="1">
        <v>300</v>
      </c>
      <c r="B14" s="1">
        <v>1000</v>
      </c>
      <c r="C14" s="1" t="s">
        <v>15</v>
      </c>
      <c r="D14" s="103">
        <f t="shared" si="1"/>
        <v>1.5018591358219684E-2</v>
      </c>
      <c r="E14" s="155">
        <v>898299</v>
      </c>
      <c r="F14" s="248"/>
      <c r="G14" s="208">
        <f t="shared" si="7"/>
        <v>-3.8390420652649401E-2</v>
      </c>
      <c r="H14" s="332">
        <f t="shared" si="8"/>
        <v>-31330</v>
      </c>
      <c r="I14" s="274">
        <v>847419</v>
      </c>
      <c r="J14" s="282">
        <v>816089</v>
      </c>
      <c r="K14" s="301"/>
      <c r="L14" s="222">
        <f t="shared" si="3"/>
        <v>-0.18857922069340446</v>
      </c>
      <c r="M14" s="290">
        <f t="shared" si="9"/>
        <v>-125570</v>
      </c>
      <c r="N14" s="2">
        <v>791444</v>
      </c>
      <c r="O14" s="2">
        <v>665874</v>
      </c>
      <c r="P14" s="2">
        <v>680474</v>
      </c>
      <c r="Q14" s="2">
        <v>848351</v>
      </c>
      <c r="R14" s="2">
        <v>813805</v>
      </c>
      <c r="S14" s="2">
        <v>817917</v>
      </c>
      <c r="T14" s="2">
        <v>843819</v>
      </c>
      <c r="U14" s="2">
        <v>843983</v>
      </c>
      <c r="V14" s="2">
        <v>890201</v>
      </c>
      <c r="W14" s="2">
        <v>697563</v>
      </c>
      <c r="X14" s="103">
        <f t="shared" si="5"/>
        <v>1.3840445092323799E-2</v>
      </c>
      <c r="Y14" s="103">
        <f>IFERROR(+E14/W14-1,0)</f>
        <v>0.28776755647876961</v>
      </c>
    </row>
    <row r="15" spans="1:39" ht="12.75">
      <c r="A15" s="1">
        <v>600</v>
      </c>
      <c r="B15" s="1">
        <v>1000</v>
      </c>
      <c r="C15" s="1" t="s">
        <v>16</v>
      </c>
      <c r="D15" s="103">
        <f t="shared" si="1"/>
        <v>0</v>
      </c>
      <c r="E15" s="155"/>
      <c r="F15" s="248"/>
      <c r="G15" s="208">
        <f t="shared" si="7"/>
        <v>0</v>
      </c>
      <c r="H15" s="332">
        <f t="shared" si="8"/>
        <v>0</v>
      </c>
      <c r="I15" s="274">
        <v>0</v>
      </c>
      <c r="J15" s="282">
        <v>0</v>
      </c>
      <c r="K15" s="301"/>
      <c r="L15" s="222">
        <f t="shared" si="3"/>
        <v>0</v>
      </c>
      <c r="M15" s="290">
        <f t="shared" si="9"/>
        <v>0</v>
      </c>
      <c r="N15" s="2"/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X15" s="103">
        <f t="shared" si="5"/>
        <v>0</v>
      </c>
      <c r="Y15" s="103"/>
    </row>
    <row r="16" spans="1:39" ht="12.75">
      <c r="A16" s="1">
        <v>900</v>
      </c>
      <c r="B16" s="1">
        <v>1000</v>
      </c>
      <c r="C16" s="1" t="s">
        <v>17</v>
      </c>
      <c r="D16" s="103">
        <f t="shared" si="1"/>
        <v>1.0902626704897493E-2</v>
      </c>
      <c r="E16" s="155">
        <f>194902+457211</f>
        <v>652113</v>
      </c>
      <c r="F16" s="248"/>
      <c r="G16" s="208">
        <f t="shared" si="7"/>
        <v>-7.6749512257188901E-2</v>
      </c>
      <c r="H16" s="332">
        <f t="shared" si="8"/>
        <v>-49764</v>
      </c>
      <c r="I16" s="274">
        <v>698159</v>
      </c>
      <c r="J16" s="282">
        <f>202152+446243</f>
        <v>648395</v>
      </c>
      <c r="K16" s="301"/>
      <c r="L16" s="222">
        <f t="shared" si="3"/>
        <v>-0.10935508845010208</v>
      </c>
      <c r="M16" s="290">
        <f t="shared" si="9"/>
        <v>-63845</v>
      </c>
      <c r="N16" s="2">
        <v>647677</v>
      </c>
      <c r="O16" s="2">
        <v>583832</v>
      </c>
      <c r="P16" s="2">
        <v>540868</v>
      </c>
      <c r="Q16" s="2">
        <v>433684</v>
      </c>
      <c r="R16" s="2">
        <v>528054</v>
      </c>
      <c r="S16" s="2">
        <f>153393+350139</f>
        <v>503532</v>
      </c>
      <c r="T16" s="2">
        <v>529309</v>
      </c>
      <c r="U16" s="2">
        <v>504412</v>
      </c>
      <c r="V16" s="2">
        <v>499105</v>
      </c>
      <c r="W16" s="2">
        <v>494989</v>
      </c>
      <c r="X16" s="103">
        <f t="shared" si="5"/>
        <v>9.8211460123376181E-3</v>
      </c>
      <c r="Y16" s="103">
        <f>IFERROR(+E16/W16-1,0)</f>
        <v>0.31742927620613792</v>
      </c>
    </row>
    <row r="17" spans="1:25" ht="12.75">
      <c r="A17" s="1">
        <v>400</v>
      </c>
      <c r="B17" s="1">
        <v>1000</v>
      </c>
      <c r="C17" s="1" t="s">
        <v>18</v>
      </c>
      <c r="D17" s="103">
        <f t="shared" si="1"/>
        <v>2.5017811086106848E-2</v>
      </c>
      <c r="E17" s="155">
        <f>1381162+115215</f>
        <v>1496377</v>
      </c>
      <c r="F17" s="248"/>
      <c r="G17" s="208">
        <f t="shared" si="7"/>
        <v>-0.12815908471806048</v>
      </c>
      <c r="H17" s="332">
        <f t="shared" si="8"/>
        <v>-176427</v>
      </c>
      <c r="I17" s="274">
        <v>1553052</v>
      </c>
      <c r="J17" s="282">
        <f>1241910+134715</f>
        <v>1376625</v>
      </c>
      <c r="K17" s="301"/>
      <c r="L17" s="222">
        <f t="shared" si="3"/>
        <v>0.22161204541491486</v>
      </c>
      <c r="M17" s="290">
        <f t="shared" si="9"/>
        <v>366018</v>
      </c>
      <c r="N17" s="2">
        <v>1285598</v>
      </c>
      <c r="O17" s="2">
        <v>1651616</v>
      </c>
      <c r="P17" s="2">
        <v>1559521</v>
      </c>
      <c r="Q17" s="2">
        <v>1796188</v>
      </c>
      <c r="R17" s="2">
        <v>1740005</v>
      </c>
      <c r="S17" s="2">
        <v>1678720</v>
      </c>
      <c r="T17" s="2">
        <v>1639952</v>
      </c>
      <c r="U17" s="2">
        <v>1621300</v>
      </c>
      <c r="V17" s="2">
        <v>1614534</v>
      </c>
      <c r="W17" s="2">
        <v>1555271</v>
      </c>
      <c r="X17" s="103">
        <f t="shared" si="5"/>
        <v>3.0858349538584372E-2</v>
      </c>
      <c r="Y17" s="103">
        <f>IFERROR(+E17/W17-1,0)</f>
        <v>-3.7867355592690943E-2</v>
      </c>
    </row>
    <row r="18" spans="1:25" ht="12.75">
      <c r="A18" s="1"/>
      <c r="B18" s="1">
        <v>3000</v>
      </c>
      <c r="C18" s="1" t="s">
        <v>19</v>
      </c>
      <c r="D18" s="103">
        <f t="shared" si="1"/>
        <v>0</v>
      </c>
      <c r="E18" s="155"/>
      <c r="F18" s="248"/>
      <c r="G18" s="208">
        <f t="shared" si="7"/>
        <v>0</v>
      </c>
      <c r="H18" s="332">
        <f t="shared" si="8"/>
        <v>0</v>
      </c>
      <c r="I18" s="274">
        <v>0</v>
      </c>
      <c r="J18" s="282"/>
      <c r="K18" s="301"/>
      <c r="L18" s="222">
        <f t="shared" si="3"/>
        <v>0</v>
      </c>
      <c r="M18" s="290">
        <f t="shared" si="9"/>
        <v>0</v>
      </c>
      <c r="N18" s="2"/>
      <c r="O18" s="2"/>
      <c r="P18" s="2"/>
      <c r="Q18" s="2"/>
      <c r="R18" s="2"/>
      <c r="S18" s="2"/>
      <c r="T18" s="2"/>
      <c r="U18" s="2"/>
      <c r="X18" s="103">
        <f t="shared" si="5"/>
        <v>0</v>
      </c>
      <c r="Y18" s="103"/>
    </row>
    <row r="19" spans="1:25" ht="12.75">
      <c r="A19" s="1"/>
      <c r="B19" s="1">
        <v>2100</v>
      </c>
      <c r="C19" s="1" t="s">
        <v>20</v>
      </c>
      <c r="D19" s="103">
        <f t="shared" si="1"/>
        <v>6.8232831794080656E-2</v>
      </c>
      <c r="E19" s="155">
        <v>4081174</v>
      </c>
      <c r="F19" s="248"/>
      <c r="G19" s="208">
        <f t="shared" si="7"/>
        <v>-9.1241063438710954E-2</v>
      </c>
      <c r="H19" s="332">
        <f t="shared" si="8"/>
        <v>-358698</v>
      </c>
      <c r="I19" s="274">
        <v>4290020</v>
      </c>
      <c r="J19" s="282">
        <v>3931322</v>
      </c>
      <c r="K19" s="301"/>
      <c r="L19" s="222">
        <f t="shared" si="3"/>
        <v>-0.25419582208888158</v>
      </c>
      <c r="M19" s="290">
        <f t="shared" si="9"/>
        <v>-824566</v>
      </c>
      <c r="N19" s="2">
        <v>4068388</v>
      </c>
      <c r="O19" s="2">
        <v>3243822</v>
      </c>
      <c r="P19" s="2">
        <v>2938044</v>
      </c>
      <c r="Q19" s="2">
        <v>2713693</v>
      </c>
      <c r="R19" s="2">
        <v>2650416</v>
      </c>
      <c r="S19" s="2">
        <v>2552319</v>
      </c>
      <c r="T19" s="2">
        <v>2515678</v>
      </c>
      <c r="U19" s="2">
        <v>2425889</v>
      </c>
      <c r="V19" s="2">
        <v>2411128</v>
      </c>
      <c r="W19" s="2">
        <v>2353463</v>
      </c>
      <c r="X19" s="103">
        <f t="shared" si="5"/>
        <v>4.6695388700827949E-2</v>
      </c>
      <c r="Y19" s="103">
        <f t="shared" ref="Y19:Y26" si="10">IFERROR(+E19/W19-1,0)</f>
        <v>0.73411436678630593</v>
      </c>
    </row>
    <row r="20" spans="1:25" ht="12.75">
      <c r="B20" s="1">
        <v>2200</v>
      </c>
      <c r="C20" s="1" t="s">
        <v>21</v>
      </c>
      <c r="D20" s="103">
        <f t="shared" si="1"/>
        <v>2.4620268547023816E-2</v>
      </c>
      <c r="E20" s="155">
        <v>1472599</v>
      </c>
      <c r="F20" s="248"/>
      <c r="G20" s="208">
        <f t="shared" si="7"/>
        <v>2.6037176136237609E-3</v>
      </c>
      <c r="H20" s="332">
        <f t="shared" si="8"/>
        <v>3639</v>
      </c>
      <c r="I20" s="274">
        <v>1393978</v>
      </c>
      <c r="J20" s="282">
        <v>1397617</v>
      </c>
      <c r="K20" s="301"/>
      <c r="L20" s="222">
        <f t="shared" si="3"/>
        <v>-8.2196042330477712E-2</v>
      </c>
      <c r="M20" s="290">
        <f t="shared" si="9"/>
        <v>-103574</v>
      </c>
      <c r="N20" s="2">
        <v>1363659</v>
      </c>
      <c r="O20" s="2">
        <v>1260085</v>
      </c>
      <c r="P20" s="2">
        <v>1151545</v>
      </c>
      <c r="Q20" s="2">
        <v>1218660</v>
      </c>
      <c r="R20" s="2">
        <v>1195312</v>
      </c>
      <c r="S20" s="2">
        <v>1222032</v>
      </c>
      <c r="T20" s="2">
        <v>1186674</v>
      </c>
      <c r="U20" s="2">
        <v>1110507</v>
      </c>
      <c r="V20" s="2">
        <v>1083057</v>
      </c>
      <c r="W20" s="2">
        <v>1170410</v>
      </c>
      <c r="X20" s="103">
        <f t="shared" si="5"/>
        <v>2.3222268584352522E-2</v>
      </c>
      <c r="Y20" s="103">
        <f t="shared" si="10"/>
        <v>0.25819071949146033</v>
      </c>
    </row>
    <row r="21" spans="1:25" ht="12.75">
      <c r="B21" s="1">
        <v>2300</v>
      </c>
      <c r="C21" s="1" t="s">
        <v>22</v>
      </c>
      <c r="D21" s="103">
        <f t="shared" si="1"/>
        <v>1.846200391634072E-2</v>
      </c>
      <c r="E21" s="155">
        <v>1104258</v>
      </c>
      <c r="F21" s="248"/>
      <c r="G21" s="208">
        <f t="shared" si="7"/>
        <v>3.5871781047222176E-2</v>
      </c>
      <c r="H21" s="332">
        <f t="shared" si="8"/>
        <v>43446</v>
      </c>
      <c r="I21" s="274">
        <v>1167701</v>
      </c>
      <c r="J21" s="282">
        <v>1211147</v>
      </c>
      <c r="K21" s="301"/>
      <c r="L21" s="222">
        <f t="shared" si="3"/>
        <v>-0.42210576578443176</v>
      </c>
      <c r="M21" s="290">
        <f t="shared" si="9"/>
        <v>-354484</v>
      </c>
      <c r="N21" s="2">
        <v>1194283</v>
      </c>
      <c r="O21" s="2">
        <v>839799</v>
      </c>
      <c r="P21" s="2">
        <v>559549</v>
      </c>
      <c r="Q21" s="2">
        <v>520113</v>
      </c>
      <c r="R21" s="2">
        <v>540943</v>
      </c>
      <c r="S21" s="2">
        <v>494028</v>
      </c>
      <c r="T21" s="2">
        <v>620788</v>
      </c>
      <c r="U21" s="2">
        <v>508548</v>
      </c>
      <c r="V21" s="2">
        <v>564339</v>
      </c>
      <c r="W21" s="2">
        <v>601407</v>
      </c>
      <c r="X21" s="103">
        <f t="shared" si="5"/>
        <v>1.1932600441306635E-2</v>
      </c>
      <c r="Y21" s="103">
        <f t="shared" si="10"/>
        <v>0.83612428854336573</v>
      </c>
    </row>
    <row r="22" spans="1:25" ht="12.75">
      <c r="B22" s="1">
        <v>2400</v>
      </c>
      <c r="C22" s="1" t="s">
        <v>23</v>
      </c>
      <c r="D22" s="103">
        <f t="shared" si="1"/>
        <v>9.6674795239594449E-2</v>
      </c>
      <c r="E22" s="155">
        <v>5782358</v>
      </c>
      <c r="F22" s="248"/>
      <c r="G22" s="208">
        <f t="shared" si="7"/>
        <v>-2.6282903026996752E-2</v>
      </c>
      <c r="H22" s="332">
        <f t="shared" si="8"/>
        <v>-146317</v>
      </c>
      <c r="I22" s="274">
        <v>5713320</v>
      </c>
      <c r="J22" s="282">
        <v>5567003</v>
      </c>
      <c r="K22" s="301"/>
      <c r="L22" s="222">
        <f t="shared" si="3"/>
        <v>-0.18149643647685534</v>
      </c>
      <c r="M22" s="290">
        <f t="shared" si="9"/>
        <v>-850611</v>
      </c>
      <c r="N22" s="2">
        <v>5537265</v>
      </c>
      <c r="O22" s="2">
        <v>4686654</v>
      </c>
      <c r="P22" s="2">
        <v>4702143</v>
      </c>
      <c r="Q22" s="2">
        <v>4571372</v>
      </c>
      <c r="R22" s="2">
        <v>4640348</v>
      </c>
      <c r="S22" s="2">
        <v>4629819</v>
      </c>
      <c r="T22" s="2">
        <v>4532689</v>
      </c>
      <c r="U22" s="2">
        <v>4460265</v>
      </c>
      <c r="V22" s="2">
        <v>4390233</v>
      </c>
      <c r="W22" s="2">
        <v>4224923</v>
      </c>
      <c r="X22" s="103">
        <f t="shared" si="5"/>
        <v>8.382728843243685E-2</v>
      </c>
      <c r="Y22" s="103">
        <f t="shared" si="10"/>
        <v>0.36863038687332295</v>
      </c>
    </row>
    <row r="23" spans="1:25" ht="12.75">
      <c r="B23" s="1">
        <v>2500</v>
      </c>
      <c r="C23" s="1" t="s">
        <v>24</v>
      </c>
      <c r="D23" s="103">
        <f t="shared" si="1"/>
        <v>4.431303594282443E-2</v>
      </c>
      <c r="E23" s="155">
        <v>2650472</v>
      </c>
      <c r="F23" s="248"/>
      <c r="G23" s="208">
        <f t="shared" si="7"/>
        <v>5.2935075785129619E-2</v>
      </c>
      <c r="H23" s="332">
        <f t="shared" si="8"/>
        <v>146997</v>
      </c>
      <c r="I23" s="274">
        <v>2629933</v>
      </c>
      <c r="J23" s="282">
        <v>2776930</v>
      </c>
      <c r="K23" s="301"/>
      <c r="L23" s="222">
        <f t="shared" si="3"/>
        <v>-0.10445764569377855</v>
      </c>
      <c r="M23" s="290">
        <f t="shared" si="9"/>
        <v>-220747</v>
      </c>
      <c r="N23" s="2">
        <v>2334015</v>
      </c>
      <c r="O23" s="2">
        <v>2113268</v>
      </c>
      <c r="P23" s="2">
        <v>2219839</v>
      </c>
      <c r="Q23" s="2">
        <v>1957897</v>
      </c>
      <c r="R23" s="2">
        <v>1908362</v>
      </c>
      <c r="S23" s="2">
        <v>1959263</v>
      </c>
      <c r="T23" s="2">
        <v>1858376</v>
      </c>
      <c r="U23" s="2">
        <v>2037145</v>
      </c>
      <c r="V23" s="2">
        <v>2000349</v>
      </c>
      <c r="W23" s="2">
        <v>1842395</v>
      </c>
      <c r="X23" s="103">
        <f t="shared" si="5"/>
        <v>3.6555216999571233E-2</v>
      </c>
      <c r="Y23" s="103">
        <f t="shared" si="10"/>
        <v>0.43860138569633556</v>
      </c>
    </row>
    <row r="24" spans="1:25" ht="12.75">
      <c r="B24" s="1">
        <v>2600</v>
      </c>
      <c r="C24" s="1" t="s">
        <v>25</v>
      </c>
      <c r="D24" s="103">
        <f t="shared" si="1"/>
        <v>0.15414767961334883</v>
      </c>
      <c r="E24" s="155">
        <v>9219953</v>
      </c>
      <c r="F24" s="248"/>
      <c r="G24" s="208">
        <f t="shared" si="7"/>
        <v>5.1037798737866465E-2</v>
      </c>
      <c r="H24" s="332">
        <f t="shared" si="8"/>
        <v>461362</v>
      </c>
      <c r="I24" s="274">
        <v>8578252</v>
      </c>
      <c r="J24" s="282">
        <v>9039614</v>
      </c>
      <c r="K24" s="301"/>
      <c r="L24" s="222">
        <f t="shared" si="3"/>
        <v>-0.13297967344252196</v>
      </c>
      <c r="M24" s="290">
        <f t="shared" si="9"/>
        <v>-1055009</v>
      </c>
      <c r="N24" s="2">
        <v>8988620</v>
      </c>
      <c r="O24" s="2">
        <v>7933611</v>
      </c>
      <c r="P24" s="2">
        <v>7404702</v>
      </c>
      <c r="Q24" s="2">
        <v>7096878</v>
      </c>
      <c r="R24" s="2">
        <v>7277101</v>
      </c>
      <c r="S24" s="2">
        <v>6967627</v>
      </c>
      <c r="T24" s="2">
        <v>6903401</v>
      </c>
      <c r="U24" s="2">
        <v>6514568</v>
      </c>
      <c r="V24" s="2">
        <v>6913432</v>
      </c>
      <c r="W24" s="2">
        <v>6591666</v>
      </c>
      <c r="X24" s="103">
        <f t="shared" si="5"/>
        <v>0.1307861674715225</v>
      </c>
      <c r="Y24" s="103">
        <f t="shared" si="10"/>
        <v>0.39872878874627449</v>
      </c>
    </row>
    <row r="25" spans="1:25" ht="12.75">
      <c r="B25" s="1">
        <v>2700</v>
      </c>
      <c r="C25" s="1" t="s">
        <v>26</v>
      </c>
      <c r="D25" s="103">
        <f t="shared" si="1"/>
        <v>7.4825704815017907E-2</v>
      </c>
      <c r="E25" s="155">
        <v>4475510</v>
      </c>
      <c r="F25" s="248"/>
      <c r="G25" s="208">
        <f t="shared" si="7"/>
        <v>0.12295565461982561</v>
      </c>
      <c r="H25" s="332">
        <f t="shared" si="8"/>
        <v>572814</v>
      </c>
      <c r="I25" s="274">
        <v>4085890</v>
      </c>
      <c r="J25" s="282">
        <v>4658704</v>
      </c>
      <c r="K25" s="301"/>
      <c r="L25" s="222">
        <f t="shared" si="3"/>
        <v>-0.40575789591346623</v>
      </c>
      <c r="M25" s="290">
        <f t="shared" si="9"/>
        <v>-1317687</v>
      </c>
      <c r="N25" s="2">
        <v>4565158</v>
      </c>
      <c r="O25" s="2">
        <v>3247471</v>
      </c>
      <c r="P25" s="2">
        <v>3835158</v>
      </c>
      <c r="Q25" s="2">
        <v>3557877</v>
      </c>
      <c r="R25" s="2">
        <v>3465564</v>
      </c>
      <c r="S25" s="2">
        <v>3454141</v>
      </c>
      <c r="T25" s="2">
        <v>3298899</v>
      </c>
      <c r="U25" s="2">
        <v>3147481</v>
      </c>
      <c r="V25" s="2">
        <v>3217340</v>
      </c>
      <c r="W25" s="2">
        <v>3301776</v>
      </c>
      <c r="X25" s="103">
        <f t="shared" si="5"/>
        <v>6.5510999630359557E-2</v>
      </c>
      <c r="Y25" s="103">
        <f t="shared" si="10"/>
        <v>0.35548565378148012</v>
      </c>
    </row>
    <row r="26" spans="1:25" ht="12.75">
      <c r="B26" s="1">
        <v>2900</v>
      </c>
      <c r="C26" s="1" t="s">
        <v>27</v>
      </c>
      <c r="D26" s="103">
        <f t="shared" si="1"/>
        <v>4.8752377995042407E-3</v>
      </c>
      <c r="E26" s="155">
        <v>291600</v>
      </c>
      <c r="F26" s="248"/>
      <c r="G26" s="208">
        <f t="shared" si="7"/>
        <v>0.52753655857891379</v>
      </c>
      <c r="H26" s="332">
        <f t="shared" si="8"/>
        <v>201261</v>
      </c>
      <c r="I26" s="274">
        <v>180250</v>
      </c>
      <c r="J26" s="282">
        <v>381511</v>
      </c>
      <c r="K26" s="301"/>
      <c r="L26" s="222">
        <f t="shared" si="3"/>
        <v>-2.1049055138493398E-2</v>
      </c>
      <c r="M26" s="290">
        <f t="shared" si="9"/>
        <v>-5204</v>
      </c>
      <c r="N26" s="2">
        <v>252436</v>
      </c>
      <c r="O26" s="2">
        <v>247232</v>
      </c>
      <c r="P26" s="2">
        <v>913250</v>
      </c>
      <c r="Q26" s="2">
        <v>112329</v>
      </c>
      <c r="R26" s="2">
        <v>147378</v>
      </c>
      <c r="S26" s="2">
        <v>167651</v>
      </c>
      <c r="T26" s="2">
        <v>152659</v>
      </c>
      <c r="U26" s="2">
        <v>141343</v>
      </c>
      <c r="V26" s="2">
        <v>83439</v>
      </c>
      <c r="W26" s="2">
        <v>51960</v>
      </c>
      <c r="X26" s="103">
        <f t="shared" si="5"/>
        <v>1.0309456307131322E-3</v>
      </c>
      <c r="Y26" s="103">
        <f t="shared" si="10"/>
        <v>4.6120092378752888</v>
      </c>
    </row>
    <row r="27" spans="1:25" ht="14.25">
      <c r="B27" s="1">
        <v>4000</v>
      </c>
      <c r="C27" s="1" t="s">
        <v>28</v>
      </c>
      <c r="D27" s="103">
        <f t="shared" si="1"/>
        <v>7.7241421926301755E-3</v>
      </c>
      <c r="E27" s="231">
        <f>122000+340000</f>
        <v>462000</v>
      </c>
      <c r="F27" s="253"/>
      <c r="G27" s="208">
        <f t="shared" si="7"/>
        <v>0.20466244725738397</v>
      </c>
      <c r="H27" s="332">
        <f t="shared" si="8"/>
        <v>97010</v>
      </c>
      <c r="I27" s="277">
        <v>376990</v>
      </c>
      <c r="J27" s="284">
        <f>119000+355000</f>
        <v>474000</v>
      </c>
      <c r="K27" s="305"/>
      <c r="L27" s="222">
        <f t="shared" si="3"/>
        <v>-0.45386076626712329</v>
      </c>
      <c r="M27" s="290">
        <f t="shared" si="9"/>
        <v>-135708</v>
      </c>
      <c r="N27" s="180">
        <f>159731+274985</f>
        <v>434716</v>
      </c>
      <c r="O27" s="180">
        <v>299008</v>
      </c>
      <c r="P27" s="180">
        <v>321344</v>
      </c>
      <c r="Q27" s="180">
        <v>509250</v>
      </c>
      <c r="R27" s="180">
        <v>903301</v>
      </c>
      <c r="S27" s="180">
        <v>603</v>
      </c>
      <c r="T27" s="180">
        <v>110649</v>
      </c>
      <c r="U27" s="180">
        <v>1064</v>
      </c>
      <c r="W27" s="2"/>
      <c r="X27" s="103">
        <f t="shared" si="5"/>
        <v>0</v>
      </c>
      <c r="Y27" s="103"/>
    </row>
    <row r="28" spans="1:25" ht="12.75">
      <c r="B28" s="1">
        <v>8000</v>
      </c>
      <c r="C28" s="1" t="s">
        <v>29</v>
      </c>
      <c r="D28" s="103">
        <f t="shared" si="1"/>
        <v>0</v>
      </c>
      <c r="E28" s="155"/>
      <c r="F28" s="248"/>
      <c r="G28" s="208">
        <f t="shared" si="7"/>
        <v>0</v>
      </c>
      <c r="H28" s="332">
        <f t="shared" si="8"/>
        <v>0</v>
      </c>
      <c r="I28" s="274"/>
      <c r="J28" s="282"/>
      <c r="K28" s="301"/>
      <c r="L28" s="222">
        <f t="shared" si="3"/>
        <v>0.38290004782400766</v>
      </c>
      <c r="M28" s="290">
        <f t="shared" si="9"/>
        <v>200161</v>
      </c>
      <c r="N28" s="2">
        <v>322589</v>
      </c>
      <c r="O28" s="2">
        <f>507000+15750</f>
        <v>522750</v>
      </c>
      <c r="P28" s="2">
        <f>496000+26966</f>
        <v>522966</v>
      </c>
      <c r="Q28" s="2">
        <f>485000+37946</f>
        <v>522946</v>
      </c>
      <c r="R28" s="2">
        <f>474000+48668</f>
        <v>522668</v>
      </c>
      <c r="S28" s="2">
        <f>418000+58388</f>
        <v>476388</v>
      </c>
      <c r="T28" s="2">
        <f>446000+68265</f>
        <v>514265</v>
      </c>
      <c r="U28" s="2">
        <f>422000+77895</f>
        <v>499895</v>
      </c>
      <c r="V28" s="2">
        <f>399000+87006</f>
        <v>486006</v>
      </c>
      <c r="W28" s="2">
        <f>380000+95660</f>
        <v>475660</v>
      </c>
      <c r="X28" s="103">
        <f t="shared" si="5"/>
        <v>9.4376366186491242E-3</v>
      </c>
      <c r="Y28" s="103">
        <f>IFERROR(+E28/W28-1,0)</f>
        <v>-1</v>
      </c>
    </row>
    <row r="29" spans="1:25" ht="12.75">
      <c r="B29" s="1">
        <v>9000</v>
      </c>
      <c r="C29" s="1" t="s">
        <v>30</v>
      </c>
      <c r="D29" s="103">
        <f t="shared" si="1"/>
        <v>0.11034488846614536</v>
      </c>
      <c r="E29" s="155">
        <v>6600000</v>
      </c>
      <c r="F29" s="248"/>
      <c r="G29" s="208">
        <f t="shared" si="7"/>
        <v>1.4925373134328358E-2</v>
      </c>
      <c r="H29" s="332">
        <f t="shared" si="8"/>
        <v>100000</v>
      </c>
      <c r="I29" s="274">
        <v>6600000</v>
      </c>
      <c r="J29" s="282">
        <v>6700000</v>
      </c>
      <c r="K29" s="301"/>
      <c r="L29" s="222">
        <f t="shared" si="3"/>
        <v>-0.28846153846153844</v>
      </c>
      <c r="M29" s="290">
        <f t="shared" si="9"/>
        <v>-1500000</v>
      </c>
      <c r="N29" s="2">
        <v>6700000</v>
      </c>
      <c r="O29" s="2">
        <v>5200000</v>
      </c>
      <c r="P29" s="2">
        <v>1395956</v>
      </c>
      <c r="Q29" s="2">
        <v>4000000</v>
      </c>
      <c r="R29" s="2">
        <v>3800000</v>
      </c>
      <c r="S29" s="2">
        <v>4200000</v>
      </c>
      <c r="T29" s="2">
        <v>4300000</v>
      </c>
      <c r="U29" s="2">
        <v>4261000</v>
      </c>
      <c r="V29" s="2">
        <v>4920000</v>
      </c>
      <c r="W29" s="2">
        <v>5200000</v>
      </c>
      <c r="X29" s="103">
        <f t="shared" si="5"/>
        <v>0.10317392763102939</v>
      </c>
      <c r="Y29" s="103">
        <f>IFERROR(+E29/W29-1,0)</f>
        <v>0.26923076923076916</v>
      </c>
    </row>
    <row r="30" spans="1:25" ht="12.75">
      <c r="D30" s="103"/>
      <c r="E30" s="176"/>
      <c r="F30" s="251"/>
      <c r="G30" s="209"/>
      <c r="H30" s="335"/>
      <c r="I30" s="275"/>
      <c r="J30" s="283"/>
      <c r="K30" s="304"/>
      <c r="L30" s="327"/>
      <c r="M30" s="291"/>
      <c r="N30" s="5"/>
      <c r="O30" s="5"/>
      <c r="P30" s="5"/>
      <c r="Q30" s="5"/>
      <c r="R30" s="5"/>
      <c r="S30" s="5"/>
      <c r="T30" s="5"/>
      <c r="U30" s="5"/>
      <c r="V30" s="5"/>
      <c r="W30" s="5"/>
      <c r="X30" s="147"/>
      <c r="Y30" s="147"/>
    </row>
    <row r="31" spans="1:25" ht="12.75">
      <c r="D31" s="103"/>
      <c r="E31" s="155"/>
      <c r="F31" s="248"/>
      <c r="G31" s="205"/>
      <c r="H31" s="332"/>
      <c r="I31" s="274"/>
      <c r="J31" s="282"/>
      <c r="K31" s="301"/>
      <c r="L31" s="222"/>
      <c r="M31" s="290"/>
      <c r="N31" s="2"/>
      <c r="O31" s="2"/>
      <c r="P31" s="2"/>
      <c r="Q31" s="2"/>
      <c r="R31" s="2"/>
      <c r="S31" s="2"/>
      <c r="T31" s="2"/>
      <c r="U31" s="2"/>
      <c r="V31" s="2"/>
      <c r="W31" s="2"/>
      <c r="X31" s="103"/>
      <c r="Y31" s="103"/>
    </row>
    <row r="32" spans="1:25" ht="14.25">
      <c r="C32" s="1" t="s">
        <v>31</v>
      </c>
      <c r="D32" s="103">
        <f t="shared" si="1"/>
        <v>1.0856646658630549</v>
      </c>
      <c r="E32" s="155">
        <f t="shared" ref="E32:W32" si="11">SUM(E11:E31)</f>
        <v>64936282</v>
      </c>
      <c r="F32" s="248"/>
      <c r="G32" s="208">
        <f>IFERROR(+H32/J32,0)</f>
        <v>3.5046579934737651E-3</v>
      </c>
      <c r="H32" s="332">
        <f t="shared" ref="H32" si="12">+J32-I32</f>
        <v>225813</v>
      </c>
      <c r="I32" s="274">
        <f t="shared" si="11"/>
        <v>64206437</v>
      </c>
      <c r="J32" s="282">
        <f t="shared" si="11"/>
        <v>64432250</v>
      </c>
      <c r="K32" s="301"/>
      <c r="L32" s="222">
        <f t="shared" si="3"/>
        <v>-0.15342453410992468</v>
      </c>
      <c r="M32" s="290">
        <f t="shared" si="9"/>
        <v>-8626535</v>
      </c>
      <c r="N32" s="286">
        <f t="shared" si="11"/>
        <v>64853103</v>
      </c>
      <c r="O32" s="286">
        <f t="shared" si="11"/>
        <v>56226568</v>
      </c>
      <c r="P32" s="2">
        <f t="shared" si="11"/>
        <v>56399594</v>
      </c>
      <c r="Q32" s="2">
        <f t="shared" si="11"/>
        <v>53630101</v>
      </c>
      <c r="R32" s="2">
        <f t="shared" si="11"/>
        <v>54073754</v>
      </c>
      <c r="S32" s="2">
        <f t="shared" si="11"/>
        <v>52305629</v>
      </c>
      <c r="T32" s="2">
        <f t="shared" si="11"/>
        <v>52230818</v>
      </c>
      <c r="U32" s="2">
        <f t="shared" si="11"/>
        <v>50080833</v>
      </c>
      <c r="V32" s="2">
        <f t="shared" si="11"/>
        <v>51371531</v>
      </c>
      <c r="W32" s="2">
        <f t="shared" si="11"/>
        <v>50394002</v>
      </c>
      <c r="X32" s="103">
        <f t="shared" si="5"/>
        <v>0.99987444526652902</v>
      </c>
      <c r="Y32" s="130">
        <f>IFERROR(+E32/W32-1,0)</f>
        <v>0.28857164390317713</v>
      </c>
    </row>
    <row r="33" spans="1:39" ht="12.75">
      <c r="D33" s="103"/>
      <c r="E33" s="230"/>
      <c r="F33" s="252"/>
      <c r="G33" s="210"/>
      <c r="H33" s="332"/>
      <c r="I33" s="274"/>
      <c r="J33" s="282"/>
      <c r="K33" s="301"/>
      <c r="L33" s="222"/>
      <c r="M33" s="290"/>
      <c r="N33" s="2"/>
      <c r="O33" s="2"/>
      <c r="P33" s="2"/>
      <c r="Q33" s="2"/>
      <c r="R33" s="2"/>
      <c r="S33" s="2"/>
      <c r="T33" s="2"/>
      <c r="U33" s="2"/>
      <c r="V33" s="2"/>
      <c r="W33" s="2"/>
      <c r="X33" s="103"/>
      <c r="Y33" s="103"/>
    </row>
    <row r="34" spans="1:39" ht="12.75">
      <c r="C34" s="1" t="s">
        <v>32</v>
      </c>
      <c r="D34" s="103">
        <f t="shared" si="1"/>
        <v>-8.5664665863054934E-2</v>
      </c>
      <c r="E34" s="155">
        <f>E9-E32</f>
        <v>-5123815</v>
      </c>
      <c r="F34" s="248"/>
      <c r="G34" s="208">
        <f>IFERROR(+H34/J34,0)</f>
        <v>-0.70961719455018735</v>
      </c>
      <c r="H34" s="336">
        <f t="shared" ref="H34:W34" si="13">H9-H32</f>
        <v>2124706</v>
      </c>
      <c r="I34" s="274">
        <f t="shared" si="13"/>
        <v>-5118864</v>
      </c>
      <c r="J34" s="282">
        <f t="shared" si="13"/>
        <v>-2994158</v>
      </c>
      <c r="K34" s="301"/>
      <c r="L34" s="222">
        <f t="shared" si="3"/>
        <v>-5.8620039496756844</v>
      </c>
      <c r="M34" s="290">
        <f t="shared" si="9"/>
        <v>5509252</v>
      </c>
      <c r="N34" s="286">
        <f t="shared" si="13"/>
        <v>-6449076</v>
      </c>
      <c r="O34" s="286">
        <f t="shared" si="13"/>
        <v>-939824</v>
      </c>
      <c r="P34" s="2">
        <f t="shared" si="13"/>
        <v>3094933</v>
      </c>
      <c r="Q34" s="2">
        <f t="shared" si="13"/>
        <v>1382048</v>
      </c>
      <c r="R34" s="2">
        <f t="shared" si="13"/>
        <v>-772976</v>
      </c>
      <c r="S34" s="2">
        <f t="shared" si="13"/>
        <v>1752587</v>
      </c>
      <c r="T34" s="2">
        <f t="shared" si="13"/>
        <v>795548</v>
      </c>
      <c r="U34" s="2">
        <f t="shared" si="13"/>
        <v>648069</v>
      </c>
      <c r="V34" s="2">
        <f t="shared" si="13"/>
        <v>-454446</v>
      </c>
      <c r="W34" s="2">
        <f t="shared" si="13"/>
        <v>6328</v>
      </c>
      <c r="X34" s="103">
        <f t="shared" si="5"/>
        <v>1.2555473347099116E-4</v>
      </c>
      <c r="Y34" s="103">
        <f>IFERROR(+E34/W34-1,0)</f>
        <v>-810.70527812895068</v>
      </c>
    </row>
    <row r="35" spans="1:39" ht="12.75">
      <c r="D35" s="103"/>
      <c r="E35" s="232"/>
      <c r="F35" s="254"/>
      <c r="G35" s="208"/>
      <c r="H35" s="332"/>
      <c r="I35" s="278"/>
      <c r="J35" s="282"/>
      <c r="K35" s="301"/>
      <c r="L35" s="222"/>
      <c r="M35" s="290"/>
      <c r="N35" s="2"/>
      <c r="O35" s="2"/>
      <c r="P35" s="2"/>
      <c r="Q35" s="2"/>
      <c r="R35" s="2"/>
      <c r="S35" s="2"/>
      <c r="T35" s="2"/>
      <c r="U35" s="2"/>
      <c r="V35" s="2"/>
      <c r="W35" s="2"/>
      <c r="X35" s="103"/>
      <c r="Y35" s="103"/>
    </row>
    <row r="36" spans="1:39" ht="14.25">
      <c r="A36" s="6"/>
      <c r="B36" s="6"/>
      <c r="C36" s="6" t="s">
        <v>234</v>
      </c>
      <c r="D36" s="103">
        <f t="shared" si="1"/>
        <v>-0.10152943532658501</v>
      </c>
      <c r="E36" s="233">
        <f>+I36+E34</f>
        <v>-6072726</v>
      </c>
      <c r="F36" s="352"/>
      <c r="G36" s="6">
        <f t="shared" ref="G36:H36" si="14">H36+G34</f>
        <v>1175794.2903828055</v>
      </c>
      <c r="H36" s="337">
        <f t="shared" si="14"/>
        <v>1175795</v>
      </c>
      <c r="I36" s="279">
        <f>I34+N36</f>
        <v>-948911</v>
      </c>
      <c r="J36" s="285">
        <f>N36+J34</f>
        <v>1175795</v>
      </c>
      <c r="K36" s="306"/>
      <c r="L36" s="222">
        <f t="shared" si="3"/>
        <v>0.60731315452665213</v>
      </c>
      <c r="M36" s="290">
        <f t="shared" si="9"/>
        <v>6449076</v>
      </c>
      <c r="N36" s="6">
        <f t="shared" ref="N36:V36" si="15">O36+N34</f>
        <v>4169953</v>
      </c>
      <c r="O36" s="142">
        <f t="shared" si="15"/>
        <v>10619029</v>
      </c>
      <c r="P36" s="142">
        <f t="shared" si="15"/>
        <v>11558853</v>
      </c>
      <c r="Q36" s="6">
        <f t="shared" si="15"/>
        <v>8463920</v>
      </c>
      <c r="R36" s="6">
        <f t="shared" si="15"/>
        <v>7081872</v>
      </c>
      <c r="S36" s="6">
        <f t="shared" si="15"/>
        <v>7854848</v>
      </c>
      <c r="T36" s="6">
        <f t="shared" si="15"/>
        <v>6102261</v>
      </c>
      <c r="U36" s="6">
        <f t="shared" si="15"/>
        <v>5306713</v>
      </c>
      <c r="V36" s="6">
        <f t="shared" si="15"/>
        <v>4658644</v>
      </c>
      <c r="W36" s="6">
        <v>5113090</v>
      </c>
      <c r="X36" s="103">
        <f t="shared" si="5"/>
        <v>0.10144953415979617</v>
      </c>
      <c r="Y36" s="103">
        <f>IFERROR(+E36/W36-1,0)</f>
        <v>-2.1876822039119199</v>
      </c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</row>
    <row r="37" spans="1:39" ht="12.75">
      <c r="C37" s="1"/>
      <c r="D37" s="1"/>
      <c r="E37" s="232"/>
      <c r="F37" s="248"/>
      <c r="G37" s="205"/>
      <c r="H37" s="332"/>
      <c r="I37" s="2"/>
      <c r="J37" s="155"/>
      <c r="K37" s="301"/>
      <c r="L37" s="205"/>
      <c r="M37" s="288"/>
      <c r="N37" s="2"/>
      <c r="O37" s="2"/>
      <c r="P37" s="2"/>
      <c r="Q37" s="2"/>
      <c r="R37" s="2"/>
      <c r="S37" s="2"/>
      <c r="T37" s="2"/>
      <c r="U37" s="2"/>
      <c r="V37" s="2"/>
      <c r="W37" s="2"/>
      <c r="X37" s="103"/>
    </row>
    <row r="38" spans="1:39" ht="12.75">
      <c r="C38" s="1" t="s">
        <v>280</v>
      </c>
      <c r="D38" s="1"/>
      <c r="E38" s="155">
        <f>E32-J32</f>
        <v>504032</v>
      </c>
      <c r="F38" s="248"/>
      <c r="G38" s="205"/>
      <c r="H38" s="332"/>
      <c r="I38" s="2">
        <f t="shared" ref="I38" si="16">I32-J32</f>
        <v>-225813</v>
      </c>
      <c r="J38" s="155">
        <f>J32-N32</f>
        <v>-420853</v>
      </c>
      <c r="K38" s="301"/>
      <c r="L38" s="205"/>
      <c r="M38" s="288"/>
      <c r="N38" s="2">
        <f t="shared" ref="N38:V38" si="17">N32-O32</f>
        <v>8626535</v>
      </c>
      <c r="O38" s="2">
        <f t="shared" si="17"/>
        <v>-173026</v>
      </c>
      <c r="P38" s="2">
        <f t="shared" si="17"/>
        <v>2769493</v>
      </c>
      <c r="Q38" s="2">
        <f t="shared" si="17"/>
        <v>-443653</v>
      </c>
      <c r="R38" s="2">
        <f t="shared" si="17"/>
        <v>1768125</v>
      </c>
      <c r="S38" s="2">
        <f t="shared" si="17"/>
        <v>74811</v>
      </c>
      <c r="T38" s="2">
        <f t="shared" si="17"/>
        <v>2149985</v>
      </c>
      <c r="U38" s="2">
        <f t="shared" si="17"/>
        <v>-1290698</v>
      </c>
      <c r="V38" s="2">
        <f t="shared" si="17"/>
        <v>977529</v>
      </c>
      <c r="W38" s="2"/>
      <c r="X38" s="103"/>
    </row>
    <row r="39" spans="1:39" ht="14.25">
      <c r="C39" s="1" t="s">
        <v>281</v>
      </c>
      <c r="D39" s="1"/>
      <c r="E39" s="234">
        <f>E36-$W$36</f>
        <v>-11185816</v>
      </c>
      <c r="F39" s="255"/>
      <c r="G39" s="359"/>
      <c r="H39" s="360"/>
      <c r="I39" s="143">
        <f>I36-$W$36</f>
        <v>-6062001</v>
      </c>
      <c r="J39" s="234">
        <f>J36-$W$36</f>
        <v>-3937295</v>
      </c>
      <c r="K39" s="307"/>
      <c r="L39" s="323"/>
      <c r="M39" s="292"/>
      <c r="N39" s="143">
        <f>N36-$W$36</f>
        <v>-943137</v>
      </c>
      <c r="O39" s="2">
        <f>O36-$W$36</f>
        <v>5505939</v>
      </c>
      <c r="P39" s="2">
        <f>P36-$W$36</f>
        <v>6445763</v>
      </c>
      <c r="Q39" s="2">
        <f>Q36-$W$36</f>
        <v>3350830</v>
      </c>
      <c r="R39" s="2">
        <f>R36-$W$36</f>
        <v>1968782</v>
      </c>
      <c r="S39" s="2">
        <f t="shared" ref="S39:V39" si="18">S36-$W$36</f>
        <v>2741758</v>
      </c>
      <c r="T39" s="2">
        <f t="shared" si="18"/>
        <v>989171</v>
      </c>
      <c r="U39" s="2">
        <f t="shared" si="18"/>
        <v>193623</v>
      </c>
      <c r="V39" s="2">
        <f t="shared" si="18"/>
        <v>-454446</v>
      </c>
      <c r="W39" s="2">
        <v>0</v>
      </c>
      <c r="X39" s="103"/>
    </row>
    <row r="40" spans="1:39" ht="12.75">
      <c r="C40" s="1"/>
      <c r="D40" s="1"/>
      <c r="E40" s="155"/>
      <c r="F40" s="248"/>
      <c r="G40" s="205"/>
      <c r="H40" s="332"/>
      <c r="I40" s="2"/>
      <c r="J40" s="155"/>
      <c r="K40" s="301"/>
      <c r="L40" s="205"/>
      <c r="M40" s="288"/>
      <c r="N40" s="2"/>
      <c r="O40" s="2"/>
      <c r="P40" s="2"/>
      <c r="Q40" s="2"/>
      <c r="R40" s="2"/>
      <c r="S40" s="2"/>
      <c r="T40" s="2"/>
      <c r="U40" s="2"/>
      <c r="V40" s="2"/>
      <c r="W40" s="2"/>
      <c r="X40" s="103"/>
    </row>
    <row r="41" spans="1:39" ht="12.75">
      <c r="C41" s="1" t="s">
        <v>278</v>
      </c>
      <c r="D41" s="1"/>
      <c r="E41" s="232">
        <f>+E9/J9-1</f>
        <v>-2.6459561927802078E-2</v>
      </c>
      <c r="F41" s="254"/>
      <c r="G41" s="366"/>
      <c r="H41" s="332"/>
      <c r="I41" s="232">
        <f>+I9/N9-1</f>
        <v>1.1703747756982574E-2</v>
      </c>
      <c r="J41" s="232">
        <f>+J9/N9-1</f>
        <v>5.1949585599636805E-2</v>
      </c>
      <c r="K41" s="308"/>
      <c r="L41" s="222"/>
      <c r="M41" s="288"/>
      <c r="N41" s="103">
        <f t="shared" ref="N41:U41" si="19">+N9/O9-1</f>
        <v>5.6383913655685625E-2</v>
      </c>
      <c r="O41" s="103">
        <f t="shared" si="19"/>
        <v>-7.0725547578519232E-2</v>
      </c>
      <c r="P41" s="103">
        <f t="shared" si="19"/>
        <v>8.147978367469344E-2</v>
      </c>
      <c r="Q41" s="103">
        <f t="shared" si="19"/>
        <v>3.2107805255675581E-2</v>
      </c>
      <c r="R41" s="103">
        <f t="shared" si="19"/>
        <v>-1.4011524168685119E-2</v>
      </c>
      <c r="S41" s="103">
        <f t="shared" si="19"/>
        <v>1.9459187529464073E-2</v>
      </c>
      <c r="T41" s="103">
        <f t="shared" si="19"/>
        <v>4.5289054354064273E-2</v>
      </c>
      <c r="U41" s="103">
        <f t="shared" si="19"/>
        <v>-3.6958714349024646E-3</v>
      </c>
      <c r="V41" s="103">
        <f>+V9/W9-1</f>
        <v>1.0253008264033081E-2</v>
      </c>
      <c r="W41" s="2"/>
      <c r="X41" s="103"/>
    </row>
    <row r="42" spans="1:39" ht="12.75">
      <c r="C42" s="1" t="s">
        <v>279</v>
      </c>
      <c r="D42" s="1"/>
      <c r="E42" s="232">
        <f>+E9/$T9-1</f>
        <v>0.12797597708279684</v>
      </c>
      <c r="F42" s="254"/>
      <c r="G42" s="208"/>
      <c r="H42" s="332"/>
      <c r="I42" s="232">
        <f>+I9/$T9-1</f>
        <v>0.11430553245907893</v>
      </c>
      <c r="J42" s="232">
        <f>+J9/$T9-1</f>
        <v>0.15863289594463259</v>
      </c>
      <c r="K42" s="308"/>
      <c r="L42" s="222"/>
      <c r="M42" s="288"/>
      <c r="N42" s="103">
        <f t="shared" ref="N42:S42" si="20">+N9/$T9-1</f>
        <v>0.10141485086871693</v>
      </c>
      <c r="O42" s="103">
        <f t="shared" si="20"/>
        <v>4.2627435566676475E-2</v>
      </c>
      <c r="P42" s="103">
        <f t="shared" si="20"/>
        <v>0.12198009194143156</v>
      </c>
      <c r="Q42" s="103">
        <f t="shared" si="20"/>
        <v>3.7448973968911892E-2</v>
      </c>
      <c r="R42" s="103">
        <f t="shared" si="20"/>
        <v>5.1750104844070499E-3</v>
      </c>
      <c r="S42" s="103">
        <f t="shared" si="20"/>
        <v>1.9459187529464073E-2</v>
      </c>
      <c r="T42" s="2"/>
      <c r="U42" s="2"/>
      <c r="V42" s="2"/>
      <c r="W42" s="2"/>
      <c r="X42" s="103"/>
    </row>
    <row r="43" spans="1:39" ht="15.75" customHeight="1">
      <c r="A43" s="7"/>
      <c r="B43" s="7"/>
      <c r="C43" s="127"/>
      <c r="D43" s="127"/>
      <c r="E43" s="157">
        <f>+E32*-0.03</f>
        <v>-1948088.46</v>
      </c>
      <c r="F43" s="265"/>
      <c r="G43" s="220"/>
      <c r="H43" s="347"/>
      <c r="I43" s="128"/>
      <c r="J43" s="246">
        <f>+E39/E32</f>
        <v>-0.17225833779642635</v>
      </c>
      <c r="K43" s="309"/>
      <c r="L43" s="324"/>
      <c r="M43" s="293"/>
      <c r="N43" s="5"/>
      <c r="O43" s="5"/>
      <c r="P43" s="5"/>
      <c r="Q43" s="5"/>
      <c r="R43" s="5"/>
      <c r="S43" s="5"/>
      <c r="T43" s="5"/>
      <c r="U43" s="5"/>
      <c r="V43" s="5"/>
      <c r="W43" s="5"/>
      <c r="X43" s="128"/>
      <c r="Y43" s="105"/>
    </row>
    <row r="44" spans="1:39" ht="14.25">
      <c r="C44" s="353" t="s">
        <v>258</v>
      </c>
      <c r="D44" s="354"/>
      <c r="E44" s="355">
        <f>(+Y32-Y9)*E32</f>
        <v>6612079.5534998272</v>
      </c>
      <c r="F44" s="256"/>
      <c r="G44" s="356"/>
      <c r="H44" s="357"/>
      <c r="I44" s="358"/>
      <c r="J44" s="113">
        <f>+E39/E32</f>
        <v>-0.17225833779642635</v>
      </c>
    </row>
    <row r="45" spans="1:39" ht="12.75">
      <c r="E45" s="155"/>
      <c r="F45" s="248"/>
      <c r="G45" s="205"/>
      <c r="H45" s="332"/>
      <c r="I45" s="2">
        <f>+I9-P9</f>
        <v>-406954</v>
      </c>
      <c r="J45" s="155"/>
      <c r="K45" s="301"/>
      <c r="L45" s="205"/>
      <c r="M45" s="288"/>
      <c r="N45" s="2">
        <f>+I32-P32</f>
        <v>7806843</v>
      </c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39" ht="12.75">
      <c r="E46" s="228" t="s">
        <v>36</v>
      </c>
      <c r="F46" s="249"/>
      <c r="G46" s="206"/>
      <c r="H46" s="333"/>
      <c r="I46" s="3"/>
      <c r="J46" s="228" t="s">
        <v>36</v>
      </c>
      <c r="K46" s="302"/>
      <c r="L46" s="206"/>
      <c r="M46" s="295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39" ht="12.75">
      <c r="B47" s="1" t="s">
        <v>37</v>
      </c>
      <c r="E47" s="235" t="s">
        <v>3</v>
      </c>
      <c r="F47" s="257"/>
      <c r="G47" s="211"/>
      <c r="H47" s="339"/>
      <c r="I47" s="8"/>
      <c r="J47" s="235" t="s">
        <v>4</v>
      </c>
      <c r="K47" s="311"/>
      <c r="L47" s="211"/>
      <c r="M47" s="296"/>
      <c r="N47" s="8" t="s">
        <v>5</v>
      </c>
      <c r="O47" s="8">
        <f t="shared" ref="O47:W47" si="21">N47-1</f>
        <v>2023</v>
      </c>
      <c r="P47" s="8">
        <f t="shared" si="21"/>
        <v>2022</v>
      </c>
      <c r="Q47" s="8">
        <f t="shared" si="21"/>
        <v>2021</v>
      </c>
      <c r="R47" s="8">
        <f t="shared" si="21"/>
        <v>2020</v>
      </c>
      <c r="S47" s="8">
        <f t="shared" si="21"/>
        <v>2019</v>
      </c>
      <c r="T47" s="8">
        <f t="shared" si="21"/>
        <v>2018</v>
      </c>
      <c r="U47" s="8">
        <f t="shared" si="21"/>
        <v>2017</v>
      </c>
      <c r="V47" s="8">
        <f t="shared" si="21"/>
        <v>2016</v>
      </c>
      <c r="W47" s="8">
        <f t="shared" si="21"/>
        <v>2015</v>
      </c>
      <c r="X47" s="145"/>
    </row>
    <row r="48" spans="1:39" ht="12.75">
      <c r="C48" s="1" t="s">
        <v>38</v>
      </c>
      <c r="D48" s="1"/>
      <c r="E48" s="236">
        <v>4727</v>
      </c>
      <c r="F48" s="248"/>
      <c r="G48" s="212"/>
      <c r="H48" s="340"/>
      <c r="I48" s="2">
        <v>5024</v>
      </c>
      <c r="J48" s="236">
        <v>4880</v>
      </c>
      <c r="K48" s="301"/>
      <c r="L48" s="205"/>
      <c r="M48" s="288"/>
      <c r="N48" s="2">
        <v>5024</v>
      </c>
      <c r="O48" s="2">
        <v>5264</v>
      </c>
      <c r="P48" s="2">
        <f>5281-32</f>
        <v>5249</v>
      </c>
      <c r="Q48" s="1">
        <f>5303.7-33</f>
        <v>5270.7</v>
      </c>
      <c r="R48" s="2">
        <f>5655+36</f>
        <v>5691</v>
      </c>
      <c r="S48" s="2">
        <f>5698+1</f>
        <v>5699</v>
      </c>
      <c r="T48" s="2">
        <f>5770.1-26</f>
        <v>5744.1</v>
      </c>
      <c r="U48" s="2"/>
      <c r="V48" s="2"/>
      <c r="W48" s="2"/>
      <c r="X48" s="2"/>
      <c r="Y48" s="104">
        <f>IFERROR(+E48/T48-1,0)</f>
        <v>-0.17706864434811376</v>
      </c>
      <c r="Z48" s="110">
        <f>AVERAGE(N48:T48)</f>
        <v>5420.2571428571437</v>
      </c>
      <c r="AA48">
        <f>+Z49/Z48</f>
        <v>0.99334243499254093</v>
      </c>
    </row>
    <row r="49" spans="1:39" ht="12.75">
      <c r="C49" s="1" t="s">
        <v>39</v>
      </c>
      <c r="D49" s="1"/>
      <c r="E49" s="236">
        <v>4691</v>
      </c>
      <c r="F49" s="248"/>
      <c r="G49" s="212"/>
      <c r="H49" s="340"/>
      <c r="I49" s="2">
        <v>4980.3999999999996</v>
      </c>
      <c r="J49" s="236">
        <v>4849</v>
      </c>
      <c r="K49" s="301"/>
      <c r="L49" s="205"/>
      <c r="M49" s="288"/>
      <c r="N49" s="2">
        <v>4980.3999999999996</v>
      </c>
      <c r="O49" s="2">
        <v>5172.3999999999996</v>
      </c>
      <c r="P49" s="2">
        <v>5221</v>
      </c>
      <c r="Q49" s="1">
        <v>5249.5</v>
      </c>
      <c r="R49" s="2">
        <f>5665.5</f>
        <v>5665.5</v>
      </c>
      <c r="S49" s="2">
        <v>5676.2</v>
      </c>
      <c r="T49" s="2">
        <f>5724.2</f>
        <v>5724.2</v>
      </c>
      <c r="U49" s="2"/>
      <c r="V49" s="2"/>
      <c r="W49" s="2"/>
      <c r="X49" s="2"/>
      <c r="Y49" s="104">
        <f>IFERROR(+E49/T49-1,0)</f>
        <v>-0.18049683798609406</v>
      </c>
      <c r="Z49" s="110">
        <f>AVERAGE(N49:T49)</f>
        <v>5384.1714285714279</v>
      </c>
    </row>
    <row r="50" spans="1:39" ht="12.75">
      <c r="E50" s="155"/>
      <c r="F50" s="248"/>
      <c r="G50" s="205"/>
      <c r="H50" s="332"/>
      <c r="I50" s="2"/>
      <c r="J50" s="232"/>
      <c r="K50" s="308"/>
      <c r="L50" s="222"/>
      <c r="M50" s="288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104"/>
    </row>
    <row r="51" spans="1:39" ht="12.75">
      <c r="A51" s="9" t="s">
        <v>40</v>
      </c>
      <c r="E51" s="235" t="s">
        <v>3</v>
      </c>
      <c r="F51" s="257"/>
      <c r="G51" s="211"/>
      <c r="H51" s="339"/>
      <c r="I51" s="8"/>
      <c r="J51" s="235" t="s">
        <v>4</v>
      </c>
      <c r="K51" s="311"/>
      <c r="L51" s="211"/>
      <c r="M51" s="296"/>
      <c r="N51" s="8" t="s">
        <v>5</v>
      </c>
      <c r="O51" s="8">
        <f t="shared" ref="O51:W51" si="22">N51-1</f>
        <v>2023</v>
      </c>
      <c r="P51" s="8">
        <f t="shared" si="22"/>
        <v>2022</v>
      </c>
      <c r="Q51" s="8">
        <f t="shared" si="22"/>
        <v>2021</v>
      </c>
      <c r="R51" s="8">
        <f t="shared" si="22"/>
        <v>2020</v>
      </c>
      <c r="S51" s="8">
        <f t="shared" si="22"/>
        <v>2019</v>
      </c>
      <c r="T51" s="8">
        <f t="shared" si="22"/>
        <v>2018</v>
      </c>
      <c r="U51" s="8">
        <f t="shared" si="22"/>
        <v>2017</v>
      </c>
      <c r="V51" s="8">
        <f t="shared" si="22"/>
        <v>2016</v>
      </c>
      <c r="W51" s="8">
        <f t="shared" si="22"/>
        <v>2015</v>
      </c>
      <c r="X51" s="145"/>
      <c r="Y51" s="104"/>
    </row>
    <row r="52" spans="1:39" ht="12.75">
      <c r="E52" s="155"/>
      <c r="F52" s="248"/>
      <c r="G52" s="205"/>
      <c r="H52" s="332"/>
      <c r="I52" s="2"/>
      <c r="J52" s="155"/>
      <c r="K52" s="301"/>
      <c r="L52" s="205"/>
      <c r="M52" s="288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04"/>
    </row>
    <row r="53" spans="1:39" ht="12.75">
      <c r="A53" s="1"/>
      <c r="B53" s="1"/>
      <c r="C53" s="1" t="s">
        <v>7</v>
      </c>
      <c r="D53" s="1"/>
      <c r="E53" s="237">
        <f t="shared" ref="E53:T53" si="23">E5/E$49</f>
        <v>123.42784054572586</v>
      </c>
      <c r="F53" s="258"/>
      <c r="G53" s="213"/>
      <c r="H53" s="332"/>
      <c r="I53" s="10">
        <f t="shared" ref="I53" si="24">I5/I$49</f>
        <v>123.31358926993816</v>
      </c>
      <c r="J53" s="237">
        <f t="shared" si="23"/>
        <v>122.49948442977933</v>
      </c>
      <c r="K53" s="312"/>
      <c r="L53" s="213"/>
      <c r="M53" s="288"/>
      <c r="N53" s="10">
        <f t="shared" si="23"/>
        <v>146.94301662517069</v>
      </c>
      <c r="O53" s="10">
        <f t="shared" si="23"/>
        <v>146.15110973629265</v>
      </c>
      <c r="P53" s="10">
        <f t="shared" si="23"/>
        <v>111.56751580157058</v>
      </c>
      <c r="Q53" s="10">
        <f t="shared" si="23"/>
        <v>8951.5923421278221</v>
      </c>
      <c r="R53" s="10">
        <f t="shared" si="23"/>
        <v>7332.659429882623</v>
      </c>
      <c r="S53" s="10">
        <f t="shared" si="23"/>
        <v>7266.8796025510028</v>
      </c>
      <c r="T53" s="10">
        <f t="shared" si="23"/>
        <v>6849.1673945704206</v>
      </c>
      <c r="U53" s="10" t="str">
        <f>IFERROR(U5/U$49," ")</f>
        <v xml:space="preserve"> </v>
      </c>
      <c r="V53" s="10" t="str">
        <f>IFERROR(V5/V$49," ")</f>
        <v xml:space="preserve"> </v>
      </c>
      <c r="W53" s="10" t="str">
        <f>IFERROR(W5/W$49," ")</f>
        <v xml:space="preserve"> </v>
      </c>
      <c r="X53" s="10"/>
      <c r="Y53" s="104"/>
    </row>
    <row r="54" spans="1:39" ht="12.75">
      <c r="A54" s="1"/>
      <c r="B54" s="1"/>
      <c r="C54" s="1" t="s">
        <v>8</v>
      </c>
      <c r="D54" s="1"/>
      <c r="E54" s="155">
        <f t="shared" ref="E54:T54" si="25">E6/E$49</f>
        <v>12627.04476657429</v>
      </c>
      <c r="F54" s="248"/>
      <c r="G54" s="205"/>
      <c r="H54" s="332"/>
      <c r="I54" s="2">
        <f t="shared" ref="I54" si="26">I6/I$49</f>
        <v>11736.771745241347</v>
      </c>
      <c r="J54" s="155">
        <f t="shared" si="25"/>
        <v>12547.760775417612</v>
      </c>
      <c r="K54" s="301"/>
      <c r="L54" s="205"/>
      <c r="M54" s="288"/>
      <c r="N54" s="2">
        <f t="shared" si="25"/>
        <v>11583.489277969642</v>
      </c>
      <c r="O54" s="2">
        <f t="shared" si="25"/>
        <v>10535.301020802723</v>
      </c>
      <c r="P54" s="2">
        <f t="shared" si="25"/>
        <v>11279.11357977399</v>
      </c>
      <c r="Q54" s="2">
        <f t="shared" si="25"/>
        <v>1510.6587294028002</v>
      </c>
      <c r="R54" s="2">
        <f t="shared" si="25"/>
        <v>2068.9033624569765</v>
      </c>
      <c r="S54" s="2">
        <f t="shared" si="25"/>
        <v>2254.7744970226559</v>
      </c>
      <c r="T54" s="2">
        <f t="shared" si="25"/>
        <v>2411.1828727158381</v>
      </c>
      <c r="U54" s="2"/>
      <c r="V54" s="2"/>
      <c r="W54" s="2"/>
      <c r="X54" s="2"/>
      <c r="Y54" s="104"/>
    </row>
    <row r="55" spans="1:39" ht="12.75">
      <c r="A55" s="1"/>
      <c r="B55" s="1"/>
      <c r="C55" s="1" t="s">
        <v>9</v>
      </c>
      <c r="D55" s="1"/>
      <c r="E55" s="155">
        <f t="shared" ref="E55:T55" si="27">E7/E$49</f>
        <v>0</v>
      </c>
      <c r="F55" s="248"/>
      <c r="G55" s="205"/>
      <c r="H55" s="332"/>
      <c r="I55" s="2">
        <f t="shared" ref="I55" si="28">I7/I$49</f>
        <v>0</v>
      </c>
      <c r="J55" s="155">
        <f t="shared" si="27"/>
        <v>0</v>
      </c>
      <c r="K55" s="301"/>
      <c r="L55" s="205"/>
      <c r="M55" s="288"/>
      <c r="N55" s="2">
        <f t="shared" si="27"/>
        <v>0</v>
      </c>
      <c r="O55" s="2">
        <f t="shared" si="27"/>
        <v>0</v>
      </c>
      <c r="P55" s="2">
        <f t="shared" si="27"/>
        <v>0</v>
      </c>
      <c r="Q55" s="2">
        <f t="shared" si="27"/>
        <v>0</v>
      </c>
      <c r="R55" s="2">
        <f t="shared" si="27"/>
        <v>3.6035654399435177</v>
      </c>
      <c r="S55" s="2">
        <f t="shared" si="27"/>
        <v>0</v>
      </c>
      <c r="T55" s="2">
        <f t="shared" si="27"/>
        <v>0</v>
      </c>
      <c r="U55" s="2"/>
      <c r="V55" s="2"/>
      <c r="W55" s="2"/>
      <c r="X55" s="2"/>
      <c r="Y55" s="104"/>
    </row>
    <row r="56" spans="1:39" ht="12.75">
      <c r="A56" s="1"/>
      <c r="B56" s="1"/>
      <c r="C56" s="1" t="s">
        <v>10</v>
      </c>
      <c r="D56" s="1"/>
      <c r="E56" s="176">
        <f t="shared" ref="E56:T56" si="29">E8/E$49</f>
        <v>0</v>
      </c>
      <c r="F56" s="251"/>
      <c r="G56" s="209"/>
      <c r="H56" s="335"/>
      <c r="I56" s="5">
        <f t="shared" ref="I56" si="30">I8/I$49</f>
        <v>3.9362300216850055</v>
      </c>
      <c r="J56" s="176">
        <f t="shared" si="29"/>
        <v>0</v>
      </c>
      <c r="K56" s="304"/>
      <c r="L56" s="209"/>
      <c r="M56" s="293"/>
      <c r="N56" s="5">
        <f t="shared" si="29"/>
        <v>-3.6579391213557146</v>
      </c>
      <c r="O56" s="5">
        <f t="shared" si="29"/>
        <v>7.3468795916789116</v>
      </c>
      <c r="P56" s="5">
        <f t="shared" si="29"/>
        <v>4.5548745451063013</v>
      </c>
      <c r="Q56" s="5">
        <f t="shared" si="29"/>
        <v>17.25154776645395</v>
      </c>
      <c r="R56" s="5">
        <f t="shared" si="29"/>
        <v>2.7902215161945105</v>
      </c>
      <c r="S56" s="5">
        <f t="shared" si="29"/>
        <v>2.0089144145731299</v>
      </c>
      <c r="T56" s="5">
        <f t="shared" si="29"/>
        <v>3.1915376821215191</v>
      </c>
      <c r="U56" s="128"/>
      <c r="V56" s="128"/>
      <c r="W56" s="128"/>
      <c r="X56" s="2"/>
      <c r="Y56" s="104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</row>
    <row r="57" spans="1:39" ht="12.75">
      <c r="A57" s="9"/>
      <c r="B57" s="9"/>
      <c r="C57" s="9" t="s">
        <v>11</v>
      </c>
      <c r="D57" s="9"/>
      <c r="E57" s="238">
        <f t="shared" ref="E57:T57" si="31">E9/E$49</f>
        <v>12750.472607120017</v>
      </c>
      <c r="F57" s="259"/>
      <c r="G57" s="214"/>
      <c r="H57" s="341"/>
      <c r="I57" s="238">
        <f t="shared" ref="I57" si="32">I9/I$49</f>
        <v>11864.02156453297</v>
      </c>
      <c r="J57" s="238">
        <f t="shared" si="31"/>
        <v>12670.260259847391</v>
      </c>
      <c r="K57" s="313"/>
      <c r="L57" s="214"/>
      <c r="M57" s="297"/>
      <c r="N57" s="11">
        <f t="shared" si="31"/>
        <v>11726.774355473457</v>
      </c>
      <c r="O57" s="11">
        <f t="shared" si="31"/>
        <v>10688.799010130695</v>
      </c>
      <c r="P57" s="11">
        <f t="shared" si="31"/>
        <v>11395.235970120666</v>
      </c>
      <c r="Q57" s="11">
        <f t="shared" si="31"/>
        <v>10479.502619297076</v>
      </c>
      <c r="R57" s="11">
        <f t="shared" si="31"/>
        <v>9407.9565792957383</v>
      </c>
      <c r="S57" s="11">
        <f t="shared" si="31"/>
        <v>9523.6630139882327</v>
      </c>
      <c r="T57" s="11">
        <f t="shared" si="31"/>
        <v>9263.5418049683794</v>
      </c>
      <c r="U57" s="2"/>
      <c r="V57" s="2"/>
      <c r="W57" s="2"/>
      <c r="X57" s="2"/>
      <c r="Y57" s="104">
        <f>IFERROR(+E57/T57-1,0)</f>
        <v>0.37641442933646263</v>
      </c>
      <c r="Z57" s="9"/>
    </row>
    <row r="58" spans="1:39" ht="12.75">
      <c r="C58" s="12" t="s">
        <v>41</v>
      </c>
      <c r="D58" s="12"/>
      <c r="E58" s="239">
        <f>T$57*(1+'BLS Inflation Index'!I38)*(1+'BLS Inflation Index'!H38)*(1+'BLS Inflation Index'!G38)*(1+'BLS Inflation Index'!F38)*(1+'BLS Inflation Index'!E38)*(1+'BLS Inflation Index'!D38)*(1+'BLS Inflation Index'!C38)*(1.03)</f>
        <v>11426.203992831017</v>
      </c>
      <c r="F58" s="260"/>
      <c r="G58" s="215"/>
      <c r="H58" s="342"/>
      <c r="I58" s="239">
        <f>X$57*(1+'BLS Inflation Index'!M38)*(1+'BLS Inflation Index'!L38)*(1+'BLS Inflation Index'!K38)*(1+'BLS Inflation Index'!J38)*(1+'BLS Inflation Index'!I38)*(1+'BLS Inflation Index'!H38)*(1+'BLS Inflation Index'!G38)*(1.03)</f>
        <v>0</v>
      </c>
      <c r="J58" s="239">
        <f>T$57*(1+'BLS Inflation Index'!I38)*(1+'BLS Inflation Index'!H38)*(1+'BLS Inflation Index'!G38)*(1+'BLS Inflation Index'!F38)*(1+'BLS Inflation Index'!E38)*(1+'BLS Inflation Index'!D38)*(1+'BLS Inflation Index'!C38)</f>
        <v>11093.401934787395</v>
      </c>
      <c r="K58" s="314"/>
      <c r="L58" s="215"/>
      <c r="M58" s="298"/>
      <c r="N58" s="13">
        <f>T$57*(1+'BLS Inflation Index'!I38)*(1+'BLS Inflation Index'!H38)*(1+'BLS Inflation Index'!G38)*(1+'BLS Inflation Index'!F38)*(1+'BLS Inflation Index'!E38)*(1+'BLS Inflation Index'!D38)</f>
        <v>10862.23994183278</v>
      </c>
      <c r="O58" s="13">
        <f>T$57*(1+'BLS Inflation Index'!I38)*(1+'BLS Inflation Index'!H38)*(1+'BLS Inflation Index'!G38)*(1+'BLS Inflation Index'!F38)*(1+'BLS Inflation Index'!E38)</f>
        <v>10642.112757215858</v>
      </c>
      <c r="P58" s="13">
        <f>T$57*(1+'BLS Inflation Index'!I38)*(1+'BLS Inflation Index'!H38)*(1+'BLS Inflation Index'!G38)*(1+'BLS Inflation Index'!F38)</f>
        <v>10304.086979115047</v>
      </c>
      <c r="Q58" s="13">
        <f>T$57*(1+'BLS Inflation Index'!I38)*(1+'BLS Inflation Index'!H38)*(1+'BLS Inflation Index'!G38)</f>
        <v>9698.2532134238299</v>
      </c>
      <c r="R58" s="13">
        <f>T$57*(1+'BLS Inflation Index'!I38)*(1+'BLS Inflation Index'!H38)</f>
        <v>9561.8945936605705</v>
      </c>
      <c r="S58" s="13">
        <f>$T$57*(1+'BLS Inflation Index'!I38)</f>
        <v>9485.486840097763</v>
      </c>
      <c r="T58" s="2"/>
      <c r="U58" s="2"/>
      <c r="V58" s="2"/>
      <c r="W58" s="2"/>
      <c r="X58" s="2"/>
      <c r="Y58" s="104"/>
    </row>
    <row r="59" spans="1:39" ht="12.75">
      <c r="A59" s="7"/>
      <c r="B59" s="7"/>
      <c r="C59" s="14" t="s">
        <v>42</v>
      </c>
      <c r="D59" s="14"/>
      <c r="E59" s="240">
        <f>T$57*(1+'BLS Inflation Index'!I39)*(1+'BLS Inflation Index'!H39)*(1+'BLS Inflation Index'!G39)*(1+'BLS Inflation Index'!F39)*(1+'BLS Inflation Index'!E39)*(1+'BLS Inflation Index'!D39)*(1+'BLS Inflation Index'!C39)*(1.03)</f>
        <v>13376.596314794546</v>
      </c>
      <c r="F59" s="261"/>
      <c r="G59" s="216"/>
      <c r="H59" s="343"/>
      <c r="I59" s="240">
        <f>X$57*(1+'BLS Inflation Index'!M39)*(1+'BLS Inflation Index'!L39)*(1+'BLS Inflation Index'!K39)*(1+'BLS Inflation Index'!J39)*(1+'BLS Inflation Index'!I39)*(1+'BLS Inflation Index'!H39)*(1+'BLS Inflation Index'!G39)*(1.03)</f>
        <v>0</v>
      </c>
      <c r="J59" s="240">
        <f>T$57*(1+'BLS Inflation Index'!I39)*(1+'BLS Inflation Index'!H39)*(1+'BLS Inflation Index'!G39)*(1+'BLS Inflation Index'!F39)*(1+'BLS Inflation Index'!E39)*(1+'BLS Inflation Index'!D39)*(1+'BLS Inflation Index'!C39)</f>
        <v>12986.986713392762</v>
      </c>
      <c r="K59" s="315"/>
      <c r="L59" s="216"/>
      <c r="M59" s="299"/>
      <c r="N59" s="15">
        <f>T$57*(1+'BLS Inflation Index'!I39)*(1+'BLS Inflation Index'!H39)*(1+'BLS Inflation Index'!G39)*(1+'BLS Inflation Index'!F39)*(1+'BLS Inflation Index'!E39)*(1+'BLS Inflation Index'!D39)</f>
        <v>12606.345266634193</v>
      </c>
      <c r="O59" s="15">
        <f>T$57*(1+'BLS Inflation Index'!I39)*(1+'BLS Inflation Index'!H39)*(1+'BLS Inflation Index'!G39)*(1+'BLS Inflation Index'!F39)*(1+'BLS Inflation Index'!E39)</f>
        <v>12158.660567044066</v>
      </c>
      <c r="P59" s="15">
        <f>T$57*(1+'BLS Inflation Index'!I39)*(1+'BLS Inflation Index'!H39)*(1+'BLS Inflation Index'!G39)*(1+'BLS Inflation Index'!F39)</f>
        <v>11439.734861671546</v>
      </c>
      <c r="Q59" s="15">
        <f>T$57*(1+'BLS Inflation Index'!I39)*(1+'BLS Inflation Index'!H39)*(1+'BLS Inflation Index'!G39)</f>
        <v>10518.961295933679</v>
      </c>
      <c r="R59" s="15">
        <f>T$57*(1+'BLS Inflation Index'!I39)*(1+'BLS Inflation Index'!H39)</f>
        <v>9825.908172610063</v>
      </c>
      <c r="S59" s="15">
        <f>$T$57*(1+'BLS Inflation Index'!I39)</f>
        <v>9532.3970678082151</v>
      </c>
      <c r="T59" s="5"/>
      <c r="U59" s="5"/>
      <c r="V59" s="5"/>
      <c r="W59" s="5"/>
      <c r="X59" s="2"/>
      <c r="Y59" s="104"/>
    </row>
    <row r="60" spans="1:39" ht="14.25">
      <c r="A60" s="1"/>
      <c r="B60" s="1"/>
      <c r="C60" s="1"/>
      <c r="D60" s="1"/>
      <c r="E60" s="241">
        <f>E57/$T$57</f>
        <v>1.3764144293364626</v>
      </c>
      <c r="F60" s="262"/>
      <c r="G60" s="217"/>
      <c r="H60" s="344"/>
      <c r="I60" s="132"/>
      <c r="J60" s="287">
        <f>J57/$T$57</f>
        <v>1.3677555007148414</v>
      </c>
      <c r="K60" s="316"/>
      <c r="L60" s="325"/>
      <c r="M60" s="288"/>
      <c r="N60" s="16">
        <f t="shared" ref="N60:T60" si="33">N57/$T$57</f>
        <v>1.2659061298977412</v>
      </c>
      <c r="O60" s="16">
        <f t="shared" si="33"/>
        <v>1.1538566171739946</v>
      </c>
      <c r="P60" s="16">
        <f t="shared" si="33"/>
        <v>1.2301165375006977</v>
      </c>
      <c r="Q60" s="16">
        <f t="shared" si="33"/>
        <v>1.1312630568230968</v>
      </c>
      <c r="R60" s="16">
        <f t="shared" si="33"/>
        <v>1.0155895852113392</v>
      </c>
      <c r="S60" s="16">
        <f t="shared" si="33"/>
        <v>1.0280801031070363</v>
      </c>
      <c r="T60" s="16">
        <f t="shared" si="33"/>
        <v>1</v>
      </c>
      <c r="U60" s="2"/>
      <c r="V60" s="2"/>
      <c r="W60" s="2"/>
      <c r="X60" s="2"/>
      <c r="Y60" s="104">
        <f>IFERROR(+E60/T60-1,0)</f>
        <v>0.37641442933646263</v>
      </c>
    </row>
    <row r="61" spans="1:39" ht="12.75">
      <c r="A61" s="1"/>
      <c r="B61" s="1"/>
      <c r="C61" s="1" t="s">
        <v>12</v>
      </c>
      <c r="D61" s="1"/>
      <c r="E61" s="155"/>
      <c r="F61" s="248"/>
      <c r="G61" s="205"/>
      <c r="H61" s="332"/>
      <c r="I61" s="2"/>
      <c r="J61" s="155"/>
      <c r="K61" s="301"/>
      <c r="L61" s="205"/>
      <c r="M61" s="288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104"/>
    </row>
    <row r="62" spans="1:39" ht="12.75">
      <c r="A62" s="1">
        <v>100</v>
      </c>
      <c r="B62" s="1">
        <v>1000</v>
      </c>
      <c r="C62" s="1" t="s">
        <v>13</v>
      </c>
      <c r="D62" s="1"/>
      <c r="E62" s="155">
        <f t="shared" ref="E62:T62" si="34">E12/E$49</f>
        <v>5489.1428266894054</v>
      </c>
      <c r="F62" s="248"/>
      <c r="G62" s="205"/>
      <c r="H62" s="332"/>
      <c r="I62" s="155">
        <f t="shared" ref="I62" si="35">I12/I$49</f>
        <v>5238.8308168018639</v>
      </c>
      <c r="J62" s="155">
        <f t="shared" si="34"/>
        <v>5249.1839554547332</v>
      </c>
      <c r="K62" s="301"/>
      <c r="L62" s="205"/>
      <c r="M62" s="288"/>
      <c r="N62" s="2">
        <f t="shared" si="34"/>
        <v>5294.2042807806602</v>
      </c>
      <c r="O62" s="2">
        <f t="shared" si="34"/>
        <v>4588.111128296342</v>
      </c>
      <c r="P62" s="2">
        <f t="shared" si="34"/>
        <v>4605.2283087531123</v>
      </c>
      <c r="Q62" s="2">
        <f t="shared" si="34"/>
        <v>4528.2146871130581</v>
      </c>
      <c r="R62" s="2">
        <f t="shared" si="34"/>
        <v>4225.6635777954289</v>
      </c>
      <c r="S62" s="2">
        <f t="shared" si="34"/>
        <v>4083.9979211444279</v>
      </c>
      <c r="T62" s="2">
        <f t="shared" si="34"/>
        <v>4057.1014290206494</v>
      </c>
      <c r="U62" s="2"/>
      <c r="V62" s="2"/>
      <c r="W62" s="2"/>
      <c r="X62" s="2"/>
      <c r="Y62" s="104">
        <f t="shared" ref="Y62:Y78" si="36">IFERROR(+E62/T62-1,0)</f>
        <v>0.35297155437753958</v>
      </c>
    </row>
    <row r="63" spans="1:39" ht="12.75">
      <c r="A63" s="1">
        <v>200</v>
      </c>
      <c r="B63" s="1">
        <v>1000</v>
      </c>
      <c r="C63" s="1" t="s">
        <v>14</v>
      </c>
      <c r="D63" s="1"/>
      <c r="E63" s="155">
        <f t="shared" ref="E63:T63" si="37">E13/E$49</f>
        <v>0</v>
      </c>
      <c r="F63" s="248"/>
      <c r="G63" s="205"/>
      <c r="H63" s="332"/>
      <c r="I63" s="155">
        <f t="shared" ref="I63" si="38">I13/I$49</f>
        <v>0</v>
      </c>
      <c r="J63" s="155">
        <f t="shared" si="37"/>
        <v>0</v>
      </c>
      <c r="K63" s="301"/>
      <c r="L63" s="205"/>
      <c r="M63" s="288"/>
      <c r="N63" s="2">
        <f t="shared" si="37"/>
        <v>0</v>
      </c>
      <c r="O63" s="2">
        <f t="shared" si="37"/>
        <v>0</v>
      </c>
      <c r="P63" s="2">
        <f t="shared" si="37"/>
        <v>691.50316031411603</v>
      </c>
      <c r="Q63" s="2">
        <f t="shared" si="37"/>
        <v>0</v>
      </c>
      <c r="R63" s="2">
        <f t="shared" si="37"/>
        <v>0</v>
      </c>
      <c r="S63" s="2">
        <f t="shared" si="37"/>
        <v>0</v>
      </c>
      <c r="T63" s="2">
        <f t="shared" si="37"/>
        <v>0</v>
      </c>
      <c r="U63" s="2"/>
      <c r="V63" s="2"/>
      <c r="W63" s="2"/>
      <c r="X63" s="2"/>
      <c r="Y63" s="104">
        <f t="shared" si="36"/>
        <v>0</v>
      </c>
    </row>
    <row r="64" spans="1:39" ht="12.75">
      <c r="A64" s="1">
        <v>300</v>
      </c>
      <c r="B64" s="1">
        <v>1000</v>
      </c>
      <c r="C64" s="1" t="s">
        <v>15</v>
      </c>
      <c r="D64" s="1"/>
      <c r="E64" s="155">
        <f t="shared" ref="E64:T64" si="39">E14/E$49</f>
        <v>191.49413771050948</v>
      </c>
      <c r="F64" s="248"/>
      <c r="G64" s="205"/>
      <c r="H64" s="332"/>
      <c r="I64" s="155">
        <f t="shared" ref="I64" si="40">I14/I$49</f>
        <v>170.1507911011164</v>
      </c>
      <c r="J64" s="155">
        <f t="shared" si="39"/>
        <v>168.30047432460302</v>
      </c>
      <c r="K64" s="301"/>
      <c r="L64" s="205"/>
      <c r="M64" s="288"/>
      <c r="N64" s="2">
        <f t="shared" si="39"/>
        <v>158.91173399726929</v>
      </c>
      <c r="O64" s="2">
        <f t="shared" si="39"/>
        <v>128.73598329595546</v>
      </c>
      <c r="P64" s="2">
        <f t="shared" si="39"/>
        <v>130.33403562535912</v>
      </c>
      <c r="Q64" s="2">
        <f t="shared" si="39"/>
        <v>161.60605771978283</v>
      </c>
      <c r="R64" s="2">
        <f t="shared" si="39"/>
        <v>143.64222045715294</v>
      </c>
      <c r="S64" s="2">
        <f t="shared" si="39"/>
        <v>144.09587400021141</v>
      </c>
      <c r="T64" s="2">
        <f t="shared" si="39"/>
        <v>147.41256420111108</v>
      </c>
      <c r="U64" s="2"/>
      <c r="V64" s="2"/>
      <c r="W64" s="2"/>
      <c r="X64" s="2"/>
      <c r="Y64" s="104">
        <f t="shared" si="36"/>
        <v>0.29903538920372541</v>
      </c>
    </row>
    <row r="65" spans="1:39" ht="12.75">
      <c r="A65" s="1">
        <v>600</v>
      </c>
      <c r="B65" s="1">
        <v>1000</v>
      </c>
      <c r="C65" s="1" t="s">
        <v>16</v>
      </c>
      <c r="D65" s="1"/>
      <c r="E65" s="155">
        <f t="shared" ref="E65:T65" si="41">E15/E$49</f>
        <v>0</v>
      </c>
      <c r="F65" s="248"/>
      <c r="G65" s="205"/>
      <c r="H65" s="332"/>
      <c r="I65" s="155">
        <f t="shared" ref="I65" si="42">I15/I$49</f>
        <v>0</v>
      </c>
      <c r="J65" s="155">
        <f t="shared" si="41"/>
        <v>0</v>
      </c>
      <c r="K65" s="301"/>
      <c r="L65" s="205"/>
      <c r="M65" s="288"/>
      <c r="N65" s="2">
        <f t="shared" si="41"/>
        <v>0</v>
      </c>
      <c r="O65" s="2">
        <f t="shared" si="41"/>
        <v>0</v>
      </c>
      <c r="P65" s="2">
        <f t="shared" si="41"/>
        <v>0</v>
      </c>
      <c r="Q65" s="2">
        <f t="shared" si="41"/>
        <v>0</v>
      </c>
      <c r="R65" s="2">
        <f t="shared" si="41"/>
        <v>0</v>
      </c>
      <c r="S65" s="2">
        <f t="shared" si="41"/>
        <v>0</v>
      </c>
      <c r="T65" s="2">
        <f t="shared" si="41"/>
        <v>0</v>
      </c>
      <c r="U65" s="2"/>
      <c r="V65" s="2"/>
      <c r="W65" s="2"/>
      <c r="X65" s="2"/>
      <c r="Y65" s="104">
        <f t="shared" si="36"/>
        <v>0</v>
      </c>
    </row>
    <row r="66" spans="1:39" ht="12.75">
      <c r="A66" s="1">
        <v>900</v>
      </c>
      <c r="B66" s="1">
        <v>1000</v>
      </c>
      <c r="C66" s="1" t="s">
        <v>17</v>
      </c>
      <c r="D66" s="1"/>
      <c r="E66" s="155">
        <f t="shared" ref="E66:T66" si="43">E16/E$49</f>
        <v>139.01364314645065</v>
      </c>
      <c r="F66" s="248"/>
      <c r="G66" s="205"/>
      <c r="H66" s="332"/>
      <c r="I66" s="155">
        <f t="shared" ref="I66" si="44">I16/I$49</f>
        <v>140.18131073809334</v>
      </c>
      <c r="J66" s="155">
        <f t="shared" si="43"/>
        <v>133.71726129098784</v>
      </c>
      <c r="K66" s="301"/>
      <c r="L66" s="205"/>
      <c r="M66" s="288"/>
      <c r="N66" s="2">
        <f t="shared" si="43"/>
        <v>130.04517709420932</v>
      </c>
      <c r="O66" s="2">
        <f t="shared" si="43"/>
        <v>112.87448766530045</v>
      </c>
      <c r="P66" s="2">
        <f t="shared" si="43"/>
        <v>103.59471365638767</v>
      </c>
      <c r="Q66" s="2">
        <f t="shared" si="43"/>
        <v>82.614344223259351</v>
      </c>
      <c r="R66" s="2">
        <f t="shared" si="43"/>
        <v>93.205189303680172</v>
      </c>
      <c r="S66" s="2">
        <f t="shared" si="43"/>
        <v>88.709347803107718</v>
      </c>
      <c r="T66" s="2">
        <f t="shared" si="43"/>
        <v>92.468641906292589</v>
      </c>
      <c r="U66" s="2"/>
      <c r="V66" s="2"/>
      <c r="W66" s="2"/>
      <c r="X66" s="2"/>
      <c r="Y66" s="104">
        <f t="shared" si="36"/>
        <v>0.50335984481448981</v>
      </c>
    </row>
    <row r="67" spans="1:39" ht="12.75">
      <c r="A67" s="1">
        <v>400</v>
      </c>
      <c r="B67" s="1">
        <v>1000</v>
      </c>
      <c r="C67" s="1" t="s">
        <v>18</v>
      </c>
      <c r="D67" s="1"/>
      <c r="E67" s="155">
        <f t="shared" ref="E67:T67" si="45">E17/E$49</f>
        <v>318.98891494350886</v>
      </c>
      <c r="F67" s="248"/>
      <c r="G67" s="205"/>
      <c r="H67" s="332"/>
      <c r="I67" s="155">
        <f t="shared" ref="I67" si="46">I17/I$49</f>
        <v>311.83278451529998</v>
      </c>
      <c r="J67" s="155">
        <f t="shared" si="45"/>
        <v>283.8987420086616</v>
      </c>
      <c r="K67" s="301"/>
      <c r="L67" s="205"/>
      <c r="M67" s="288"/>
      <c r="N67" s="2">
        <f t="shared" si="45"/>
        <v>258.13147538350336</v>
      </c>
      <c r="O67" s="2">
        <f t="shared" si="45"/>
        <v>319.31327816874182</v>
      </c>
      <c r="P67" s="2">
        <f t="shared" si="45"/>
        <v>298.70158973376749</v>
      </c>
      <c r="Q67" s="2">
        <f t="shared" si="45"/>
        <v>342.16363463186968</v>
      </c>
      <c r="R67" s="2">
        <f t="shared" si="45"/>
        <v>307.12293707528022</v>
      </c>
      <c r="S67" s="2">
        <f t="shared" si="45"/>
        <v>295.74715478665303</v>
      </c>
      <c r="T67" s="2">
        <f t="shared" si="45"/>
        <v>286.49453198700257</v>
      </c>
      <c r="U67" s="2"/>
      <c r="V67" s="2"/>
      <c r="W67" s="2"/>
      <c r="X67" s="2"/>
      <c r="Y67" s="104">
        <f t="shared" si="36"/>
        <v>0.11342060433453738</v>
      </c>
    </row>
    <row r="68" spans="1:39" ht="12.75">
      <c r="A68" s="1"/>
      <c r="B68" s="1">
        <v>2100</v>
      </c>
      <c r="C68" s="1" t="s">
        <v>20</v>
      </c>
      <c r="D68" s="1"/>
      <c r="E68" s="155">
        <f t="shared" ref="E68:T68" si="47">E19/E$49</f>
        <v>870.00085269665317</v>
      </c>
      <c r="F68" s="248"/>
      <c r="G68" s="205"/>
      <c r="H68" s="332"/>
      <c r="I68" s="155">
        <f t="shared" ref="I68" si="48">I19/I$49</f>
        <v>861.38061199903632</v>
      </c>
      <c r="J68" s="155">
        <f t="shared" si="47"/>
        <v>810.74902041658072</v>
      </c>
      <c r="K68" s="301"/>
      <c r="L68" s="205"/>
      <c r="M68" s="288"/>
      <c r="N68" s="2">
        <f t="shared" si="47"/>
        <v>816.8797686932777</v>
      </c>
      <c r="O68" s="2">
        <f t="shared" si="47"/>
        <v>627.14059237491301</v>
      </c>
      <c r="P68" s="2">
        <f t="shared" si="47"/>
        <v>562.73587435357206</v>
      </c>
      <c r="Q68" s="2">
        <f t="shared" si="47"/>
        <v>516.94313744166107</v>
      </c>
      <c r="R68" s="2">
        <f t="shared" si="47"/>
        <v>467.81678580884301</v>
      </c>
      <c r="S68" s="2">
        <f t="shared" si="47"/>
        <v>449.65276064973045</v>
      </c>
      <c r="T68" s="2">
        <f t="shared" si="47"/>
        <v>439.48115020439536</v>
      </c>
      <c r="U68" s="2"/>
      <c r="V68" s="2"/>
      <c r="W68" s="2"/>
      <c r="X68" s="2"/>
      <c r="Y68" s="104">
        <f t="shared" si="36"/>
        <v>0.97960902826442098</v>
      </c>
    </row>
    <row r="69" spans="1:39" ht="12.75">
      <c r="B69" s="1">
        <v>2200</v>
      </c>
      <c r="C69" s="1" t="s">
        <v>21</v>
      </c>
      <c r="D69" s="1"/>
      <c r="E69" s="155">
        <f t="shared" ref="E69:T69" si="49">E20/E$49</f>
        <v>313.92005968876572</v>
      </c>
      <c r="F69" s="248"/>
      <c r="G69" s="205"/>
      <c r="H69" s="332"/>
      <c r="I69" s="155">
        <f t="shared" ref="I69" si="50">I20/I$49</f>
        <v>279.89277969640995</v>
      </c>
      <c r="J69" s="155">
        <f t="shared" si="49"/>
        <v>288.2278820375335</v>
      </c>
      <c r="K69" s="301"/>
      <c r="L69" s="205"/>
      <c r="M69" s="288"/>
      <c r="N69" s="2">
        <f t="shared" si="49"/>
        <v>273.80511605493535</v>
      </c>
      <c r="O69" s="2">
        <f t="shared" si="49"/>
        <v>243.61708297888796</v>
      </c>
      <c r="P69" s="2">
        <f t="shared" si="49"/>
        <v>220.56023750239419</v>
      </c>
      <c r="Q69" s="2">
        <f t="shared" si="49"/>
        <v>232.14782360224783</v>
      </c>
      <c r="R69" s="2">
        <f t="shared" si="49"/>
        <v>210.98084899832318</v>
      </c>
      <c r="S69" s="2">
        <f t="shared" si="49"/>
        <v>215.29051125753145</v>
      </c>
      <c r="T69" s="2">
        <f t="shared" si="49"/>
        <v>207.30827015128753</v>
      </c>
      <c r="U69" s="2"/>
      <c r="V69" s="2"/>
      <c r="W69" s="2"/>
      <c r="X69" s="2"/>
      <c r="Y69" s="104">
        <f t="shared" si="36"/>
        <v>0.51426693908388699</v>
      </c>
    </row>
    <row r="70" spans="1:39" ht="12.75">
      <c r="B70" s="1">
        <v>2300</v>
      </c>
      <c r="C70" s="1" t="s">
        <v>22</v>
      </c>
      <c r="D70" s="1"/>
      <c r="E70" s="155">
        <f t="shared" ref="E70:T70" si="51">E21/E$49</f>
        <v>235.39927520784482</v>
      </c>
      <c r="F70" s="248"/>
      <c r="G70" s="205"/>
      <c r="H70" s="332"/>
      <c r="I70" s="155">
        <f t="shared" ref="I70" si="52">I21/I$49</f>
        <v>234.45928037908604</v>
      </c>
      <c r="J70" s="155">
        <f t="shared" si="51"/>
        <v>249.77253041864302</v>
      </c>
      <c r="K70" s="301"/>
      <c r="L70" s="205"/>
      <c r="M70" s="288"/>
      <c r="N70" s="2">
        <f t="shared" si="51"/>
        <v>239.79660268251547</v>
      </c>
      <c r="O70" s="2">
        <f t="shared" si="51"/>
        <v>162.36157296419458</v>
      </c>
      <c r="P70" s="2">
        <f t="shared" si="51"/>
        <v>107.17276383834515</v>
      </c>
      <c r="Q70" s="2">
        <f t="shared" si="51"/>
        <v>99.078578912277365</v>
      </c>
      <c r="R70" s="2">
        <f t="shared" si="51"/>
        <v>95.480187097343574</v>
      </c>
      <c r="S70" s="2">
        <f t="shared" si="51"/>
        <v>87.034988196328527</v>
      </c>
      <c r="T70" s="2">
        <f t="shared" si="51"/>
        <v>108.4497397016177</v>
      </c>
      <c r="U70" s="2"/>
      <c r="V70" s="2"/>
      <c r="W70" s="2"/>
      <c r="X70" s="2"/>
      <c r="Y70" s="104">
        <f t="shared" si="36"/>
        <v>1.1705840498604116</v>
      </c>
    </row>
    <row r="71" spans="1:39" ht="12.75">
      <c r="B71" s="1">
        <v>2400</v>
      </c>
      <c r="C71" s="1" t="s">
        <v>23</v>
      </c>
      <c r="D71" s="1"/>
      <c r="E71" s="155">
        <f t="shared" ref="E71:T71" si="53">E22/E$49</f>
        <v>1232.6493285013855</v>
      </c>
      <c r="F71" s="248"/>
      <c r="G71" s="205"/>
      <c r="H71" s="332"/>
      <c r="I71" s="155">
        <f t="shared" ref="I71" si="54">I22/I$49</f>
        <v>1147.1608706128022</v>
      </c>
      <c r="J71" s="155">
        <f t="shared" si="53"/>
        <v>1148.0723860589812</v>
      </c>
      <c r="K71" s="301"/>
      <c r="L71" s="205"/>
      <c r="M71" s="288"/>
      <c r="N71" s="2">
        <f t="shared" si="53"/>
        <v>1111.811300297165</v>
      </c>
      <c r="O71" s="2">
        <f t="shared" si="53"/>
        <v>906.08885623695005</v>
      </c>
      <c r="P71" s="2">
        <f t="shared" si="53"/>
        <v>900.62114537444938</v>
      </c>
      <c r="Q71" s="2">
        <f t="shared" si="53"/>
        <v>870.82045909134206</v>
      </c>
      <c r="R71" s="2">
        <f t="shared" si="53"/>
        <v>819.05356985261676</v>
      </c>
      <c r="S71" s="2">
        <f t="shared" si="53"/>
        <v>815.6546633311018</v>
      </c>
      <c r="T71" s="2">
        <f t="shared" si="53"/>
        <v>791.84672093917061</v>
      </c>
      <c r="U71" s="2"/>
      <c r="V71" s="2"/>
      <c r="W71" s="2"/>
      <c r="X71" s="2"/>
      <c r="Y71" s="104">
        <f t="shared" si="36"/>
        <v>0.55667668490108868</v>
      </c>
    </row>
    <row r="72" spans="1:39" ht="12.75">
      <c r="B72" s="1">
        <v>2500</v>
      </c>
      <c r="C72" s="1" t="s">
        <v>24</v>
      </c>
      <c r="D72" s="1"/>
      <c r="E72" s="155">
        <f t="shared" ref="E72:T72" si="55">E23/E$49</f>
        <v>565.01215092730763</v>
      </c>
      <c r="F72" s="248"/>
      <c r="G72" s="205"/>
      <c r="H72" s="332"/>
      <c r="I72" s="155">
        <f t="shared" ref="I72" si="56">I23/I$49</f>
        <v>528.05658180065859</v>
      </c>
      <c r="J72" s="155">
        <f t="shared" si="55"/>
        <v>572.68096514745309</v>
      </c>
      <c r="K72" s="301"/>
      <c r="L72" s="205"/>
      <c r="M72" s="288"/>
      <c r="N72" s="2">
        <f t="shared" si="55"/>
        <v>468.64006907075742</v>
      </c>
      <c r="O72" s="2">
        <f t="shared" si="55"/>
        <v>408.56623617662984</v>
      </c>
      <c r="P72" s="2">
        <f t="shared" si="55"/>
        <v>425.17506224861137</v>
      </c>
      <c r="Q72" s="2">
        <f t="shared" si="55"/>
        <v>372.96828269358986</v>
      </c>
      <c r="R72" s="2">
        <f t="shared" si="55"/>
        <v>336.83911393522197</v>
      </c>
      <c r="S72" s="2">
        <f t="shared" si="55"/>
        <v>345.17159367182273</v>
      </c>
      <c r="T72" s="2">
        <f t="shared" si="55"/>
        <v>324.65252786415567</v>
      </c>
      <c r="U72" s="2"/>
      <c r="V72" s="2"/>
      <c r="W72" s="2"/>
      <c r="X72" s="2"/>
      <c r="Y72" s="104">
        <f t="shared" si="36"/>
        <v>0.74035962277714229</v>
      </c>
    </row>
    <row r="73" spans="1:39" ht="12.75">
      <c r="B73" s="1">
        <v>2600</v>
      </c>
      <c r="C73" s="1" t="s">
        <v>25</v>
      </c>
      <c r="D73" s="1"/>
      <c r="E73" s="155">
        <f t="shared" ref="E73:T73" si="57">E24/E$49</f>
        <v>1965.455766361117</v>
      </c>
      <c r="F73" s="248"/>
      <c r="G73" s="205"/>
      <c r="H73" s="332"/>
      <c r="I73" s="155">
        <f t="shared" ref="I73" si="58">I24/I$49</f>
        <v>1722.4022166894226</v>
      </c>
      <c r="J73" s="155">
        <f t="shared" si="57"/>
        <v>1864.2223138791503</v>
      </c>
      <c r="K73" s="301"/>
      <c r="L73" s="205"/>
      <c r="M73" s="288"/>
      <c r="N73" s="2">
        <f t="shared" si="57"/>
        <v>1804.7988113404547</v>
      </c>
      <c r="O73" s="2">
        <f t="shared" si="57"/>
        <v>1533.835550228134</v>
      </c>
      <c r="P73" s="2">
        <f t="shared" si="57"/>
        <v>1418.253591266041</v>
      </c>
      <c r="Q73" s="2">
        <f t="shared" si="57"/>
        <v>1351.915039527574</v>
      </c>
      <c r="R73" s="2">
        <f t="shared" si="57"/>
        <v>1284.4587415056042</v>
      </c>
      <c r="S73" s="2">
        <f t="shared" si="57"/>
        <v>1227.516119939396</v>
      </c>
      <c r="T73" s="2">
        <f t="shared" si="57"/>
        <v>1206.002760211034</v>
      </c>
      <c r="U73" s="2"/>
      <c r="V73" s="2"/>
      <c r="W73" s="2"/>
      <c r="X73" s="2"/>
      <c r="Y73" s="104">
        <f t="shared" si="36"/>
        <v>0.62972741954354161</v>
      </c>
    </row>
    <row r="74" spans="1:39" ht="12.75">
      <c r="B74" s="1">
        <v>2700</v>
      </c>
      <c r="C74" s="1" t="s">
        <v>26</v>
      </c>
      <c r="D74" s="1"/>
      <c r="E74" s="155">
        <f t="shared" ref="E74:T74" si="59">E25/E$49</f>
        <v>954.06309955233428</v>
      </c>
      <c r="F74" s="248"/>
      <c r="G74" s="205"/>
      <c r="H74" s="332"/>
      <c r="I74" s="155">
        <f t="shared" ref="I74" si="60">I25/I$49</f>
        <v>820.39394426150511</v>
      </c>
      <c r="J74" s="155">
        <f t="shared" si="59"/>
        <v>960.75561971540526</v>
      </c>
      <c r="K74" s="301"/>
      <c r="L74" s="205"/>
      <c r="M74" s="288"/>
      <c r="N74" s="2">
        <f t="shared" si="59"/>
        <v>916.6247690948519</v>
      </c>
      <c r="O74" s="2">
        <f t="shared" si="59"/>
        <v>627.84606758951361</v>
      </c>
      <c r="P74" s="2">
        <f t="shared" si="59"/>
        <v>734.56387665198235</v>
      </c>
      <c r="Q74" s="2">
        <f t="shared" si="59"/>
        <v>677.75540527669307</v>
      </c>
      <c r="R74" s="2">
        <f t="shared" si="59"/>
        <v>611.69605507016149</v>
      </c>
      <c r="S74" s="2">
        <f t="shared" si="59"/>
        <v>608.53053098904195</v>
      </c>
      <c r="T74" s="2">
        <f t="shared" si="59"/>
        <v>576.30743160616328</v>
      </c>
      <c r="U74" s="2"/>
      <c r="V74" s="2"/>
      <c r="W74" s="2"/>
      <c r="X74" s="2"/>
      <c r="Y74" s="104">
        <f t="shared" si="36"/>
        <v>0.65547596166401956</v>
      </c>
    </row>
    <row r="75" spans="1:39" ht="12.75">
      <c r="B75" s="1">
        <v>2900</v>
      </c>
      <c r="C75" s="1" t="s">
        <v>27</v>
      </c>
      <c r="D75" s="1"/>
      <c r="E75" s="155">
        <f t="shared" ref="E75:T75" si="61">E26/E$49</f>
        <v>62.161586015774887</v>
      </c>
      <c r="F75" s="248"/>
      <c r="G75" s="205"/>
      <c r="H75" s="332"/>
      <c r="I75" s="155">
        <f t="shared" ref="I75" si="62">I26/I$49</f>
        <v>36.191872138784035</v>
      </c>
      <c r="J75" s="155">
        <f t="shared" si="61"/>
        <v>78.678284182305632</v>
      </c>
      <c r="K75" s="301"/>
      <c r="L75" s="205"/>
      <c r="M75" s="288"/>
      <c r="N75" s="2">
        <f t="shared" si="61"/>
        <v>50.685888683639874</v>
      </c>
      <c r="O75" s="2">
        <f t="shared" si="61"/>
        <v>47.798314128837681</v>
      </c>
      <c r="P75" s="2">
        <f t="shared" si="61"/>
        <v>174.91859796973759</v>
      </c>
      <c r="Q75" s="2">
        <f t="shared" si="61"/>
        <v>21.398037908372228</v>
      </c>
      <c r="R75" s="2">
        <f t="shared" si="61"/>
        <v>26.013238019592269</v>
      </c>
      <c r="S75" s="2">
        <f t="shared" si="61"/>
        <v>29.535780980233255</v>
      </c>
      <c r="T75" s="2">
        <f t="shared" si="61"/>
        <v>26.669054190978652</v>
      </c>
      <c r="U75" s="2"/>
      <c r="V75" s="2"/>
      <c r="W75" s="2"/>
      <c r="X75" s="2"/>
      <c r="Y75" s="104">
        <f t="shared" si="36"/>
        <v>1.3308507894817772</v>
      </c>
    </row>
    <row r="76" spans="1:39" ht="12.75">
      <c r="B76" s="1">
        <v>4000</v>
      </c>
      <c r="C76" s="1" t="s">
        <v>28</v>
      </c>
      <c r="D76" s="1"/>
      <c r="E76" s="155">
        <f t="shared" ref="E76:T76" si="63">E27/E$49</f>
        <v>98.486463440630999</v>
      </c>
      <c r="F76" s="248"/>
      <c r="G76" s="205"/>
      <c r="H76" s="332"/>
      <c r="I76" s="155">
        <f t="shared" ref="I76" si="64">I27/I$49</f>
        <v>75.694723315396359</v>
      </c>
      <c r="J76" s="155">
        <f t="shared" si="63"/>
        <v>97.752113837904716</v>
      </c>
      <c r="K76" s="301"/>
      <c r="L76" s="205"/>
      <c r="M76" s="288"/>
      <c r="N76" s="2">
        <f t="shared" si="63"/>
        <v>87.285358605734487</v>
      </c>
      <c r="O76" s="2">
        <f t="shared" si="63"/>
        <v>57.808367488979975</v>
      </c>
      <c r="P76" s="2">
        <f t="shared" si="63"/>
        <v>61.548362382685312</v>
      </c>
      <c r="Q76" s="2">
        <f t="shared" si="63"/>
        <v>97.009238975140491</v>
      </c>
      <c r="R76" s="2">
        <f t="shared" si="63"/>
        <v>159.43888447621569</v>
      </c>
      <c r="S76" s="2">
        <f t="shared" si="63"/>
        <v>0.10623304323314894</v>
      </c>
      <c r="T76" s="2">
        <f t="shared" si="63"/>
        <v>19.330037385136787</v>
      </c>
      <c r="U76" s="2"/>
      <c r="V76" s="2"/>
      <c r="W76" s="2"/>
      <c r="X76" s="2"/>
      <c r="Y76" s="104">
        <f t="shared" si="36"/>
        <v>4.094996014666739</v>
      </c>
    </row>
    <row r="77" spans="1:39" ht="12.75">
      <c r="B77" s="1">
        <v>8000</v>
      </c>
      <c r="C77" s="1" t="s">
        <v>29</v>
      </c>
      <c r="D77" s="1"/>
      <c r="E77" s="155">
        <f t="shared" ref="E77:T77" si="65">E28/E$49</f>
        <v>0</v>
      </c>
      <c r="F77" s="248"/>
      <c r="G77" s="205"/>
      <c r="H77" s="332"/>
      <c r="I77" s="155">
        <f t="shared" ref="I77" si="66">I28/I$49</f>
        <v>0</v>
      </c>
      <c r="J77" s="155">
        <f t="shared" si="65"/>
        <v>0</v>
      </c>
      <c r="K77" s="301"/>
      <c r="L77" s="205"/>
      <c r="M77" s="288"/>
      <c r="N77" s="2">
        <f t="shared" si="65"/>
        <v>64.771705083929007</v>
      </c>
      <c r="O77" s="2">
        <f t="shared" si="65"/>
        <v>101.06526950738537</v>
      </c>
      <c r="P77" s="2">
        <f t="shared" si="65"/>
        <v>100.16586860754644</v>
      </c>
      <c r="Q77" s="2">
        <f t="shared" si="65"/>
        <v>99.618249357081623</v>
      </c>
      <c r="R77" s="2">
        <f t="shared" si="65"/>
        <v>92.254522990027354</v>
      </c>
      <c r="S77" s="2">
        <f t="shared" si="65"/>
        <v>83.927275289806559</v>
      </c>
      <c r="T77" s="2">
        <f t="shared" si="65"/>
        <v>89.840501729499323</v>
      </c>
      <c r="U77" s="2"/>
      <c r="V77" s="2"/>
      <c r="W77" s="2"/>
      <c r="X77" s="2"/>
      <c r="Y77" s="104">
        <f t="shared" si="36"/>
        <v>-1</v>
      </c>
    </row>
    <row r="78" spans="1:39" ht="12.75">
      <c r="B78" s="1">
        <v>9000</v>
      </c>
      <c r="C78" s="1" t="s">
        <v>30</v>
      </c>
      <c r="D78" s="1"/>
      <c r="E78" s="155">
        <f t="shared" ref="E78:T78" si="67">E29/E$49</f>
        <v>1406.9494777232999</v>
      </c>
      <c r="F78" s="248"/>
      <c r="G78" s="205"/>
      <c r="H78" s="332"/>
      <c r="I78" s="155">
        <f t="shared" ref="I78" si="68">I29/I$49</f>
        <v>1325.1947634728135</v>
      </c>
      <c r="J78" s="155">
        <f t="shared" si="67"/>
        <v>1381.728191379666</v>
      </c>
      <c r="K78" s="301"/>
      <c r="L78" s="205"/>
      <c r="M78" s="288"/>
      <c r="N78" s="2">
        <f t="shared" si="67"/>
        <v>1345.2734720102803</v>
      </c>
      <c r="O78" s="2">
        <f t="shared" si="67"/>
        <v>1005.3360142293714</v>
      </c>
      <c r="P78" s="2">
        <f t="shared" si="67"/>
        <v>267.37330013407393</v>
      </c>
      <c r="Q78" s="2">
        <f t="shared" si="67"/>
        <v>761.97733117439759</v>
      </c>
      <c r="R78" s="2">
        <f t="shared" si="67"/>
        <v>670.72632600829581</v>
      </c>
      <c r="S78" s="2">
        <f t="shared" si="67"/>
        <v>739.9316444099926</v>
      </c>
      <c r="T78" s="2">
        <f t="shared" si="67"/>
        <v>751.19667377100734</v>
      </c>
      <c r="U78" s="2"/>
      <c r="V78" s="2"/>
      <c r="W78" s="2"/>
      <c r="X78" s="2"/>
      <c r="Y78" s="104">
        <f t="shared" si="36"/>
        <v>0.87294423264737508</v>
      </c>
    </row>
    <row r="79" spans="1:39" ht="12.75">
      <c r="E79" s="155">
        <f t="shared" ref="E79:T79" si="69">E30/E$49</f>
        <v>0</v>
      </c>
      <c r="F79" s="248"/>
      <c r="G79" s="205"/>
      <c r="H79" s="332"/>
      <c r="I79" s="155">
        <f t="shared" ref="I79" si="70">I30/I$49</f>
        <v>0</v>
      </c>
      <c r="J79" s="155">
        <f t="shared" si="69"/>
        <v>0</v>
      </c>
      <c r="K79" s="301"/>
      <c r="L79" s="205"/>
      <c r="M79" s="288"/>
      <c r="N79" s="2">
        <f t="shared" si="69"/>
        <v>0</v>
      </c>
      <c r="O79" s="2">
        <f t="shared" si="69"/>
        <v>0</v>
      </c>
      <c r="P79" s="2">
        <f t="shared" si="69"/>
        <v>0</v>
      </c>
      <c r="Q79" s="2">
        <f t="shared" si="69"/>
        <v>0</v>
      </c>
      <c r="R79" s="2">
        <f t="shared" si="69"/>
        <v>0</v>
      </c>
      <c r="S79" s="2">
        <f t="shared" si="69"/>
        <v>0</v>
      </c>
      <c r="T79" s="2">
        <f t="shared" si="69"/>
        <v>0</v>
      </c>
      <c r="U79" s="2"/>
      <c r="V79" s="2"/>
      <c r="W79" s="2"/>
      <c r="X79" s="2"/>
      <c r="Y79" s="104"/>
    </row>
    <row r="80" spans="1:39" ht="12.75">
      <c r="E80" s="176">
        <f t="shared" ref="E80:T80" si="71">E31/E$49</f>
        <v>0</v>
      </c>
      <c r="F80" s="251"/>
      <c r="G80" s="209"/>
      <c r="H80" s="335"/>
      <c r="I80" s="176">
        <f t="shared" ref="I80" si="72">I31/I$49</f>
        <v>0</v>
      </c>
      <c r="J80" s="176">
        <f t="shared" si="71"/>
        <v>0</v>
      </c>
      <c r="K80" s="304"/>
      <c r="L80" s="209"/>
      <c r="M80" s="293"/>
      <c r="N80" s="5">
        <f t="shared" si="71"/>
        <v>0</v>
      </c>
      <c r="O80" s="5">
        <f t="shared" si="71"/>
        <v>0</v>
      </c>
      <c r="P80" s="5">
        <f t="shared" si="71"/>
        <v>0</v>
      </c>
      <c r="Q80" s="5">
        <f t="shared" si="71"/>
        <v>0</v>
      </c>
      <c r="R80" s="5">
        <f t="shared" si="71"/>
        <v>0</v>
      </c>
      <c r="S80" s="5">
        <f t="shared" si="71"/>
        <v>0</v>
      </c>
      <c r="T80" s="5">
        <f t="shared" si="71"/>
        <v>0</v>
      </c>
      <c r="U80" s="128"/>
      <c r="V80" s="128"/>
      <c r="W80" s="128"/>
      <c r="X80" s="2"/>
      <c r="Y80" s="104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</row>
    <row r="81" spans="1:26" ht="12.75">
      <c r="A81" s="9"/>
      <c r="B81" s="9"/>
      <c r="C81" s="9" t="s">
        <v>31</v>
      </c>
      <c r="D81" s="9"/>
      <c r="E81" s="238">
        <f t="shared" ref="E81:T81" si="73">E32/E$49</f>
        <v>13842.737582604988</v>
      </c>
      <c r="F81" s="259"/>
      <c r="G81" s="214"/>
      <c r="H81" s="341"/>
      <c r="I81" s="238">
        <f t="shared" ref="I81" si="74">I32/I$49</f>
        <v>12891.823347522288</v>
      </c>
      <c r="J81" s="238">
        <f t="shared" si="73"/>
        <v>13287.739740152609</v>
      </c>
      <c r="K81" s="313"/>
      <c r="L81" s="214"/>
      <c r="M81" s="297"/>
      <c r="N81" s="11">
        <f t="shared" si="73"/>
        <v>13021.665528873184</v>
      </c>
      <c r="O81" s="11">
        <f t="shared" si="73"/>
        <v>10870.498801330137</v>
      </c>
      <c r="P81" s="11">
        <f t="shared" si="73"/>
        <v>10802.450488412182</v>
      </c>
      <c r="Q81" s="11">
        <f t="shared" si="73"/>
        <v>10216.230307648348</v>
      </c>
      <c r="R81" s="11">
        <f t="shared" si="73"/>
        <v>9544.3921983937871</v>
      </c>
      <c r="S81" s="11">
        <f t="shared" si="73"/>
        <v>9214.9023994926192</v>
      </c>
      <c r="T81" s="11">
        <f t="shared" si="73"/>
        <v>9124.5620348695011</v>
      </c>
      <c r="U81" s="2"/>
      <c r="V81" s="2"/>
      <c r="W81" s="2"/>
      <c r="X81" s="2"/>
      <c r="Y81" s="104">
        <f>IFERROR(+E81/T81-1,0)</f>
        <v>0.51708515210976547</v>
      </c>
      <c r="Z81" s="9"/>
    </row>
    <row r="82" spans="1:26" ht="14.25">
      <c r="E82" s="242">
        <f>E81/$T$81</f>
        <v>1.5170851521097655</v>
      </c>
      <c r="F82" s="263"/>
      <c r="G82" s="218"/>
      <c r="H82" s="345"/>
      <c r="I82" s="242">
        <f>I81/$T$81</f>
        <v>1.412870371011365</v>
      </c>
      <c r="J82" s="287">
        <f>J81/$T$81</f>
        <v>1.4562605513967168</v>
      </c>
      <c r="K82" s="316"/>
      <c r="L82" s="325"/>
      <c r="M82" s="288"/>
      <c r="N82" s="16">
        <f t="shared" ref="N82:T82" si="75">N81/$T$81</f>
        <v>1.4271003341432615</v>
      </c>
      <c r="O82" s="16">
        <f t="shared" si="75"/>
        <v>1.1913447198658458</v>
      </c>
      <c r="P82" s="16">
        <f t="shared" si="75"/>
        <v>1.1838870125635217</v>
      </c>
      <c r="Q82" s="16">
        <f t="shared" si="75"/>
        <v>1.1196406215012882</v>
      </c>
      <c r="R82" s="16">
        <f t="shared" si="75"/>
        <v>1.0460109933956179</v>
      </c>
      <c r="S82" s="16">
        <f t="shared" si="75"/>
        <v>1.009900789131345</v>
      </c>
      <c r="T82" s="16">
        <f t="shared" si="75"/>
        <v>1</v>
      </c>
      <c r="U82" s="2"/>
      <c r="V82" s="2"/>
      <c r="W82" s="2"/>
      <c r="X82" s="2"/>
    </row>
    <row r="83" spans="1:26" ht="14.25">
      <c r="C83" s="1" t="s">
        <v>32</v>
      </c>
      <c r="D83" s="1"/>
      <c r="E83" s="243">
        <f t="shared" ref="E83:T83" si="76">E34/E$49</f>
        <v>-1092.2649754849713</v>
      </c>
      <c r="F83" s="264"/>
      <c r="G83" s="219"/>
      <c r="H83" s="338"/>
      <c r="I83" s="243">
        <f t="shared" ref="I83" si="77">I34/I$49</f>
        <v>-1027.8017829893181</v>
      </c>
      <c r="J83" s="243">
        <f t="shared" si="76"/>
        <v>-617.47948030521752</v>
      </c>
      <c r="K83" s="317"/>
      <c r="L83" s="326"/>
      <c r="M83" s="292"/>
      <c r="N83" s="199">
        <f t="shared" si="76"/>
        <v>-1294.891173399727</v>
      </c>
      <c r="O83" s="199">
        <f t="shared" si="76"/>
        <v>-181.69979119944321</v>
      </c>
      <c r="P83" s="10">
        <f t="shared" si="76"/>
        <v>592.78548170848501</v>
      </c>
      <c r="Q83" s="10">
        <f t="shared" si="76"/>
        <v>263.27231164872848</v>
      </c>
      <c r="R83" s="10">
        <f t="shared" si="76"/>
        <v>-136.43561909804959</v>
      </c>
      <c r="S83" s="10">
        <f t="shared" si="76"/>
        <v>308.76061449561325</v>
      </c>
      <c r="T83" s="10">
        <f t="shared" si="76"/>
        <v>138.97977009887845</v>
      </c>
      <c r="U83" s="2"/>
      <c r="V83" s="2"/>
      <c r="W83" s="2"/>
      <c r="X83" s="2"/>
    </row>
    <row r="84" spans="1:26" ht="12.75">
      <c r="E84" s="237"/>
      <c r="F84" s="258"/>
      <c r="G84" s="213"/>
      <c r="H84" s="332"/>
      <c r="I84" s="10"/>
      <c r="J84" s="155"/>
      <c r="K84" s="301"/>
      <c r="L84" s="205"/>
      <c r="M84" s="288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6" ht="12.75">
      <c r="A85" s="6"/>
      <c r="B85" s="6"/>
      <c r="C85" s="6" t="s">
        <v>33</v>
      </c>
      <c r="D85" s="6"/>
      <c r="E85" s="237">
        <f t="shared" ref="E85:T85" si="78">E36/E$49</f>
        <v>-1294.5482839479855</v>
      </c>
      <c r="F85" s="258"/>
      <c r="G85" s="213"/>
      <c r="H85" s="332"/>
      <c r="I85" s="10"/>
      <c r="J85" s="237">
        <f t="shared" si="78"/>
        <v>242.48195504227675</v>
      </c>
      <c r="K85" s="312"/>
      <c r="L85" s="213"/>
      <c r="M85" s="288"/>
      <c r="N85" s="10">
        <f t="shared" si="78"/>
        <v>837.27270901935594</v>
      </c>
      <c r="O85" s="10">
        <f t="shared" si="78"/>
        <v>2053.0177480473285</v>
      </c>
      <c r="P85" s="10">
        <f t="shared" si="78"/>
        <v>2213.9155334227162</v>
      </c>
      <c r="Q85" s="10">
        <f t="shared" si="78"/>
        <v>1612.3287932184016</v>
      </c>
      <c r="R85" s="10">
        <f t="shared" si="78"/>
        <v>1249.9994704792164</v>
      </c>
      <c r="S85" s="10">
        <f t="shared" si="78"/>
        <v>1383.8215707691766</v>
      </c>
      <c r="T85" s="10">
        <f t="shared" si="78"/>
        <v>1066.0460850424513</v>
      </c>
      <c r="U85" s="2"/>
      <c r="V85" s="2"/>
      <c r="W85" s="2"/>
      <c r="X85" s="2"/>
      <c r="Y85" s="104">
        <f>IFERROR(+E85/T85-1,0)</f>
        <v>-2.2143455166822692</v>
      </c>
    </row>
    <row r="86" spans="1:26" ht="12.75">
      <c r="C86" s="1"/>
      <c r="D86" s="1"/>
      <c r="E86" s="155"/>
      <c r="F86" s="248"/>
      <c r="G86" s="205"/>
      <c r="H86" s="332"/>
      <c r="I86" s="2"/>
      <c r="J86" s="155"/>
      <c r="K86" s="301"/>
      <c r="L86" s="205"/>
      <c r="M86" s="288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6" ht="12.75">
      <c r="C87" s="1" t="s">
        <v>34</v>
      </c>
      <c r="D87" s="1"/>
      <c r="E87" s="237">
        <f t="shared" ref="E87:T87" si="79">E38/E$49</f>
        <v>107.4465998720955</v>
      </c>
      <c r="F87" s="258"/>
      <c r="G87" s="213"/>
      <c r="H87" s="332"/>
      <c r="I87" s="10"/>
      <c r="J87" s="237">
        <f t="shared" si="79"/>
        <v>-86.791709630851727</v>
      </c>
      <c r="K87" s="312"/>
      <c r="L87" s="213"/>
      <c r="M87" s="288"/>
      <c r="N87" s="10">
        <f t="shared" si="79"/>
        <v>1732.0968195325677</v>
      </c>
      <c r="O87" s="10">
        <f t="shared" si="79"/>
        <v>-33.451782538086768</v>
      </c>
      <c r="P87" s="10">
        <f t="shared" si="79"/>
        <v>530.45259528825898</v>
      </c>
      <c r="Q87" s="10">
        <f t="shared" si="79"/>
        <v>-84.513382226878747</v>
      </c>
      <c r="R87" s="10">
        <f t="shared" si="79"/>
        <v>312.0863118877416</v>
      </c>
      <c r="S87" s="10">
        <f t="shared" si="79"/>
        <v>13.179768154751418</v>
      </c>
      <c r="T87" s="10">
        <f t="shared" si="79"/>
        <v>375.59571643199052</v>
      </c>
      <c r="U87" s="2"/>
      <c r="V87" s="2"/>
      <c r="W87" s="2"/>
      <c r="X87" s="2"/>
    </row>
    <row r="88" spans="1:26" ht="12.75">
      <c r="C88" s="1" t="s">
        <v>35</v>
      </c>
      <c r="D88" s="1"/>
      <c r="E88" s="237">
        <f t="shared" ref="E88:T88" si="80">E39/E$49</f>
        <v>-2384.5269665316564</v>
      </c>
      <c r="F88" s="258"/>
      <c r="G88" s="213"/>
      <c r="H88" s="332"/>
      <c r="I88" s="10"/>
      <c r="J88" s="237">
        <f t="shared" si="80"/>
        <v>-811.98082078779134</v>
      </c>
      <c r="K88" s="312"/>
      <c r="L88" s="213"/>
      <c r="M88" s="288"/>
      <c r="N88" s="10">
        <f t="shared" si="80"/>
        <v>-189.36972933900893</v>
      </c>
      <c r="O88" s="10">
        <f t="shared" si="80"/>
        <v>1064.4843786250096</v>
      </c>
      <c r="P88" s="10">
        <f t="shared" si="80"/>
        <v>1234.5839877418118</v>
      </c>
      <c r="Q88" s="10">
        <f t="shared" si="80"/>
        <v>638.31412515477666</v>
      </c>
      <c r="R88" s="10">
        <f t="shared" si="80"/>
        <v>347.50366251875386</v>
      </c>
      <c r="S88" s="10">
        <f t="shared" si="80"/>
        <v>483.0270251224411</v>
      </c>
      <c r="T88" s="10">
        <f t="shared" si="80"/>
        <v>172.80510813738164</v>
      </c>
      <c r="U88" s="2"/>
      <c r="V88" s="2"/>
      <c r="W88" s="2"/>
      <c r="X88" s="2"/>
    </row>
    <row r="89" spans="1:26" ht="12.75">
      <c r="E89" s="155"/>
      <c r="F89" s="248"/>
      <c r="G89" s="205"/>
      <c r="H89" s="332"/>
      <c r="I89" s="2"/>
      <c r="J89" s="155"/>
      <c r="K89" s="301"/>
      <c r="L89" s="205"/>
      <c r="M89" s="288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6" ht="12.75">
      <c r="C90" s="1" t="s">
        <v>43</v>
      </c>
      <c r="D90" s="1"/>
      <c r="E90" s="155">
        <f>E57*0.04</f>
        <v>510.01890428480067</v>
      </c>
      <c r="F90" s="248"/>
      <c r="G90" s="205"/>
      <c r="H90" s="332"/>
      <c r="I90" s="2"/>
      <c r="J90" s="155"/>
      <c r="K90" s="301"/>
      <c r="L90" s="205"/>
      <c r="M90" s="288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6" ht="12.75">
      <c r="C91" s="1" t="s">
        <v>44</v>
      </c>
      <c r="D91" s="1"/>
      <c r="E91" s="176">
        <f>E90-E85</f>
        <v>1804.5671882327861</v>
      </c>
      <c r="F91" s="248"/>
      <c r="G91" s="205"/>
      <c r="H91" s="346"/>
      <c r="I91" s="2"/>
      <c r="J91" s="155"/>
      <c r="K91" s="301"/>
      <c r="L91" s="205"/>
      <c r="M91" s="288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6" ht="12.75">
      <c r="C92" s="1" t="s">
        <v>45</v>
      </c>
      <c r="D92" s="1"/>
      <c r="E92" s="155">
        <f>E91-E84</f>
        <v>1804.5671882327861</v>
      </c>
      <c r="F92" s="248"/>
      <c r="G92" s="205"/>
      <c r="H92" s="332"/>
      <c r="I92" s="2"/>
      <c r="J92" s="155"/>
      <c r="K92" s="301"/>
      <c r="L92" s="205"/>
      <c r="M92" s="288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6" ht="12.75">
      <c r="E93" s="155"/>
      <c r="F93" s="248"/>
      <c r="G93" s="205"/>
      <c r="H93" s="332"/>
      <c r="I93" s="2"/>
      <c r="J93" s="155"/>
      <c r="K93" s="301"/>
      <c r="L93" s="205"/>
      <c r="M93" s="288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6" ht="12.75">
      <c r="E94" s="155"/>
      <c r="F94" s="248"/>
      <c r="G94" s="205"/>
      <c r="H94" s="332"/>
      <c r="I94" s="2"/>
      <c r="J94" s="155"/>
      <c r="K94" s="301"/>
      <c r="L94" s="205"/>
      <c r="M94" s="288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6" ht="12.75">
      <c r="D95" s="200" t="s">
        <v>283</v>
      </c>
      <c r="E95" s="155"/>
      <c r="F95" s="248"/>
      <c r="G95" s="205"/>
      <c r="H95" s="332"/>
      <c r="I95" s="2"/>
      <c r="J95" s="155"/>
      <c r="K95" s="301"/>
      <c r="L95" s="205"/>
      <c r="M95" s="288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6" ht="12.75">
      <c r="A96" t="s">
        <v>269</v>
      </c>
      <c r="D96" s="204" t="s">
        <v>282</v>
      </c>
      <c r="E96" s="155"/>
      <c r="F96" s="248"/>
      <c r="G96" s="205"/>
      <c r="H96" s="332"/>
      <c r="I96" s="2"/>
      <c r="J96" s="155"/>
      <c r="K96" s="301"/>
      <c r="L96" s="205"/>
      <c r="M96" s="288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3:24" ht="12.75">
      <c r="C97" t="s">
        <v>92</v>
      </c>
      <c r="D97" s="201">
        <f t="shared" ref="D97:D108" si="81">+E97-T97</f>
        <v>2559618</v>
      </c>
      <c r="E97" s="155">
        <f t="shared" ref="E97:V97" si="82">SUM(E12:E17)</f>
        <v>28796358</v>
      </c>
      <c r="F97" s="248"/>
      <c r="G97" s="205"/>
      <c r="H97" s="332"/>
      <c r="I97" s="155">
        <f t="shared" ref="I97" si="83">SUM(I12:I17)</f>
        <v>29190103</v>
      </c>
      <c r="J97" s="155">
        <f t="shared" si="82"/>
        <v>28294402</v>
      </c>
      <c r="K97" s="301"/>
      <c r="L97" s="205"/>
      <c r="M97" s="288"/>
      <c r="N97" s="2">
        <f t="shared" si="82"/>
        <v>29091974</v>
      </c>
      <c r="O97" s="2">
        <f t="shared" si="82"/>
        <v>26632868</v>
      </c>
      <c r="P97" s="2">
        <f t="shared" si="82"/>
        <v>30435098</v>
      </c>
      <c r="Q97" s="2">
        <f t="shared" si="82"/>
        <v>26849086</v>
      </c>
      <c r="R97" s="2">
        <f t="shared" si="82"/>
        <v>27022361</v>
      </c>
      <c r="S97" s="2">
        <f t="shared" si="82"/>
        <v>26181758</v>
      </c>
      <c r="T97" s="2">
        <f t="shared" si="82"/>
        <v>26236740</v>
      </c>
      <c r="U97" s="2">
        <f t="shared" si="82"/>
        <v>24973128</v>
      </c>
      <c r="V97" s="2">
        <f t="shared" si="82"/>
        <v>25302208</v>
      </c>
      <c r="W97" s="2"/>
      <c r="X97" s="2"/>
    </row>
    <row r="98" spans="3:24" ht="12.75">
      <c r="C98" s="1" t="s">
        <v>20</v>
      </c>
      <c r="D98" s="201">
        <f t="shared" si="81"/>
        <v>1565496</v>
      </c>
      <c r="E98" s="155">
        <f t="shared" ref="E98:V98" si="84">+E19</f>
        <v>4081174</v>
      </c>
      <c r="F98" s="248"/>
      <c r="G98" s="205"/>
      <c r="H98" s="332"/>
      <c r="I98" s="155">
        <f t="shared" ref="I98" si="85">+I19</f>
        <v>4290020</v>
      </c>
      <c r="J98" s="155">
        <f t="shared" si="84"/>
        <v>3931322</v>
      </c>
      <c r="K98" s="301"/>
      <c r="L98" s="205"/>
      <c r="M98" s="288"/>
      <c r="N98" s="2">
        <f t="shared" si="84"/>
        <v>4068388</v>
      </c>
      <c r="O98" s="2">
        <f t="shared" si="84"/>
        <v>3243822</v>
      </c>
      <c r="P98" s="2">
        <f t="shared" si="84"/>
        <v>2938044</v>
      </c>
      <c r="Q98" s="2">
        <f t="shared" si="84"/>
        <v>2713693</v>
      </c>
      <c r="R98" s="2">
        <f t="shared" si="84"/>
        <v>2650416</v>
      </c>
      <c r="S98" s="2">
        <f t="shared" si="84"/>
        <v>2552319</v>
      </c>
      <c r="T98" s="2">
        <f t="shared" si="84"/>
        <v>2515678</v>
      </c>
      <c r="U98" s="2">
        <f t="shared" si="84"/>
        <v>2425889</v>
      </c>
      <c r="V98" s="2">
        <f t="shared" si="84"/>
        <v>2411128</v>
      </c>
      <c r="W98" s="2"/>
      <c r="X98" s="2"/>
    </row>
    <row r="99" spans="3:24" ht="12.75">
      <c r="C99" s="1" t="s">
        <v>21</v>
      </c>
      <c r="D99" s="201">
        <f t="shared" si="81"/>
        <v>285925</v>
      </c>
      <c r="E99" s="155">
        <f t="shared" ref="E99:V99" si="86">+E20</f>
        <v>1472599</v>
      </c>
      <c r="F99" s="248"/>
      <c r="G99" s="205"/>
      <c r="H99" s="332"/>
      <c r="I99" s="155">
        <f t="shared" ref="I99" si="87">+I20</f>
        <v>1393978</v>
      </c>
      <c r="J99" s="155">
        <f t="shared" si="86"/>
        <v>1397617</v>
      </c>
      <c r="K99" s="301"/>
      <c r="L99" s="205"/>
      <c r="M99" s="288"/>
      <c r="N99" s="2">
        <f t="shared" si="86"/>
        <v>1363659</v>
      </c>
      <c r="O99" s="2">
        <f t="shared" si="86"/>
        <v>1260085</v>
      </c>
      <c r="P99" s="2">
        <f t="shared" si="86"/>
        <v>1151545</v>
      </c>
      <c r="Q99" s="2">
        <f t="shared" si="86"/>
        <v>1218660</v>
      </c>
      <c r="R99" s="2">
        <f t="shared" si="86"/>
        <v>1195312</v>
      </c>
      <c r="S99" s="2">
        <f t="shared" si="86"/>
        <v>1222032</v>
      </c>
      <c r="T99" s="2">
        <f t="shared" si="86"/>
        <v>1186674</v>
      </c>
      <c r="U99" s="2">
        <f t="shared" si="86"/>
        <v>1110507</v>
      </c>
      <c r="V99" s="2">
        <f t="shared" si="86"/>
        <v>1083057</v>
      </c>
      <c r="W99" s="2"/>
      <c r="X99" s="2"/>
    </row>
    <row r="100" spans="3:24" ht="12.75">
      <c r="C100" s="1" t="s">
        <v>22</v>
      </c>
      <c r="D100" s="201">
        <f t="shared" si="81"/>
        <v>483470</v>
      </c>
      <c r="E100" s="155">
        <f t="shared" ref="E100:V100" si="88">+E21</f>
        <v>1104258</v>
      </c>
      <c r="F100" s="248"/>
      <c r="G100" s="205"/>
      <c r="H100" s="332"/>
      <c r="I100" s="155">
        <f t="shared" ref="I100" si="89">+I21</f>
        <v>1167701</v>
      </c>
      <c r="J100" s="155">
        <f t="shared" si="88"/>
        <v>1211147</v>
      </c>
      <c r="K100" s="301"/>
      <c r="L100" s="205"/>
      <c r="M100" s="288"/>
      <c r="N100" s="2">
        <f t="shared" si="88"/>
        <v>1194283</v>
      </c>
      <c r="O100" s="2">
        <f t="shared" si="88"/>
        <v>839799</v>
      </c>
      <c r="P100" s="2">
        <f t="shared" si="88"/>
        <v>559549</v>
      </c>
      <c r="Q100" s="2">
        <f t="shared" si="88"/>
        <v>520113</v>
      </c>
      <c r="R100" s="2">
        <f t="shared" si="88"/>
        <v>540943</v>
      </c>
      <c r="S100" s="2">
        <f t="shared" si="88"/>
        <v>494028</v>
      </c>
      <c r="T100" s="2">
        <f t="shared" si="88"/>
        <v>620788</v>
      </c>
      <c r="U100" s="2">
        <f t="shared" si="88"/>
        <v>508548</v>
      </c>
      <c r="V100" s="2">
        <f t="shared" si="88"/>
        <v>564339</v>
      </c>
      <c r="W100" s="2"/>
      <c r="X100" s="2"/>
    </row>
    <row r="101" spans="3:24" ht="12.75">
      <c r="C101" s="1" t="s">
        <v>23</v>
      </c>
      <c r="D101" s="201">
        <f t="shared" si="81"/>
        <v>1249669</v>
      </c>
      <c r="E101" s="155">
        <f t="shared" ref="E101:V101" si="90">+E22</f>
        <v>5782358</v>
      </c>
      <c r="F101" s="248"/>
      <c r="G101" s="205"/>
      <c r="H101" s="332"/>
      <c r="I101" s="155">
        <f t="shared" ref="I101" si="91">+I22</f>
        <v>5713320</v>
      </c>
      <c r="J101" s="155">
        <f t="shared" si="90"/>
        <v>5567003</v>
      </c>
      <c r="K101" s="301"/>
      <c r="L101" s="205"/>
      <c r="M101" s="288"/>
      <c r="N101" s="2">
        <f t="shared" si="90"/>
        <v>5537265</v>
      </c>
      <c r="O101" s="2">
        <f t="shared" si="90"/>
        <v>4686654</v>
      </c>
      <c r="P101" s="2">
        <f t="shared" si="90"/>
        <v>4702143</v>
      </c>
      <c r="Q101" s="2">
        <f t="shared" si="90"/>
        <v>4571372</v>
      </c>
      <c r="R101" s="2">
        <f t="shared" si="90"/>
        <v>4640348</v>
      </c>
      <c r="S101" s="2">
        <f t="shared" si="90"/>
        <v>4629819</v>
      </c>
      <c r="T101" s="2">
        <f t="shared" si="90"/>
        <v>4532689</v>
      </c>
      <c r="U101" s="2">
        <f t="shared" si="90"/>
        <v>4460265</v>
      </c>
      <c r="V101" s="2">
        <f t="shared" si="90"/>
        <v>4390233</v>
      </c>
      <c r="W101" s="2"/>
      <c r="X101" s="2"/>
    </row>
    <row r="102" spans="3:24" ht="12.75">
      <c r="C102" s="1" t="s">
        <v>24</v>
      </c>
      <c r="D102" s="201">
        <f t="shared" si="81"/>
        <v>792096</v>
      </c>
      <c r="E102" s="155">
        <f t="shared" ref="E102:V102" si="92">+E23</f>
        <v>2650472</v>
      </c>
      <c r="F102" s="248"/>
      <c r="G102" s="205"/>
      <c r="H102" s="332"/>
      <c r="I102" s="155">
        <f t="shared" ref="I102" si="93">+I23</f>
        <v>2629933</v>
      </c>
      <c r="J102" s="155">
        <f t="shared" si="92"/>
        <v>2776930</v>
      </c>
      <c r="K102" s="301"/>
      <c r="L102" s="205"/>
      <c r="M102" s="288"/>
      <c r="N102" s="2">
        <f t="shared" si="92"/>
        <v>2334015</v>
      </c>
      <c r="O102" s="2">
        <f t="shared" si="92"/>
        <v>2113268</v>
      </c>
      <c r="P102" s="2">
        <f t="shared" si="92"/>
        <v>2219839</v>
      </c>
      <c r="Q102" s="2">
        <f t="shared" si="92"/>
        <v>1957897</v>
      </c>
      <c r="R102" s="2">
        <f t="shared" si="92"/>
        <v>1908362</v>
      </c>
      <c r="S102" s="2">
        <f t="shared" si="92"/>
        <v>1959263</v>
      </c>
      <c r="T102" s="2">
        <f t="shared" si="92"/>
        <v>1858376</v>
      </c>
      <c r="U102" s="2">
        <f t="shared" si="92"/>
        <v>2037145</v>
      </c>
      <c r="V102" s="2">
        <f t="shared" si="92"/>
        <v>2000349</v>
      </c>
      <c r="W102" s="2"/>
      <c r="X102" s="2"/>
    </row>
    <row r="103" spans="3:24" ht="12.75">
      <c r="C103" s="1" t="s">
        <v>25</v>
      </c>
      <c r="D103" s="201">
        <f t="shared" si="81"/>
        <v>2316552</v>
      </c>
      <c r="E103" s="155">
        <f t="shared" ref="E103:V103" si="94">+E24</f>
        <v>9219953</v>
      </c>
      <c r="F103" s="248"/>
      <c r="G103" s="205"/>
      <c r="H103" s="332"/>
      <c r="I103" s="155">
        <f t="shared" ref="I103" si="95">+I24</f>
        <v>8578252</v>
      </c>
      <c r="J103" s="155">
        <f t="shared" si="94"/>
        <v>9039614</v>
      </c>
      <c r="K103" s="301"/>
      <c r="L103" s="205"/>
      <c r="M103" s="288"/>
      <c r="N103" s="2">
        <f t="shared" si="94"/>
        <v>8988620</v>
      </c>
      <c r="O103" s="2">
        <f t="shared" si="94"/>
        <v>7933611</v>
      </c>
      <c r="P103" s="2">
        <f t="shared" si="94"/>
        <v>7404702</v>
      </c>
      <c r="Q103" s="2">
        <f t="shared" si="94"/>
        <v>7096878</v>
      </c>
      <c r="R103" s="2">
        <f t="shared" si="94"/>
        <v>7277101</v>
      </c>
      <c r="S103" s="2">
        <f t="shared" si="94"/>
        <v>6967627</v>
      </c>
      <c r="T103" s="2">
        <f t="shared" si="94"/>
        <v>6903401</v>
      </c>
      <c r="U103" s="2">
        <f t="shared" si="94"/>
        <v>6514568</v>
      </c>
      <c r="V103" s="2">
        <f t="shared" si="94"/>
        <v>6913432</v>
      </c>
      <c r="W103" s="2"/>
      <c r="X103" s="2"/>
    </row>
    <row r="104" spans="3:24" ht="12.75">
      <c r="C104" s="1" t="s">
        <v>26</v>
      </c>
      <c r="D104" s="201">
        <f t="shared" si="81"/>
        <v>1176611</v>
      </c>
      <c r="E104" s="155">
        <f t="shared" ref="E104:V104" si="96">+E25</f>
        <v>4475510</v>
      </c>
      <c r="F104" s="248"/>
      <c r="G104" s="205"/>
      <c r="H104" s="332"/>
      <c r="I104" s="155">
        <f t="shared" ref="I104" si="97">+I25</f>
        <v>4085890</v>
      </c>
      <c r="J104" s="155">
        <f t="shared" si="96"/>
        <v>4658704</v>
      </c>
      <c r="K104" s="301"/>
      <c r="L104" s="205"/>
      <c r="M104" s="288"/>
      <c r="N104" s="2">
        <f t="shared" si="96"/>
        <v>4565158</v>
      </c>
      <c r="O104" s="2">
        <f t="shared" si="96"/>
        <v>3247471</v>
      </c>
      <c r="P104" s="2">
        <f t="shared" si="96"/>
        <v>3835158</v>
      </c>
      <c r="Q104" s="2">
        <f t="shared" si="96"/>
        <v>3557877</v>
      </c>
      <c r="R104" s="2">
        <f t="shared" si="96"/>
        <v>3465564</v>
      </c>
      <c r="S104" s="2">
        <f t="shared" si="96"/>
        <v>3454141</v>
      </c>
      <c r="T104" s="2">
        <f t="shared" si="96"/>
        <v>3298899</v>
      </c>
      <c r="U104" s="2">
        <f t="shared" si="96"/>
        <v>3147481</v>
      </c>
      <c r="V104" s="2">
        <f t="shared" si="96"/>
        <v>3217340</v>
      </c>
      <c r="W104" s="2"/>
      <c r="X104" s="2"/>
    </row>
    <row r="105" spans="3:24" ht="12.75">
      <c r="C105" s="1" t="s">
        <v>27</v>
      </c>
      <c r="D105" s="201">
        <f t="shared" si="81"/>
        <v>138941</v>
      </c>
      <c r="E105" s="155">
        <f t="shared" ref="E105:V105" si="98">+E26</f>
        <v>291600</v>
      </c>
      <c r="F105" s="248"/>
      <c r="G105" s="205"/>
      <c r="H105" s="332"/>
      <c r="I105" s="155">
        <f t="shared" ref="I105" si="99">+I26</f>
        <v>180250</v>
      </c>
      <c r="J105" s="155">
        <f t="shared" si="98"/>
        <v>381511</v>
      </c>
      <c r="K105" s="301"/>
      <c r="L105" s="205"/>
      <c r="M105" s="288"/>
      <c r="N105" s="2">
        <f t="shared" si="98"/>
        <v>252436</v>
      </c>
      <c r="O105" s="2">
        <f t="shared" si="98"/>
        <v>247232</v>
      </c>
      <c r="P105" s="2">
        <f t="shared" si="98"/>
        <v>913250</v>
      </c>
      <c r="Q105" s="2">
        <f t="shared" si="98"/>
        <v>112329</v>
      </c>
      <c r="R105" s="2">
        <f t="shared" si="98"/>
        <v>147378</v>
      </c>
      <c r="S105" s="2">
        <f t="shared" si="98"/>
        <v>167651</v>
      </c>
      <c r="T105" s="2">
        <f t="shared" si="98"/>
        <v>152659</v>
      </c>
      <c r="U105" s="2">
        <f t="shared" si="98"/>
        <v>141343</v>
      </c>
      <c r="V105" s="2">
        <f t="shared" si="98"/>
        <v>83439</v>
      </c>
      <c r="W105" s="2"/>
      <c r="X105" s="2"/>
    </row>
    <row r="106" spans="3:24" ht="12.75">
      <c r="C106" s="1" t="s">
        <v>28</v>
      </c>
      <c r="D106" s="201">
        <f t="shared" si="81"/>
        <v>351351</v>
      </c>
      <c r="E106" s="155">
        <f t="shared" ref="E106:V106" si="100">+E27</f>
        <v>462000</v>
      </c>
      <c r="F106" s="248"/>
      <c r="G106" s="205"/>
      <c r="H106" s="332"/>
      <c r="I106" s="155">
        <f t="shared" ref="I106" si="101">+I27</f>
        <v>376990</v>
      </c>
      <c r="J106" s="155">
        <f t="shared" si="100"/>
        <v>474000</v>
      </c>
      <c r="K106" s="301"/>
      <c r="L106" s="205"/>
      <c r="M106" s="288"/>
      <c r="N106" s="2">
        <f t="shared" si="100"/>
        <v>434716</v>
      </c>
      <c r="O106" s="2">
        <f t="shared" si="100"/>
        <v>299008</v>
      </c>
      <c r="P106" s="2">
        <f t="shared" si="100"/>
        <v>321344</v>
      </c>
      <c r="Q106" s="2">
        <f t="shared" si="100"/>
        <v>509250</v>
      </c>
      <c r="R106" s="2">
        <f t="shared" si="100"/>
        <v>903301</v>
      </c>
      <c r="S106" s="2">
        <f t="shared" si="100"/>
        <v>603</v>
      </c>
      <c r="T106" s="2">
        <f t="shared" si="100"/>
        <v>110649</v>
      </c>
      <c r="U106" s="2">
        <f t="shared" si="100"/>
        <v>1064</v>
      </c>
      <c r="V106" s="2">
        <f t="shared" si="100"/>
        <v>0</v>
      </c>
      <c r="W106" s="2"/>
      <c r="X106" s="2"/>
    </row>
    <row r="107" spans="3:24" ht="12.75">
      <c r="C107" s="1" t="s">
        <v>29</v>
      </c>
      <c r="D107" s="201">
        <f t="shared" si="81"/>
        <v>-514265</v>
      </c>
      <c r="E107" s="155">
        <f t="shared" ref="E107:V107" si="102">+E28</f>
        <v>0</v>
      </c>
      <c r="F107" s="248"/>
      <c r="G107" s="205"/>
      <c r="H107" s="332"/>
      <c r="I107" s="155">
        <f t="shared" ref="I107" si="103">+I28</f>
        <v>0</v>
      </c>
      <c r="J107" s="155">
        <f t="shared" si="102"/>
        <v>0</v>
      </c>
      <c r="K107" s="301"/>
      <c r="L107" s="205"/>
      <c r="M107" s="288"/>
      <c r="N107" s="2">
        <f t="shared" si="102"/>
        <v>322589</v>
      </c>
      <c r="O107" s="2">
        <f t="shared" si="102"/>
        <v>522750</v>
      </c>
      <c r="P107" s="2">
        <f t="shared" si="102"/>
        <v>522966</v>
      </c>
      <c r="Q107" s="2">
        <f t="shared" si="102"/>
        <v>522946</v>
      </c>
      <c r="R107" s="2">
        <f t="shared" si="102"/>
        <v>522668</v>
      </c>
      <c r="S107" s="2">
        <f t="shared" si="102"/>
        <v>476388</v>
      </c>
      <c r="T107" s="2">
        <f t="shared" si="102"/>
        <v>514265</v>
      </c>
      <c r="U107" s="2">
        <f t="shared" si="102"/>
        <v>499895</v>
      </c>
      <c r="V107" s="2">
        <f t="shared" si="102"/>
        <v>486006</v>
      </c>
      <c r="W107" s="2"/>
      <c r="X107" s="2"/>
    </row>
    <row r="108" spans="3:24" ht="12.75">
      <c r="C108" s="1" t="s">
        <v>30</v>
      </c>
      <c r="D108" s="202">
        <f t="shared" si="81"/>
        <v>2300000</v>
      </c>
      <c r="E108" s="157">
        <f t="shared" ref="E108:V108" si="104">+E29</f>
        <v>6600000</v>
      </c>
      <c r="F108" s="265"/>
      <c r="G108" s="220"/>
      <c r="H108" s="347"/>
      <c r="I108" s="157">
        <f t="shared" ref="I108" si="105">+I29</f>
        <v>6600000</v>
      </c>
      <c r="J108" s="157">
        <f t="shared" si="104"/>
        <v>6700000</v>
      </c>
      <c r="K108" s="318"/>
      <c r="L108" s="220"/>
      <c r="M108" s="291"/>
      <c r="N108" s="128">
        <f t="shared" si="104"/>
        <v>6700000</v>
      </c>
      <c r="O108" s="128">
        <f t="shared" si="104"/>
        <v>5200000</v>
      </c>
      <c r="P108" s="128">
        <f t="shared" si="104"/>
        <v>1395956</v>
      </c>
      <c r="Q108" s="128">
        <f t="shared" si="104"/>
        <v>4000000</v>
      </c>
      <c r="R108" s="128">
        <f t="shared" si="104"/>
        <v>3800000</v>
      </c>
      <c r="S108" s="128">
        <f t="shared" si="104"/>
        <v>4200000</v>
      </c>
      <c r="T108" s="128">
        <f t="shared" si="104"/>
        <v>4300000</v>
      </c>
      <c r="U108" s="128">
        <f t="shared" si="104"/>
        <v>4261000</v>
      </c>
      <c r="V108" s="128">
        <f t="shared" si="104"/>
        <v>4920000</v>
      </c>
      <c r="W108" s="2"/>
      <c r="X108" s="2"/>
    </row>
    <row r="109" spans="3:24" ht="12.75">
      <c r="D109" s="201"/>
      <c r="E109" s="155"/>
      <c r="F109" s="248"/>
      <c r="G109" s="205"/>
      <c r="H109" s="332"/>
      <c r="I109" s="155"/>
      <c r="J109" s="155"/>
      <c r="K109" s="301"/>
      <c r="L109" s="205"/>
      <c r="M109" s="288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3:24" ht="12.75">
      <c r="C110" s="1" t="s">
        <v>268</v>
      </c>
      <c r="D110" s="201">
        <f>+E110-T110</f>
        <v>12705464</v>
      </c>
      <c r="E110" s="155">
        <f>SUM(E96:E109)</f>
        <v>64936282</v>
      </c>
      <c r="F110" s="248"/>
      <c r="G110" s="205"/>
      <c r="H110" s="332"/>
      <c r="I110" s="155">
        <f>SUM(I96:I109)</f>
        <v>64206437</v>
      </c>
      <c r="J110" s="155">
        <f t="shared" ref="J110:V110" si="106">SUM(J96:J109)</f>
        <v>64432250</v>
      </c>
      <c r="K110" s="301"/>
      <c r="L110" s="205"/>
      <c r="M110" s="288"/>
      <c r="N110" s="2">
        <f t="shared" si="106"/>
        <v>64853103</v>
      </c>
      <c r="O110" s="2">
        <f t="shared" si="106"/>
        <v>56226568</v>
      </c>
      <c r="P110" s="2">
        <f t="shared" si="106"/>
        <v>56399594</v>
      </c>
      <c r="Q110" s="2">
        <f t="shared" si="106"/>
        <v>53630101</v>
      </c>
      <c r="R110" s="2">
        <f t="shared" si="106"/>
        <v>54073754</v>
      </c>
      <c r="S110" s="2">
        <f t="shared" si="106"/>
        <v>52305629</v>
      </c>
      <c r="T110" s="2">
        <f t="shared" si="106"/>
        <v>52230818</v>
      </c>
      <c r="U110" s="2">
        <f t="shared" si="106"/>
        <v>50080833</v>
      </c>
      <c r="V110" s="2">
        <f t="shared" si="106"/>
        <v>51371531</v>
      </c>
      <c r="W110" s="2"/>
      <c r="X110" s="2"/>
    </row>
    <row r="111" spans="3:24" ht="12.75">
      <c r="D111" s="203">
        <f>+D110/V110</f>
        <v>0.24732500185754636</v>
      </c>
      <c r="E111" s="232"/>
      <c r="F111" s="254"/>
      <c r="G111" s="208"/>
      <c r="H111" s="332"/>
      <c r="I111" s="103"/>
      <c r="J111" s="155"/>
      <c r="K111" s="301"/>
      <c r="L111" s="205"/>
      <c r="M111" s="288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3:24" ht="12.75">
      <c r="J112" s="155"/>
      <c r="K112" s="301"/>
      <c r="L112" s="205"/>
      <c r="M112" s="288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2.75">
      <c r="A113" t="s">
        <v>270</v>
      </c>
      <c r="E113" s="155"/>
      <c r="F113" s="248"/>
      <c r="G113" s="205"/>
      <c r="H113" s="332"/>
      <c r="I113" s="2"/>
      <c r="J113" s="155"/>
      <c r="K113" s="301"/>
      <c r="L113" s="205"/>
      <c r="M113" s="288"/>
      <c r="N113" s="2"/>
      <c r="O113" s="2"/>
      <c r="P113" s="2"/>
      <c r="Q113" s="2"/>
      <c r="R113" s="2"/>
      <c r="S113" s="2"/>
      <c r="T113" s="2"/>
      <c r="U113" s="2"/>
      <c r="V113" s="2"/>
      <c r="W113" s="150" t="s">
        <v>271</v>
      </c>
      <c r="X113" s="2"/>
    </row>
    <row r="114" spans="1:24" ht="12.75">
      <c r="C114" t="s">
        <v>92</v>
      </c>
      <c r="D114" s="103">
        <f t="shared" ref="D114:D125" si="107">+D97/V97</f>
        <v>0.10116184326680107</v>
      </c>
      <c r="E114" s="232">
        <f>+E97/E$110</f>
        <v>0.4434556016003503</v>
      </c>
      <c r="F114" s="254"/>
      <c r="G114" s="208"/>
      <c r="H114" s="332"/>
      <c r="I114" s="103"/>
      <c r="J114" s="232">
        <f t="shared" ref="J114:V114" si="108">+J97/J$110</f>
        <v>0.43913416030016023</v>
      </c>
      <c r="K114" s="308"/>
      <c r="L114" s="222"/>
      <c r="M114" s="288"/>
      <c r="N114" s="103">
        <f t="shared" si="108"/>
        <v>0.44858260675668826</v>
      </c>
      <c r="O114" s="103">
        <f t="shared" si="108"/>
        <v>0.47367052529330972</v>
      </c>
      <c r="P114" s="103">
        <f t="shared" si="108"/>
        <v>0.53963328175731196</v>
      </c>
      <c r="Q114" s="103">
        <f t="shared" si="108"/>
        <v>0.5006346342700343</v>
      </c>
      <c r="R114" s="103">
        <f t="shared" si="108"/>
        <v>0.49973155183566503</v>
      </c>
      <c r="S114" s="103">
        <f t="shared" si="108"/>
        <v>0.50055335344499918</v>
      </c>
      <c r="T114" s="103">
        <f t="shared" si="108"/>
        <v>0.50232297721241892</v>
      </c>
      <c r="U114" s="103">
        <f t="shared" si="108"/>
        <v>0.49865640214091489</v>
      </c>
      <c r="V114" s="103">
        <f t="shared" si="108"/>
        <v>0.49253365643317115</v>
      </c>
      <c r="W114" s="151">
        <f t="shared" ref="W114:W125" si="109">+E114-V114</f>
        <v>-4.907805483282085E-2</v>
      </c>
      <c r="X114" s="2"/>
    </row>
    <row r="115" spans="1:24" ht="12.75">
      <c r="C115" s="1" t="s">
        <v>20</v>
      </c>
      <c r="D115" s="103">
        <f t="shared" si="107"/>
        <v>0.64927950735091622</v>
      </c>
      <c r="E115" s="244">
        <f t="shared" ref="E115:V127" si="110">+E98/E$110</f>
        <v>6.2848901635606427E-2</v>
      </c>
      <c r="F115" s="254"/>
      <c r="G115" s="221"/>
      <c r="H115" s="349"/>
      <c r="I115" s="148"/>
      <c r="J115" s="232">
        <f t="shared" si="110"/>
        <v>6.1014817890109381E-2</v>
      </c>
      <c r="K115" s="308"/>
      <c r="L115" s="222"/>
      <c r="M115" s="288"/>
      <c r="N115" s="103">
        <f t="shared" si="110"/>
        <v>6.2732356846518206E-2</v>
      </c>
      <c r="O115" s="103">
        <f t="shared" si="110"/>
        <v>5.7691979350402461E-2</v>
      </c>
      <c r="P115" s="103">
        <f t="shared" si="110"/>
        <v>5.2093353721659769E-2</v>
      </c>
      <c r="Q115" s="103">
        <f t="shared" si="110"/>
        <v>5.0600184400174816E-2</v>
      </c>
      <c r="R115" s="103">
        <f t="shared" si="110"/>
        <v>4.9014832593276214E-2</v>
      </c>
      <c r="S115" s="103">
        <f t="shared" si="110"/>
        <v>4.8796258620654384E-2</v>
      </c>
      <c r="T115" s="103">
        <f t="shared" si="110"/>
        <v>4.8164629548784782E-2</v>
      </c>
      <c r="U115" s="103">
        <f t="shared" si="110"/>
        <v>4.8439469846677671E-2</v>
      </c>
      <c r="V115" s="103">
        <f t="shared" si="110"/>
        <v>4.6935101077676664E-2</v>
      </c>
      <c r="W115" s="151">
        <f t="shared" si="109"/>
        <v>1.5913800557929764E-2</v>
      </c>
      <c r="X115" s="2"/>
    </row>
    <row r="116" spans="1:24" ht="12.75">
      <c r="C116" s="1" t="s">
        <v>21</v>
      </c>
      <c r="D116" s="103">
        <f t="shared" si="107"/>
        <v>0.26399810905612542</v>
      </c>
      <c r="E116" s="245">
        <f t="shared" si="110"/>
        <v>2.2677599558287E-2</v>
      </c>
      <c r="F116" s="254"/>
      <c r="G116" s="222"/>
      <c r="H116" s="288"/>
      <c r="I116" s="149"/>
      <c r="J116" s="232">
        <f t="shared" si="110"/>
        <v>2.1691264855720545E-2</v>
      </c>
      <c r="K116" s="308"/>
      <c r="L116" s="222"/>
      <c r="M116" s="288"/>
      <c r="N116" s="103">
        <f t="shared" si="110"/>
        <v>2.1026889029504107E-2</v>
      </c>
      <c r="O116" s="103">
        <f t="shared" si="110"/>
        <v>2.2410846772650254E-2</v>
      </c>
      <c r="P116" s="103">
        <f t="shared" si="110"/>
        <v>2.0417611516848861E-2</v>
      </c>
      <c r="Q116" s="103">
        <f t="shared" si="110"/>
        <v>2.2723432872147675E-2</v>
      </c>
      <c r="R116" s="103">
        <f t="shared" si="110"/>
        <v>2.2105215776215575E-2</v>
      </c>
      <c r="S116" s="103">
        <f t="shared" si="110"/>
        <v>2.3363298049622918E-2</v>
      </c>
      <c r="T116" s="103">
        <f t="shared" si="110"/>
        <v>2.2719805000947908E-2</v>
      </c>
      <c r="U116" s="103">
        <f t="shared" si="110"/>
        <v>2.2174291709564815E-2</v>
      </c>
      <c r="V116" s="103">
        <f t="shared" si="110"/>
        <v>2.1082825037859979E-2</v>
      </c>
      <c r="W116" s="151">
        <f t="shared" si="109"/>
        <v>1.5947745204270211E-3</v>
      </c>
      <c r="X116" s="2"/>
    </row>
    <row r="117" spans="1:24" ht="12.75">
      <c r="C117" s="1" t="s">
        <v>22</v>
      </c>
      <c r="D117" s="103">
        <f t="shared" si="107"/>
        <v>0.85670137984438433</v>
      </c>
      <c r="E117" s="245">
        <f t="shared" si="110"/>
        <v>1.7005254473916445E-2</v>
      </c>
      <c r="F117" s="254"/>
      <c r="G117" s="222"/>
      <c r="H117" s="288"/>
      <c r="I117" s="149"/>
      <c r="J117" s="232">
        <f t="shared" si="110"/>
        <v>1.8797217232053826E-2</v>
      </c>
      <c r="K117" s="308"/>
      <c r="L117" s="222"/>
      <c r="M117" s="288"/>
      <c r="N117" s="103">
        <f t="shared" si="110"/>
        <v>1.8415202122248491E-2</v>
      </c>
      <c r="O117" s="103">
        <f t="shared" si="110"/>
        <v>1.4935981865370122E-2</v>
      </c>
      <c r="P117" s="103">
        <f t="shared" si="110"/>
        <v>9.9211529785125756E-3</v>
      </c>
      <c r="Q117" s="103">
        <f t="shared" si="110"/>
        <v>9.6981544002686104E-3</v>
      </c>
      <c r="R117" s="103">
        <f t="shared" si="110"/>
        <v>1.0003799625230384E-2</v>
      </c>
      <c r="S117" s="103">
        <f t="shared" si="110"/>
        <v>9.4450255057634425E-3</v>
      </c>
      <c r="T117" s="103">
        <f t="shared" si="110"/>
        <v>1.1885473438306097E-2</v>
      </c>
      <c r="U117" s="103">
        <f t="shared" si="110"/>
        <v>1.0154543555615379E-2</v>
      </c>
      <c r="V117" s="103">
        <f t="shared" si="110"/>
        <v>1.098544250121726E-2</v>
      </c>
      <c r="W117" s="151">
        <f t="shared" si="109"/>
        <v>6.019811972699185E-3</v>
      </c>
      <c r="X117" s="2"/>
    </row>
    <row r="118" spans="1:24" ht="12.75">
      <c r="C118" s="1" t="s">
        <v>23</v>
      </c>
      <c r="D118" s="103">
        <f t="shared" si="107"/>
        <v>0.28464753465248882</v>
      </c>
      <c r="E118" s="232">
        <f t="shared" si="110"/>
        <v>8.9046644216556781E-2</v>
      </c>
      <c r="F118" s="254"/>
      <c r="G118" s="208"/>
      <c r="H118" s="332"/>
      <c r="I118" s="103"/>
      <c r="J118" s="232">
        <f t="shared" si="110"/>
        <v>8.6400878442084508E-2</v>
      </c>
      <c r="K118" s="308"/>
      <c r="L118" s="222"/>
      <c r="M118" s="288"/>
      <c r="N118" s="103">
        <f t="shared" si="110"/>
        <v>8.5381650898030279E-2</v>
      </c>
      <c r="O118" s="103">
        <f t="shared" si="110"/>
        <v>8.3353015606430048E-2</v>
      </c>
      <c r="P118" s="103">
        <f t="shared" si="110"/>
        <v>8.3371929946871606E-2</v>
      </c>
      <c r="Q118" s="103">
        <f t="shared" si="110"/>
        <v>8.523892207475052E-2</v>
      </c>
      <c r="R118" s="103">
        <f t="shared" si="110"/>
        <v>8.5815162749751012E-2</v>
      </c>
      <c r="S118" s="103">
        <f t="shared" si="110"/>
        <v>8.8514737104107857E-2</v>
      </c>
      <c r="T118" s="103">
        <f t="shared" si="110"/>
        <v>8.6781888041653876E-2</v>
      </c>
      <c r="U118" s="103">
        <f t="shared" si="110"/>
        <v>8.9061318129432868E-2</v>
      </c>
      <c r="V118" s="103">
        <f t="shared" si="110"/>
        <v>8.5460427488524726E-2</v>
      </c>
      <c r="W118" s="151">
        <f t="shared" si="109"/>
        <v>3.5862167280320545E-3</v>
      </c>
      <c r="X118" s="2"/>
    </row>
    <row r="119" spans="1:24" ht="12.75">
      <c r="C119" s="1" t="s">
        <v>24</v>
      </c>
      <c r="D119" s="103">
        <f t="shared" si="107"/>
        <v>0.39597890168165656</v>
      </c>
      <c r="E119" s="232">
        <f t="shared" si="110"/>
        <v>4.081650378443287E-2</v>
      </c>
      <c r="F119" s="254"/>
      <c r="G119" s="208"/>
      <c r="H119" s="332"/>
      <c r="I119" s="103"/>
      <c r="J119" s="232">
        <f t="shared" si="110"/>
        <v>4.3098448370187288E-2</v>
      </c>
      <c r="K119" s="308"/>
      <c r="L119" s="222"/>
      <c r="M119" s="288"/>
      <c r="N119" s="103">
        <f t="shared" si="110"/>
        <v>3.5989257137010081E-2</v>
      </c>
      <c r="O119" s="103">
        <f t="shared" si="110"/>
        <v>3.758486557458033E-2</v>
      </c>
      <c r="P119" s="103">
        <f t="shared" si="110"/>
        <v>3.9359130847644044E-2</v>
      </c>
      <c r="Q119" s="103">
        <f t="shared" si="110"/>
        <v>3.6507427051088344E-2</v>
      </c>
      <c r="R119" s="103">
        <f t="shared" si="110"/>
        <v>3.5291834926053034E-2</v>
      </c>
      <c r="S119" s="103">
        <f t="shared" si="110"/>
        <v>3.7457976081312398E-2</v>
      </c>
      <c r="T119" s="103">
        <f t="shared" si="110"/>
        <v>3.5580066925239427E-2</v>
      </c>
      <c r="U119" s="103">
        <f t="shared" si="110"/>
        <v>4.0677138896631375E-2</v>
      </c>
      <c r="V119" s="103">
        <f t="shared" si="110"/>
        <v>3.8938862849931415E-2</v>
      </c>
      <c r="W119" s="151">
        <f t="shared" si="109"/>
        <v>1.8776409345014552E-3</v>
      </c>
      <c r="X119" s="2"/>
    </row>
    <row r="120" spans="1:24" ht="12.75">
      <c r="C120" s="1" t="s">
        <v>25</v>
      </c>
      <c r="D120" s="103">
        <f t="shared" si="107"/>
        <v>0.335079885070107</v>
      </c>
      <c r="E120" s="232">
        <f t="shared" si="110"/>
        <v>0.14198461501075776</v>
      </c>
      <c r="F120" s="254"/>
      <c r="G120" s="208"/>
      <c r="H120" s="332"/>
      <c r="I120" s="103"/>
      <c r="J120" s="232">
        <f t="shared" si="110"/>
        <v>0.14029641988290026</v>
      </c>
      <c r="K120" s="308"/>
      <c r="L120" s="222"/>
      <c r="M120" s="288"/>
      <c r="N120" s="103">
        <f t="shared" si="110"/>
        <v>0.13859969044195156</v>
      </c>
      <c r="O120" s="103">
        <f t="shared" si="110"/>
        <v>0.141100751516614</v>
      </c>
      <c r="P120" s="103">
        <f t="shared" si="110"/>
        <v>0.13128998765487568</v>
      </c>
      <c r="Q120" s="103">
        <f t="shared" si="110"/>
        <v>0.1323301255763065</v>
      </c>
      <c r="R120" s="103">
        <f t="shared" si="110"/>
        <v>0.13457732192960009</v>
      </c>
      <c r="S120" s="103">
        <f t="shared" si="110"/>
        <v>0.13320988836593475</v>
      </c>
      <c r="T120" s="103">
        <f t="shared" si="110"/>
        <v>0.13217102975488532</v>
      </c>
      <c r="U120" s="103">
        <f t="shared" si="110"/>
        <v>0.13008106314845042</v>
      </c>
      <c r="V120" s="103">
        <f t="shared" si="110"/>
        <v>0.13457710653007401</v>
      </c>
      <c r="W120" s="151">
        <f t="shared" si="109"/>
        <v>7.4075084806837499E-3</v>
      </c>
      <c r="X120" s="2"/>
    </row>
    <row r="121" spans="1:24" ht="12.75">
      <c r="C121" s="1" t="s">
        <v>26</v>
      </c>
      <c r="D121" s="103">
        <f t="shared" si="107"/>
        <v>0.36570925049885933</v>
      </c>
      <c r="E121" s="232">
        <f t="shared" si="110"/>
        <v>6.8921562216943677E-2</v>
      </c>
      <c r="F121" s="254"/>
      <c r="G121" s="208"/>
      <c r="H121" s="332"/>
      <c r="I121" s="103"/>
      <c r="J121" s="232">
        <f t="shared" si="110"/>
        <v>7.230391612895716E-2</v>
      </c>
      <c r="K121" s="308"/>
      <c r="L121" s="222"/>
      <c r="M121" s="288"/>
      <c r="N121" s="103">
        <f t="shared" si="110"/>
        <v>7.0392283311409176E-2</v>
      </c>
      <c r="O121" s="103">
        <f t="shared" si="110"/>
        <v>5.7756877496062002E-2</v>
      </c>
      <c r="P121" s="103">
        <f t="shared" si="110"/>
        <v>6.7999744820858105E-2</v>
      </c>
      <c r="Q121" s="103">
        <f t="shared" si="110"/>
        <v>6.6341046048002034E-2</v>
      </c>
      <c r="R121" s="103">
        <f t="shared" si="110"/>
        <v>6.4089576617891192E-2</v>
      </c>
      <c r="S121" s="103">
        <f t="shared" si="110"/>
        <v>6.6037653423496739E-2</v>
      </c>
      <c r="T121" s="103">
        <f t="shared" si="110"/>
        <v>6.3160010245292345E-2</v>
      </c>
      <c r="U121" s="103">
        <f t="shared" si="110"/>
        <v>6.2848016126249337E-2</v>
      </c>
      <c r="V121" s="103">
        <f t="shared" si="110"/>
        <v>6.2628851766165977E-2</v>
      </c>
      <c r="W121" s="151">
        <f t="shared" si="109"/>
        <v>6.2927104507776999E-3</v>
      </c>
      <c r="X121" s="2"/>
    </row>
    <row r="122" spans="1:24" ht="12.75">
      <c r="C122" s="1" t="s">
        <v>27</v>
      </c>
      <c r="D122" s="103">
        <f t="shared" si="107"/>
        <v>1.6651805510612543</v>
      </c>
      <c r="E122" s="232">
        <f t="shared" si="110"/>
        <v>4.4905558344101072E-3</v>
      </c>
      <c r="F122" s="254"/>
      <c r="G122" s="208"/>
      <c r="H122" s="332"/>
      <c r="I122" s="103"/>
      <c r="J122" s="232">
        <f t="shared" si="110"/>
        <v>5.9211186944426123E-3</v>
      </c>
      <c r="K122" s="308"/>
      <c r="L122" s="222"/>
      <c r="M122" s="288"/>
      <c r="N122" s="103">
        <f t="shared" si="110"/>
        <v>3.8924274756752964E-3</v>
      </c>
      <c r="O122" s="103">
        <f t="shared" si="110"/>
        <v>4.3970672369688293E-3</v>
      </c>
      <c r="P122" s="103">
        <f t="shared" si="110"/>
        <v>1.6192492449502386E-2</v>
      </c>
      <c r="Q122" s="103">
        <f t="shared" si="110"/>
        <v>2.094514049115813E-3</v>
      </c>
      <c r="R122" s="103">
        <f t="shared" si="110"/>
        <v>2.7254996943618893E-3</v>
      </c>
      <c r="S122" s="103">
        <f t="shared" si="110"/>
        <v>3.2052190788108103E-3</v>
      </c>
      <c r="T122" s="103">
        <f t="shared" si="110"/>
        <v>2.9227763578200134E-3</v>
      </c>
      <c r="U122" s="103">
        <f t="shared" si="110"/>
        <v>2.8222973048391588E-3</v>
      </c>
      <c r="V122" s="103">
        <f t="shared" si="110"/>
        <v>1.6242264611502429E-3</v>
      </c>
      <c r="W122" s="151">
        <f t="shared" si="109"/>
        <v>2.8663293732598643E-3</v>
      </c>
      <c r="X122" s="2"/>
    </row>
    <row r="123" spans="1:24" ht="12.75">
      <c r="C123" s="1" t="s">
        <v>28</v>
      </c>
      <c r="D123" s="103" t="e">
        <f t="shared" si="107"/>
        <v>#DIV/0!</v>
      </c>
      <c r="E123" s="232">
        <f t="shared" si="110"/>
        <v>7.1146666512258896E-3</v>
      </c>
      <c r="F123" s="254"/>
      <c r="G123" s="208"/>
      <c r="H123" s="332"/>
      <c r="I123" s="103"/>
      <c r="J123" s="232">
        <f t="shared" si="110"/>
        <v>7.3565644533599246E-3</v>
      </c>
      <c r="K123" s="308"/>
      <c r="L123" s="222"/>
      <c r="M123" s="288"/>
      <c r="N123" s="103">
        <f t="shared" si="110"/>
        <v>6.7030871290769236E-3</v>
      </c>
      <c r="O123" s="103">
        <f t="shared" si="110"/>
        <v>5.3179130549102695E-3</v>
      </c>
      <c r="P123" s="103">
        <f t="shared" si="110"/>
        <v>5.6976296673341299E-3</v>
      </c>
      <c r="Q123" s="103">
        <f t="shared" si="110"/>
        <v>9.4956002413644526E-3</v>
      </c>
      <c r="R123" s="103">
        <f t="shared" si="110"/>
        <v>1.6704980386603084E-2</v>
      </c>
      <c r="S123" s="103">
        <f t="shared" si="110"/>
        <v>1.1528395920829095E-5</v>
      </c>
      <c r="T123" s="103">
        <f t="shared" si="110"/>
        <v>2.1184619394626369E-3</v>
      </c>
      <c r="U123" s="103">
        <f t="shared" si="110"/>
        <v>2.124565300261679E-5</v>
      </c>
      <c r="V123" s="103">
        <f t="shared" si="110"/>
        <v>0</v>
      </c>
      <c r="W123" s="151">
        <f t="shared" si="109"/>
        <v>7.1146666512258896E-3</v>
      </c>
      <c r="X123" s="2"/>
    </row>
    <row r="124" spans="1:24" ht="12.75">
      <c r="C124" s="1" t="s">
        <v>29</v>
      </c>
      <c r="D124" s="103">
        <f t="shared" si="107"/>
        <v>-1.0581453726908721</v>
      </c>
      <c r="E124" s="232">
        <f t="shared" si="110"/>
        <v>0</v>
      </c>
      <c r="F124" s="254"/>
      <c r="G124" s="208"/>
      <c r="H124" s="332"/>
      <c r="I124" s="103"/>
      <c r="J124" s="232">
        <f t="shared" si="110"/>
        <v>0</v>
      </c>
      <c r="K124" s="308"/>
      <c r="L124" s="222"/>
      <c r="M124" s="288"/>
      <c r="N124" s="103">
        <f t="shared" si="110"/>
        <v>4.9741490395609905E-3</v>
      </c>
      <c r="O124" s="103">
        <f t="shared" si="110"/>
        <v>9.2972062602149214E-3</v>
      </c>
      <c r="P124" s="103">
        <f t="shared" si="110"/>
        <v>9.2725135574557513E-3</v>
      </c>
      <c r="Q124" s="103">
        <f t="shared" si="110"/>
        <v>9.7509792122151707E-3</v>
      </c>
      <c r="R124" s="103">
        <f t="shared" si="110"/>
        <v>9.665835295992211E-3</v>
      </c>
      <c r="S124" s="103">
        <f t="shared" si="110"/>
        <v>9.1077769086765018E-3</v>
      </c>
      <c r="T124" s="103">
        <f t="shared" si="110"/>
        <v>9.8460070068211447E-3</v>
      </c>
      <c r="U124" s="103">
        <f t="shared" si="110"/>
        <v>9.981762883217218E-3</v>
      </c>
      <c r="V124" s="103">
        <f t="shared" si="110"/>
        <v>9.4606096127444594E-3</v>
      </c>
      <c r="W124" s="151">
        <f t="shared" si="109"/>
        <v>-9.4606096127444594E-3</v>
      </c>
      <c r="X124" s="2"/>
    </row>
    <row r="125" spans="1:24" ht="12.75">
      <c r="C125" s="1" t="s">
        <v>30</v>
      </c>
      <c r="D125" s="147">
        <f t="shared" si="107"/>
        <v>0.46747967479674796</v>
      </c>
      <c r="E125" s="246">
        <f t="shared" si="110"/>
        <v>0.10163809501751271</v>
      </c>
      <c r="F125" s="267"/>
      <c r="G125" s="223"/>
      <c r="H125" s="347"/>
      <c r="I125" s="147"/>
      <c r="J125" s="246">
        <f t="shared" si="110"/>
        <v>0.10398519375002425</v>
      </c>
      <c r="K125" s="319"/>
      <c r="L125" s="327"/>
      <c r="M125" s="291"/>
      <c r="N125" s="147">
        <f t="shared" si="110"/>
        <v>0.10331039981232663</v>
      </c>
      <c r="O125" s="147">
        <f t="shared" si="110"/>
        <v>9.2482969972487034E-2</v>
      </c>
      <c r="P125" s="147">
        <f t="shared" si="110"/>
        <v>2.4751171081125158E-2</v>
      </c>
      <c r="Q125" s="147">
        <f t="shared" si="110"/>
        <v>7.4584979804531784E-2</v>
      </c>
      <c r="R125" s="147">
        <f t="shared" si="110"/>
        <v>7.0274388569360288E-2</v>
      </c>
      <c r="S125" s="147">
        <f t="shared" si="110"/>
        <v>8.029728502070016E-2</v>
      </c>
      <c r="T125" s="147">
        <f t="shared" si="110"/>
        <v>8.2326874528367525E-2</v>
      </c>
      <c r="U125" s="147">
        <f t="shared" si="110"/>
        <v>8.5082450605404272E-2</v>
      </c>
      <c r="V125" s="147">
        <f t="shared" si="110"/>
        <v>9.5772890241484138E-2</v>
      </c>
      <c r="W125" s="152">
        <f t="shared" si="109"/>
        <v>5.8652047760285736E-3</v>
      </c>
      <c r="X125" s="2"/>
    </row>
    <row r="126" spans="1:24" ht="12.75">
      <c r="D126" s="103"/>
      <c r="E126" s="232"/>
      <c r="F126" s="254"/>
      <c r="G126" s="208"/>
      <c r="H126" s="332"/>
      <c r="I126" s="103"/>
      <c r="J126" s="232"/>
      <c r="K126" s="308"/>
      <c r="L126" s="222"/>
      <c r="M126" s="288"/>
      <c r="N126" s="103"/>
      <c r="O126" s="103"/>
      <c r="P126" s="103"/>
      <c r="Q126" s="103"/>
      <c r="R126" s="103"/>
      <c r="S126" s="103"/>
      <c r="T126" s="103"/>
      <c r="U126" s="103"/>
      <c r="V126" s="103"/>
      <c r="W126" s="2"/>
      <c r="X126" s="2"/>
    </row>
    <row r="127" spans="1:24" ht="12.75">
      <c r="C127" s="1" t="s">
        <v>268</v>
      </c>
      <c r="D127" s="103">
        <f>+D110/V110</f>
        <v>0.24732500185754636</v>
      </c>
      <c r="E127" s="232">
        <f t="shared" si="110"/>
        <v>1</v>
      </c>
      <c r="F127" s="254"/>
      <c r="G127" s="208"/>
      <c r="H127" s="332"/>
      <c r="I127" s="103"/>
      <c r="J127" s="232">
        <f t="shared" si="110"/>
        <v>1</v>
      </c>
      <c r="K127" s="308"/>
      <c r="L127" s="222"/>
      <c r="M127" s="288"/>
      <c r="N127" s="103">
        <f t="shared" si="110"/>
        <v>1</v>
      </c>
      <c r="O127" s="103">
        <f t="shared" si="110"/>
        <v>1</v>
      </c>
      <c r="P127" s="103">
        <f t="shared" si="110"/>
        <v>1</v>
      </c>
      <c r="Q127" s="103">
        <f t="shared" si="110"/>
        <v>1</v>
      </c>
      <c r="R127" s="103">
        <f t="shared" si="110"/>
        <v>1</v>
      </c>
      <c r="S127" s="103">
        <f t="shared" si="110"/>
        <v>1</v>
      </c>
      <c r="T127" s="103">
        <f t="shared" si="110"/>
        <v>1</v>
      </c>
      <c r="U127" s="103">
        <f t="shared" si="110"/>
        <v>1</v>
      </c>
      <c r="V127" s="103">
        <f t="shared" si="110"/>
        <v>1</v>
      </c>
      <c r="W127" s="2"/>
      <c r="X127" s="2"/>
    </row>
    <row r="128" spans="1:24" ht="12.75">
      <c r="B128" s="166"/>
      <c r="C128" s="166"/>
      <c r="D128" s="166"/>
      <c r="E128" s="247"/>
      <c r="F128" s="248"/>
      <c r="G128" s="224"/>
      <c r="H128" s="350"/>
      <c r="I128" s="167"/>
      <c r="J128" s="247"/>
      <c r="K128" s="301"/>
      <c r="L128" s="205"/>
      <c r="M128" s="288"/>
      <c r="N128" s="167"/>
      <c r="O128" s="167"/>
      <c r="P128" s="167"/>
      <c r="Q128" s="167"/>
      <c r="R128" s="167"/>
      <c r="S128" s="167"/>
      <c r="T128" s="167"/>
      <c r="U128" s="167"/>
      <c r="V128" s="167"/>
      <c r="W128" s="2"/>
      <c r="X128" s="2"/>
    </row>
    <row r="129" spans="2:24" ht="12.75">
      <c r="B129" s="166"/>
      <c r="C129" s="118" t="s">
        <v>272</v>
      </c>
      <c r="D129" s="159"/>
      <c r="E129" s="161" t="s">
        <v>3</v>
      </c>
      <c r="F129" s="268"/>
      <c r="G129" s="225"/>
      <c r="H129" s="351"/>
      <c r="I129" s="491" t="s">
        <v>4</v>
      </c>
      <c r="J129" s="161" t="s">
        <v>4</v>
      </c>
      <c r="K129" s="320"/>
      <c r="L129" s="225"/>
      <c r="M129" s="300"/>
      <c r="N129" s="160" t="s">
        <v>5</v>
      </c>
      <c r="O129" s="160">
        <f t="shared" ref="O129" si="111">N129-1</f>
        <v>2023</v>
      </c>
      <c r="P129" s="160">
        <f t="shared" ref="P129" si="112">O129-1</f>
        <v>2022</v>
      </c>
      <c r="Q129" s="160">
        <f t="shared" ref="Q129" si="113">P129-1</f>
        <v>2021</v>
      </c>
      <c r="R129" s="160">
        <f t="shared" ref="R129" si="114">Q129-1</f>
        <v>2020</v>
      </c>
      <c r="S129" s="160">
        <f t="shared" ref="S129" si="115">R129-1</f>
        <v>2019</v>
      </c>
      <c r="T129" s="161">
        <f t="shared" ref="T129" si="116">S129-1</f>
        <v>2018</v>
      </c>
      <c r="U129" s="168"/>
      <c r="V129" s="134"/>
      <c r="W129" s="2"/>
      <c r="X129" s="2"/>
    </row>
    <row r="130" spans="2:24" ht="12.75">
      <c r="B130" s="166"/>
      <c r="C130" s="107" t="s">
        <v>92</v>
      </c>
      <c r="E130" s="163">
        <f>SUM(E62:E67)</f>
        <v>6138.6395224898743</v>
      </c>
      <c r="F130" s="269"/>
      <c r="G130" s="226"/>
      <c r="H130" s="346"/>
      <c r="I130" s="163">
        <f>SUM(I62:I67)</f>
        <v>5860.9957031563736</v>
      </c>
      <c r="J130" s="163">
        <f t="shared" ref="J130:T130" si="117">SUM(J62:J67)</f>
        <v>5835.1004330789856</v>
      </c>
      <c r="K130" s="321"/>
      <c r="L130" s="328"/>
      <c r="M130" s="290"/>
      <c r="N130" s="162">
        <f t="shared" si="117"/>
        <v>5841.2926672556414</v>
      </c>
      <c r="O130" s="162">
        <f t="shared" si="117"/>
        <v>5149.0348774263402</v>
      </c>
      <c r="P130" s="162">
        <f t="shared" si="117"/>
        <v>5829.3618080827428</v>
      </c>
      <c r="Q130" s="162">
        <f t="shared" si="117"/>
        <v>5114.598723687971</v>
      </c>
      <c r="R130" s="162">
        <f t="shared" si="117"/>
        <v>4769.633924631542</v>
      </c>
      <c r="S130" s="162">
        <f t="shared" si="117"/>
        <v>4612.5502977344004</v>
      </c>
      <c r="T130" s="163">
        <f t="shared" si="117"/>
        <v>4583.4771671150556</v>
      </c>
      <c r="U130" s="167"/>
      <c r="V130" s="2"/>
      <c r="W130" s="2"/>
      <c r="X130" s="2"/>
    </row>
    <row r="131" spans="2:24" ht="12.75">
      <c r="B131" s="166"/>
      <c r="C131" s="156" t="s">
        <v>20</v>
      </c>
      <c r="E131" s="155">
        <f>+E68</f>
        <v>870.00085269665317</v>
      </c>
      <c r="F131" s="248"/>
      <c r="G131" s="205"/>
      <c r="H131" s="332"/>
      <c r="I131" s="155">
        <f>+I68</f>
        <v>861.38061199903632</v>
      </c>
      <c r="J131" s="155">
        <f t="shared" ref="J131:T131" si="118">+J68</f>
        <v>810.74902041658072</v>
      </c>
      <c r="K131" s="301"/>
      <c r="L131" s="205"/>
      <c r="M131" s="288"/>
      <c r="N131" s="2">
        <f t="shared" si="118"/>
        <v>816.8797686932777</v>
      </c>
      <c r="O131" s="2">
        <f t="shared" si="118"/>
        <v>627.14059237491301</v>
      </c>
      <c r="P131" s="2">
        <f t="shared" si="118"/>
        <v>562.73587435357206</v>
      </c>
      <c r="Q131" s="2">
        <f t="shared" si="118"/>
        <v>516.94313744166107</v>
      </c>
      <c r="R131" s="2">
        <f t="shared" si="118"/>
        <v>467.81678580884301</v>
      </c>
      <c r="S131" s="2">
        <f t="shared" si="118"/>
        <v>449.65276064973045</v>
      </c>
      <c r="T131" s="155">
        <f t="shared" si="118"/>
        <v>439.48115020439536</v>
      </c>
      <c r="U131" s="167"/>
      <c r="V131" s="2"/>
      <c r="W131" s="2"/>
      <c r="X131" s="2"/>
    </row>
    <row r="132" spans="2:24" ht="12.75">
      <c r="B132" s="166"/>
      <c r="C132" s="156" t="s">
        <v>21</v>
      </c>
      <c r="E132" s="155">
        <f t="shared" ref="E132:T141" si="119">+E69</f>
        <v>313.92005968876572</v>
      </c>
      <c r="F132" s="248"/>
      <c r="G132" s="205"/>
      <c r="H132" s="332"/>
      <c r="I132" s="155">
        <f t="shared" ref="I132" si="120">+I69</f>
        <v>279.89277969640995</v>
      </c>
      <c r="J132" s="155">
        <f t="shared" si="119"/>
        <v>288.2278820375335</v>
      </c>
      <c r="K132" s="301"/>
      <c r="L132" s="205"/>
      <c r="M132" s="288"/>
      <c r="N132" s="2">
        <f t="shared" si="119"/>
        <v>273.80511605493535</v>
      </c>
      <c r="O132" s="2">
        <f t="shared" si="119"/>
        <v>243.61708297888796</v>
      </c>
      <c r="P132" s="2">
        <f t="shared" si="119"/>
        <v>220.56023750239419</v>
      </c>
      <c r="Q132" s="2">
        <f t="shared" si="119"/>
        <v>232.14782360224783</v>
      </c>
      <c r="R132" s="2">
        <f t="shared" si="119"/>
        <v>210.98084899832318</v>
      </c>
      <c r="S132" s="2">
        <f t="shared" si="119"/>
        <v>215.29051125753145</v>
      </c>
      <c r="T132" s="155">
        <f t="shared" si="119"/>
        <v>207.30827015128753</v>
      </c>
      <c r="U132" s="167"/>
      <c r="V132" s="2"/>
      <c r="W132" s="2"/>
      <c r="X132" s="2"/>
    </row>
    <row r="133" spans="2:24" ht="12.75">
      <c r="B133" s="166"/>
      <c r="C133" s="156" t="s">
        <v>22</v>
      </c>
      <c r="E133" s="155">
        <f t="shared" si="119"/>
        <v>235.39927520784482</v>
      </c>
      <c r="F133" s="248"/>
      <c r="G133" s="205"/>
      <c r="H133" s="332"/>
      <c r="I133" s="155">
        <f t="shared" ref="I133" si="121">+I70</f>
        <v>234.45928037908604</v>
      </c>
      <c r="J133" s="155">
        <f t="shared" si="119"/>
        <v>249.77253041864302</v>
      </c>
      <c r="K133" s="301"/>
      <c r="L133" s="205"/>
      <c r="M133" s="288"/>
      <c r="N133" s="2">
        <f t="shared" si="119"/>
        <v>239.79660268251547</v>
      </c>
      <c r="O133" s="2">
        <f t="shared" si="119"/>
        <v>162.36157296419458</v>
      </c>
      <c r="P133" s="2">
        <f t="shared" si="119"/>
        <v>107.17276383834515</v>
      </c>
      <c r="Q133" s="2">
        <f t="shared" si="119"/>
        <v>99.078578912277365</v>
      </c>
      <c r="R133" s="2">
        <f t="shared" si="119"/>
        <v>95.480187097343574</v>
      </c>
      <c r="S133" s="2">
        <f t="shared" si="119"/>
        <v>87.034988196328527</v>
      </c>
      <c r="T133" s="155">
        <f t="shared" si="119"/>
        <v>108.4497397016177</v>
      </c>
      <c r="U133" s="167"/>
      <c r="V133" s="2"/>
      <c r="W133" s="2"/>
      <c r="X133" s="2"/>
    </row>
    <row r="134" spans="2:24" ht="12.75">
      <c r="B134" s="166"/>
      <c r="C134" s="156" t="s">
        <v>23</v>
      </c>
      <c r="E134" s="155">
        <f t="shared" si="119"/>
        <v>1232.6493285013855</v>
      </c>
      <c r="F134" s="248"/>
      <c r="G134" s="205"/>
      <c r="H134" s="332"/>
      <c r="I134" s="155">
        <f t="shared" ref="I134" si="122">+I71</f>
        <v>1147.1608706128022</v>
      </c>
      <c r="J134" s="155">
        <f t="shared" si="119"/>
        <v>1148.0723860589812</v>
      </c>
      <c r="K134" s="301"/>
      <c r="L134" s="205"/>
      <c r="M134" s="288"/>
      <c r="N134" s="2">
        <f t="shared" si="119"/>
        <v>1111.811300297165</v>
      </c>
      <c r="O134" s="2">
        <f t="shared" si="119"/>
        <v>906.08885623695005</v>
      </c>
      <c r="P134" s="2">
        <f t="shared" si="119"/>
        <v>900.62114537444938</v>
      </c>
      <c r="Q134" s="2">
        <f t="shared" si="119"/>
        <v>870.82045909134206</v>
      </c>
      <c r="R134" s="2">
        <f t="shared" si="119"/>
        <v>819.05356985261676</v>
      </c>
      <c r="S134" s="2">
        <f t="shared" si="119"/>
        <v>815.6546633311018</v>
      </c>
      <c r="T134" s="155">
        <f t="shared" si="119"/>
        <v>791.84672093917061</v>
      </c>
      <c r="U134" s="167"/>
      <c r="V134" s="2"/>
      <c r="W134" s="2"/>
      <c r="X134" s="2"/>
    </row>
    <row r="135" spans="2:24" ht="12.75">
      <c r="B135" s="166"/>
      <c r="C135" s="156" t="s">
        <v>24</v>
      </c>
      <c r="E135" s="155">
        <f t="shared" si="119"/>
        <v>565.01215092730763</v>
      </c>
      <c r="F135" s="248"/>
      <c r="G135" s="205"/>
      <c r="H135" s="332"/>
      <c r="I135" s="155">
        <f t="shared" ref="I135" si="123">+I72</f>
        <v>528.05658180065859</v>
      </c>
      <c r="J135" s="155">
        <f t="shared" si="119"/>
        <v>572.68096514745309</v>
      </c>
      <c r="K135" s="301"/>
      <c r="L135" s="205"/>
      <c r="M135" s="288"/>
      <c r="N135" s="2">
        <f t="shared" si="119"/>
        <v>468.64006907075742</v>
      </c>
      <c r="O135" s="2">
        <f t="shared" si="119"/>
        <v>408.56623617662984</v>
      </c>
      <c r="P135" s="2">
        <f t="shared" si="119"/>
        <v>425.17506224861137</v>
      </c>
      <c r="Q135" s="2">
        <f t="shared" si="119"/>
        <v>372.96828269358986</v>
      </c>
      <c r="R135" s="2">
        <f t="shared" si="119"/>
        <v>336.83911393522197</v>
      </c>
      <c r="S135" s="2">
        <f t="shared" si="119"/>
        <v>345.17159367182273</v>
      </c>
      <c r="T135" s="155">
        <f t="shared" si="119"/>
        <v>324.65252786415567</v>
      </c>
      <c r="U135" s="167"/>
      <c r="V135" s="2"/>
      <c r="W135" s="2"/>
      <c r="X135" s="2"/>
    </row>
    <row r="136" spans="2:24" ht="12.75">
      <c r="B136" s="166"/>
      <c r="C136" s="156" t="s">
        <v>25</v>
      </c>
      <c r="E136" s="155">
        <f t="shared" si="119"/>
        <v>1965.455766361117</v>
      </c>
      <c r="F136" s="248"/>
      <c r="G136" s="205"/>
      <c r="H136" s="332"/>
      <c r="I136" s="155">
        <f t="shared" ref="I136" si="124">+I73</f>
        <v>1722.4022166894226</v>
      </c>
      <c r="J136" s="155">
        <f t="shared" si="119"/>
        <v>1864.2223138791503</v>
      </c>
      <c r="K136" s="301"/>
      <c r="L136" s="205"/>
      <c r="M136" s="288"/>
      <c r="N136" s="2">
        <f t="shared" si="119"/>
        <v>1804.7988113404547</v>
      </c>
      <c r="O136" s="2">
        <f t="shared" si="119"/>
        <v>1533.835550228134</v>
      </c>
      <c r="P136" s="2">
        <f t="shared" si="119"/>
        <v>1418.253591266041</v>
      </c>
      <c r="Q136" s="2">
        <f t="shared" si="119"/>
        <v>1351.915039527574</v>
      </c>
      <c r="R136" s="2">
        <f t="shared" si="119"/>
        <v>1284.4587415056042</v>
      </c>
      <c r="S136" s="2">
        <f t="shared" si="119"/>
        <v>1227.516119939396</v>
      </c>
      <c r="T136" s="155">
        <f t="shared" si="119"/>
        <v>1206.002760211034</v>
      </c>
      <c r="U136" s="167"/>
      <c r="V136" s="2"/>
      <c r="W136" s="2"/>
      <c r="X136" s="2"/>
    </row>
    <row r="137" spans="2:24" ht="12.75">
      <c r="B137" s="166"/>
      <c r="C137" s="156" t="s">
        <v>26</v>
      </c>
      <c r="E137" s="155">
        <f t="shared" si="119"/>
        <v>954.06309955233428</v>
      </c>
      <c r="F137" s="248"/>
      <c r="G137" s="205"/>
      <c r="H137" s="332"/>
      <c r="I137" s="155">
        <f t="shared" ref="I137" si="125">+I74</f>
        <v>820.39394426150511</v>
      </c>
      <c r="J137" s="155">
        <f t="shared" si="119"/>
        <v>960.75561971540526</v>
      </c>
      <c r="K137" s="301"/>
      <c r="L137" s="205"/>
      <c r="M137" s="288"/>
      <c r="N137" s="2">
        <f t="shared" si="119"/>
        <v>916.6247690948519</v>
      </c>
      <c r="O137" s="2">
        <f t="shared" si="119"/>
        <v>627.84606758951361</v>
      </c>
      <c r="P137" s="2">
        <f t="shared" si="119"/>
        <v>734.56387665198235</v>
      </c>
      <c r="Q137" s="2">
        <f t="shared" si="119"/>
        <v>677.75540527669307</v>
      </c>
      <c r="R137" s="2">
        <f t="shared" si="119"/>
        <v>611.69605507016149</v>
      </c>
      <c r="S137" s="2">
        <f t="shared" si="119"/>
        <v>608.53053098904195</v>
      </c>
      <c r="T137" s="155">
        <f t="shared" si="119"/>
        <v>576.30743160616328</v>
      </c>
      <c r="U137" s="167"/>
      <c r="V137" s="2"/>
      <c r="W137" s="2"/>
      <c r="X137" s="2"/>
    </row>
    <row r="138" spans="2:24" ht="12.75">
      <c r="B138" s="166"/>
      <c r="C138" s="156" t="s">
        <v>27</v>
      </c>
      <c r="E138" s="155">
        <f t="shared" si="119"/>
        <v>62.161586015774887</v>
      </c>
      <c r="F138" s="248"/>
      <c r="G138" s="205"/>
      <c r="H138" s="332"/>
      <c r="I138" s="155">
        <f t="shared" ref="I138" si="126">+I75</f>
        <v>36.191872138784035</v>
      </c>
      <c r="J138" s="155">
        <f t="shared" si="119"/>
        <v>78.678284182305632</v>
      </c>
      <c r="K138" s="301"/>
      <c r="L138" s="205"/>
      <c r="M138" s="288"/>
      <c r="N138" s="2">
        <f t="shared" si="119"/>
        <v>50.685888683639874</v>
      </c>
      <c r="O138" s="2">
        <f t="shared" si="119"/>
        <v>47.798314128837681</v>
      </c>
      <c r="P138" s="2">
        <f t="shared" si="119"/>
        <v>174.91859796973759</v>
      </c>
      <c r="Q138" s="2">
        <f t="shared" si="119"/>
        <v>21.398037908372228</v>
      </c>
      <c r="R138" s="2">
        <f t="shared" si="119"/>
        <v>26.013238019592269</v>
      </c>
      <c r="S138" s="2">
        <f t="shared" si="119"/>
        <v>29.535780980233255</v>
      </c>
      <c r="T138" s="155">
        <f t="shared" si="119"/>
        <v>26.669054190978652</v>
      </c>
      <c r="U138" s="167"/>
      <c r="V138" s="2"/>
      <c r="W138" s="2"/>
      <c r="X138" s="2"/>
    </row>
    <row r="139" spans="2:24" ht="12.75">
      <c r="B139" s="166"/>
      <c r="C139" s="156" t="s">
        <v>28</v>
      </c>
      <c r="E139" s="155">
        <f t="shared" si="119"/>
        <v>98.486463440630999</v>
      </c>
      <c r="F139" s="248"/>
      <c r="G139" s="205"/>
      <c r="H139" s="332"/>
      <c r="I139" s="155">
        <f t="shared" ref="I139" si="127">+I76</f>
        <v>75.694723315396359</v>
      </c>
      <c r="J139" s="155">
        <f t="shared" si="119"/>
        <v>97.752113837904716</v>
      </c>
      <c r="K139" s="301"/>
      <c r="L139" s="205"/>
      <c r="M139" s="288"/>
      <c r="N139" s="2">
        <f t="shared" si="119"/>
        <v>87.285358605734487</v>
      </c>
      <c r="O139" s="2">
        <f t="shared" si="119"/>
        <v>57.808367488979975</v>
      </c>
      <c r="P139" s="2">
        <f t="shared" si="119"/>
        <v>61.548362382685312</v>
      </c>
      <c r="Q139" s="2">
        <f t="shared" si="119"/>
        <v>97.009238975140491</v>
      </c>
      <c r="R139" s="2">
        <f t="shared" si="119"/>
        <v>159.43888447621569</v>
      </c>
      <c r="S139" s="2">
        <f t="shared" si="119"/>
        <v>0.10623304323314894</v>
      </c>
      <c r="T139" s="155">
        <f t="shared" si="119"/>
        <v>19.330037385136787</v>
      </c>
      <c r="U139" s="167"/>
      <c r="V139" s="2"/>
      <c r="W139" s="2"/>
      <c r="X139" s="2"/>
    </row>
    <row r="140" spans="2:24" ht="12.75">
      <c r="B140" s="166"/>
      <c r="C140" s="156" t="s">
        <v>29</v>
      </c>
      <c r="E140" s="155">
        <f t="shared" si="119"/>
        <v>0</v>
      </c>
      <c r="F140" s="248"/>
      <c r="G140" s="205"/>
      <c r="H140" s="332"/>
      <c r="I140" s="155">
        <f t="shared" ref="I140" si="128">+I77</f>
        <v>0</v>
      </c>
      <c r="J140" s="155">
        <f t="shared" si="119"/>
        <v>0</v>
      </c>
      <c r="K140" s="301"/>
      <c r="L140" s="205"/>
      <c r="M140" s="288"/>
      <c r="N140" s="2">
        <f t="shared" si="119"/>
        <v>64.771705083929007</v>
      </c>
      <c r="O140" s="2">
        <f t="shared" si="119"/>
        <v>101.06526950738537</v>
      </c>
      <c r="P140" s="2">
        <f t="shared" si="119"/>
        <v>100.16586860754644</v>
      </c>
      <c r="Q140" s="2">
        <f t="shared" si="119"/>
        <v>99.618249357081623</v>
      </c>
      <c r="R140" s="2">
        <f t="shared" si="119"/>
        <v>92.254522990027354</v>
      </c>
      <c r="S140" s="2">
        <f t="shared" si="119"/>
        <v>83.927275289806559</v>
      </c>
      <c r="T140" s="155">
        <f t="shared" si="119"/>
        <v>89.840501729499323</v>
      </c>
      <c r="U140" s="167"/>
      <c r="V140" s="2"/>
      <c r="W140" s="2"/>
      <c r="X140" s="2"/>
    </row>
    <row r="141" spans="2:24" ht="12.75">
      <c r="B141" s="166"/>
      <c r="C141" s="156" t="s">
        <v>30</v>
      </c>
      <c r="E141" s="157">
        <f t="shared" si="119"/>
        <v>1406.9494777232999</v>
      </c>
      <c r="F141" s="265"/>
      <c r="G141" s="220"/>
      <c r="H141" s="347"/>
      <c r="I141" s="157">
        <f t="shared" ref="I141" si="129">+I78</f>
        <v>1325.1947634728135</v>
      </c>
      <c r="J141" s="157">
        <f t="shared" si="119"/>
        <v>1381.728191379666</v>
      </c>
      <c r="K141" s="318"/>
      <c r="L141" s="220"/>
      <c r="M141" s="291"/>
      <c r="N141" s="128">
        <f t="shared" si="119"/>
        <v>1345.2734720102803</v>
      </c>
      <c r="O141" s="128">
        <f t="shared" si="119"/>
        <v>1005.3360142293714</v>
      </c>
      <c r="P141" s="128">
        <f t="shared" si="119"/>
        <v>267.37330013407393</v>
      </c>
      <c r="Q141" s="128">
        <f t="shared" si="119"/>
        <v>761.97733117439759</v>
      </c>
      <c r="R141" s="128">
        <f t="shared" si="119"/>
        <v>670.72632600829581</v>
      </c>
      <c r="S141" s="128">
        <f t="shared" si="119"/>
        <v>739.9316444099926</v>
      </c>
      <c r="T141" s="157">
        <f t="shared" si="119"/>
        <v>751.19667377100734</v>
      </c>
      <c r="U141" s="167"/>
      <c r="V141" s="2"/>
      <c r="W141" s="2"/>
      <c r="X141" s="2"/>
    </row>
    <row r="142" spans="2:24" ht="12.75">
      <c r="B142" s="166"/>
      <c r="C142" s="107"/>
      <c r="E142" s="155"/>
      <c r="F142" s="248"/>
      <c r="G142" s="205"/>
      <c r="H142" s="332"/>
      <c r="I142" s="155"/>
      <c r="J142" s="155"/>
      <c r="K142" s="301"/>
      <c r="L142" s="205"/>
      <c r="M142" s="288"/>
      <c r="N142" s="2"/>
      <c r="O142" s="2"/>
      <c r="P142" s="2"/>
      <c r="Q142" s="2"/>
      <c r="R142" s="2"/>
      <c r="S142" s="2"/>
      <c r="T142" s="155"/>
      <c r="U142" s="167"/>
      <c r="V142" s="2"/>
      <c r="W142" s="2"/>
      <c r="X142" s="2"/>
    </row>
    <row r="143" spans="2:24" ht="12.75">
      <c r="B143" s="166"/>
      <c r="C143" s="158" t="s">
        <v>268</v>
      </c>
      <c r="D143" s="105"/>
      <c r="E143" s="165">
        <f>SUM(E129:E142)</f>
        <v>13842.737582604988</v>
      </c>
      <c r="F143" s="270"/>
      <c r="G143" s="227"/>
      <c r="H143" s="347"/>
      <c r="I143" s="165">
        <f>SUM(I129:I142)</f>
        <v>12891.823347522288</v>
      </c>
      <c r="J143" s="165">
        <f t="shared" ref="J143:T143" si="130">SUM(J129:J142)</f>
        <v>13287.739740152607</v>
      </c>
      <c r="K143" s="322"/>
      <c r="L143" s="329"/>
      <c r="M143" s="291"/>
      <c r="N143" s="164">
        <f t="shared" si="130"/>
        <v>13021.665528873184</v>
      </c>
      <c r="O143" s="164">
        <f t="shared" si="130"/>
        <v>12893.498801330137</v>
      </c>
      <c r="P143" s="164">
        <f t="shared" si="130"/>
        <v>12824.45048841218</v>
      </c>
      <c r="Q143" s="164">
        <f t="shared" si="130"/>
        <v>12237.230307648348</v>
      </c>
      <c r="R143" s="164">
        <f t="shared" si="130"/>
        <v>11564.392198393789</v>
      </c>
      <c r="S143" s="164">
        <f t="shared" si="130"/>
        <v>11233.902399492621</v>
      </c>
      <c r="T143" s="165">
        <f t="shared" si="130"/>
        <v>11142.562034869503</v>
      </c>
      <c r="U143" s="167"/>
      <c r="V143" s="2"/>
      <c r="W143" s="2"/>
      <c r="X143" s="2"/>
    </row>
    <row r="144" spans="2:24" ht="12.75">
      <c r="B144" s="166"/>
      <c r="C144" s="166"/>
      <c r="D144" s="166"/>
      <c r="E144" s="247"/>
      <c r="F144" s="248"/>
      <c r="G144" s="224"/>
      <c r="H144" s="350"/>
      <c r="I144" s="167"/>
      <c r="J144" s="247"/>
      <c r="K144" s="301"/>
      <c r="L144" s="205"/>
      <c r="M144" s="288"/>
      <c r="N144" s="167"/>
      <c r="O144" s="167"/>
      <c r="P144" s="167"/>
      <c r="Q144" s="167"/>
      <c r="R144" s="167"/>
      <c r="S144" s="167"/>
      <c r="T144" s="167"/>
      <c r="U144" s="167"/>
      <c r="V144" s="2"/>
      <c r="W144" s="2"/>
      <c r="X144" s="2"/>
    </row>
    <row r="145" spans="3:24" ht="12.75">
      <c r="E145" s="155"/>
      <c r="F145" s="248"/>
      <c r="G145" s="205"/>
      <c r="H145" s="332"/>
      <c r="I145" s="2"/>
      <c r="J145" s="155"/>
      <c r="K145" s="301"/>
      <c r="L145" s="205"/>
      <c r="M145" s="288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3:24" ht="12.75">
      <c r="E146" s="155"/>
      <c r="F146" s="248"/>
      <c r="G146" s="205"/>
      <c r="H146" s="332"/>
      <c r="I146" s="2"/>
      <c r="J146" s="155"/>
      <c r="K146" s="301"/>
      <c r="L146" s="205"/>
      <c r="M146" s="288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3:24" ht="12.75">
      <c r="C147" s="118" t="s">
        <v>272</v>
      </c>
      <c r="D147" s="159"/>
      <c r="E147" s="161" t="s">
        <v>3</v>
      </c>
      <c r="F147" s="268"/>
      <c r="G147" s="225"/>
      <c r="H147" s="351"/>
      <c r="I147" s="491" t="s">
        <v>4</v>
      </c>
      <c r="J147" s="161" t="s">
        <v>4</v>
      </c>
      <c r="K147" s="320"/>
      <c r="L147" s="225"/>
      <c r="M147" s="300"/>
      <c r="N147" s="160" t="s">
        <v>5</v>
      </c>
      <c r="O147" s="160">
        <f t="shared" ref="O147" si="131">N147-1</f>
        <v>2023</v>
      </c>
      <c r="P147" s="160">
        <f t="shared" ref="P147" si="132">O147-1</f>
        <v>2022</v>
      </c>
      <c r="Q147" s="160">
        <f t="shared" ref="Q147" si="133">P147-1</f>
        <v>2021</v>
      </c>
      <c r="R147" s="160">
        <f t="shared" ref="R147" si="134">Q147-1</f>
        <v>2020</v>
      </c>
      <c r="S147" s="160">
        <f t="shared" ref="S147" si="135">R147-1</f>
        <v>2019</v>
      </c>
      <c r="T147" s="161">
        <f t="shared" ref="T147" si="136">S147-1</f>
        <v>2018</v>
      </c>
      <c r="U147" s="2"/>
      <c r="V147" s="2"/>
      <c r="W147" s="2"/>
      <c r="X147" s="2"/>
    </row>
    <row r="148" spans="3:24" ht="12.75">
      <c r="C148" s="107" t="s">
        <v>92</v>
      </c>
      <c r="E148" s="232">
        <f t="shared" ref="E148:E159" si="137">+E130/$T130-1</f>
        <v>0.33929750245787149</v>
      </c>
      <c r="F148" s="271"/>
      <c r="G148" s="208"/>
      <c r="H148" s="346"/>
      <c r="I148" s="232">
        <f t="shared" ref="I148:T159" si="138">+I130/$T130-1</f>
        <v>0.27872257010618351</v>
      </c>
      <c r="J148" s="232">
        <f t="shared" si="138"/>
        <v>0.27307287029679483</v>
      </c>
      <c r="K148" s="232">
        <f t="shared" si="138"/>
        <v>-1</v>
      </c>
      <c r="L148" s="232">
        <f t="shared" si="138"/>
        <v>-1</v>
      </c>
      <c r="M148" s="232">
        <f t="shared" si="138"/>
        <v>-1</v>
      </c>
      <c r="N148" s="232">
        <f t="shared" si="138"/>
        <v>0.27442386081139425</v>
      </c>
      <c r="O148" s="232">
        <f t="shared" si="138"/>
        <v>0.12339053729098404</v>
      </c>
      <c r="P148" s="232">
        <f t="shared" si="138"/>
        <v>0.27182084595217382</v>
      </c>
      <c r="Q148" s="232">
        <f t="shared" si="138"/>
        <v>0.11587743043284648</v>
      </c>
      <c r="R148" s="232">
        <f t="shared" si="138"/>
        <v>4.061474525325437E-2</v>
      </c>
      <c r="S148" s="232">
        <f t="shared" si="138"/>
        <v>6.3430294423489908E-3</v>
      </c>
      <c r="T148" s="232">
        <f t="shared" si="138"/>
        <v>0</v>
      </c>
      <c r="U148" s="2"/>
      <c r="V148" s="2"/>
      <c r="W148" s="2"/>
      <c r="X148" s="2"/>
    </row>
    <row r="149" spans="3:24" ht="12.75">
      <c r="C149" s="156" t="s">
        <v>20</v>
      </c>
      <c r="E149" s="232">
        <f t="shared" si="137"/>
        <v>0.97960902826442098</v>
      </c>
      <c r="F149" s="271"/>
      <c r="G149" s="208"/>
      <c r="H149" s="346"/>
      <c r="I149" s="232">
        <f t="shared" si="138"/>
        <v>0.95999444253393462</v>
      </c>
      <c r="J149" s="232">
        <f t="shared" si="138"/>
        <v>0.84478679014905378</v>
      </c>
      <c r="K149" s="232">
        <f t="shared" si="138"/>
        <v>-1</v>
      </c>
      <c r="L149" s="232">
        <f t="shared" si="138"/>
        <v>-1</v>
      </c>
      <c r="M149" s="232">
        <f t="shared" si="138"/>
        <v>-1</v>
      </c>
      <c r="N149" s="232">
        <f t="shared" si="138"/>
        <v>0.8587367588197139</v>
      </c>
      <c r="O149" s="232">
        <f t="shared" si="138"/>
        <v>0.42700225500738842</v>
      </c>
      <c r="P149" s="232">
        <f t="shared" si="138"/>
        <v>0.28045508684923792</v>
      </c>
      <c r="Q149" s="232">
        <f t="shared" si="138"/>
        <v>0.17625781492844328</v>
      </c>
      <c r="R149" s="232">
        <f t="shared" si="138"/>
        <v>6.4475201248720637E-2</v>
      </c>
      <c r="S149" s="232">
        <f t="shared" si="138"/>
        <v>2.3144588660069854E-2</v>
      </c>
      <c r="T149" s="232">
        <f t="shared" si="138"/>
        <v>0</v>
      </c>
      <c r="U149" s="2"/>
      <c r="V149" s="2"/>
      <c r="W149" s="2"/>
      <c r="X149" s="2"/>
    </row>
    <row r="150" spans="3:24" ht="12.75">
      <c r="C150" s="156" t="s">
        <v>21</v>
      </c>
      <c r="E150" s="232">
        <f t="shared" si="137"/>
        <v>0.51426693908388699</v>
      </c>
      <c r="F150" s="271"/>
      <c r="G150" s="208"/>
      <c r="H150" s="346"/>
      <c r="I150" s="232">
        <f t="shared" si="138"/>
        <v>0.35012838364891263</v>
      </c>
      <c r="J150" s="232">
        <f t="shared" si="138"/>
        <v>0.39033470216693811</v>
      </c>
      <c r="K150" s="232">
        <f t="shared" si="138"/>
        <v>-1</v>
      </c>
      <c r="L150" s="232">
        <f t="shared" si="138"/>
        <v>-1</v>
      </c>
      <c r="M150" s="232">
        <f t="shared" si="138"/>
        <v>-1</v>
      </c>
      <c r="N150" s="232">
        <f t="shared" si="138"/>
        <v>0.32076311212823483</v>
      </c>
      <c r="O150" s="232">
        <f t="shared" si="138"/>
        <v>0.17514406348141986</v>
      </c>
      <c r="P150" s="232">
        <f t="shared" si="138"/>
        <v>6.3923968597276781E-2</v>
      </c>
      <c r="Q150" s="232">
        <f t="shared" si="138"/>
        <v>0.11981940437220917</v>
      </c>
      <c r="R150" s="232">
        <f t="shared" si="138"/>
        <v>1.7715544316468934E-2</v>
      </c>
      <c r="S150" s="232">
        <f t="shared" si="138"/>
        <v>3.8504209699008696E-2</v>
      </c>
      <c r="T150" s="232">
        <f t="shared" si="138"/>
        <v>0</v>
      </c>
      <c r="U150" s="2"/>
      <c r="V150" s="2"/>
      <c r="W150" s="2"/>
      <c r="X150" s="2"/>
    </row>
    <row r="151" spans="3:24" ht="12.75">
      <c r="C151" s="156" t="s">
        <v>22</v>
      </c>
      <c r="E151" s="232">
        <f t="shared" si="137"/>
        <v>1.1705840498604116</v>
      </c>
      <c r="F151" s="271"/>
      <c r="G151" s="208"/>
      <c r="H151" s="346"/>
      <c r="I151" s="232">
        <f t="shared" si="138"/>
        <v>1.1619164879894011</v>
      </c>
      <c r="J151" s="232">
        <f t="shared" si="138"/>
        <v>1.3031178415536324</v>
      </c>
      <c r="K151" s="232">
        <f t="shared" si="138"/>
        <v>-1</v>
      </c>
      <c r="L151" s="232">
        <f t="shared" si="138"/>
        <v>-1</v>
      </c>
      <c r="M151" s="232">
        <f t="shared" si="138"/>
        <v>-1</v>
      </c>
      <c r="N151" s="232">
        <f t="shared" si="138"/>
        <v>1.2111311962783673</v>
      </c>
      <c r="O151" s="232">
        <f t="shared" si="138"/>
        <v>0.49711353306063022</v>
      </c>
      <c r="P151" s="232">
        <f t="shared" si="138"/>
        <v>-1.1774817226725909E-2</v>
      </c>
      <c r="Q151" s="232">
        <f t="shared" si="138"/>
        <v>-8.6410173183666505E-2</v>
      </c>
      <c r="R151" s="232">
        <f t="shared" si="138"/>
        <v>-0.11959044475309766</v>
      </c>
      <c r="S151" s="232">
        <f t="shared" si="138"/>
        <v>-0.1974624518621112</v>
      </c>
      <c r="T151" s="232">
        <f t="shared" si="138"/>
        <v>0</v>
      </c>
      <c r="U151" s="2"/>
      <c r="V151" s="2"/>
      <c r="W151" s="2"/>
      <c r="X151" s="2"/>
    </row>
    <row r="152" spans="3:24" ht="12.75">
      <c r="C152" s="156" t="s">
        <v>23</v>
      </c>
      <c r="E152" s="232">
        <f t="shared" si="137"/>
        <v>0.55667668490108868</v>
      </c>
      <c r="F152" s="271"/>
      <c r="G152" s="208"/>
      <c r="H152" s="346"/>
      <c r="I152" s="232">
        <f t="shared" si="138"/>
        <v>0.4487158187031588</v>
      </c>
      <c r="J152" s="232">
        <f t="shared" si="138"/>
        <v>0.44986694482653</v>
      </c>
      <c r="K152" s="232">
        <f t="shared" si="138"/>
        <v>-1</v>
      </c>
      <c r="L152" s="232">
        <f t="shared" si="138"/>
        <v>-1</v>
      </c>
      <c r="M152" s="232">
        <f t="shared" si="138"/>
        <v>-1</v>
      </c>
      <c r="N152" s="232">
        <f t="shared" si="138"/>
        <v>0.40407388311023129</v>
      </c>
      <c r="O152" s="232">
        <f t="shared" si="138"/>
        <v>0.14427304208860336</v>
      </c>
      <c r="P152" s="232">
        <f t="shared" si="138"/>
        <v>0.13736803040147305</v>
      </c>
      <c r="Q152" s="232">
        <f t="shared" si="138"/>
        <v>9.9733617711398104E-2</v>
      </c>
      <c r="R152" s="232">
        <f t="shared" si="138"/>
        <v>3.4358731549936072E-2</v>
      </c>
      <c r="S152" s="232">
        <f t="shared" si="138"/>
        <v>3.0066352189592749E-2</v>
      </c>
      <c r="T152" s="232">
        <f t="shared" si="138"/>
        <v>0</v>
      </c>
      <c r="U152" s="2"/>
      <c r="V152" s="2"/>
      <c r="W152" s="2"/>
      <c r="X152" s="2"/>
    </row>
    <row r="153" spans="3:24" ht="12.75">
      <c r="C153" s="156" t="s">
        <v>24</v>
      </c>
      <c r="E153" s="232">
        <f t="shared" si="137"/>
        <v>0.74035962277714229</v>
      </c>
      <c r="F153" s="271"/>
      <c r="G153" s="208"/>
      <c r="H153" s="346"/>
      <c r="I153" s="232">
        <f t="shared" si="138"/>
        <v>0.62652847730670769</v>
      </c>
      <c r="J153" s="232">
        <f t="shared" si="138"/>
        <v>0.76398122914687394</v>
      </c>
      <c r="K153" s="232">
        <f t="shared" si="138"/>
        <v>-1</v>
      </c>
      <c r="L153" s="232">
        <f t="shared" si="138"/>
        <v>-1</v>
      </c>
      <c r="M153" s="232">
        <f t="shared" si="138"/>
        <v>-1</v>
      </c>
      <c r="N153" s="232">
        <f t="shared" si="138"/>
        <v>0.44351276780093474</v>
      </c>
      <c r="O153" s="232">
        <f t="shared" si="138"/>
        <v>0.2584723700275211</v>
      </c>
      <c r="P153" s="232">
        <f t="shared" si="138"/>
        <v>0.30963114640067535</v>
      </c>
      <c r="Q153" s="232">
        <f t="shared" si="138"/>
        <v>0.14882297435752889</v>
      </c>
      <c r="R153" s="232">
        <f t="shared" si="138"/>
        <v>3.753732075102012E-2</v>
      </c>
      <c r="S153" s="232">
        <f t="shared" si="138"/>
        <v>6.3203160445597595E-2</v>
      </c>
      <c r="T153" s="232">
        <f t="shared" si="138"/>
        <v>0</v>
      </c>
      <c r="U153" s="2"/>
      <c r="V153" s="2"/>
      <c r="W153" s="2"/>
      <c r="X153" s="2"/>
    </row>
    <row r="154" spans="3:24" ht="12.75">
      <c r="C154" s="156" t="s">
        <v>25</v>
      </c>
      <c r="E154" s="232">
        <f t="shared" si="137"/>
        <v>0.62972741954354161</v>
      </c>
      <c r="F154" s="271"/>
      <c r="G154" s="208"/>
      <c r="H154" s="346"/>
      <c r="I154" s="232">
        <f t="shared" si="138"/>
        <v>0.42819094078028952</v>
      </c>
      <c r="J154" s="232">
        <f t="shared" si="138"/>
        <v>0.54578610877551959</v>
      </c>
      <c r="K154" s="232">
        <f t="shared" si="138"/>
        <v>-1</v>
      </c>
      <c r="L154" s="232">
        <f t="shared" si="138"/>
        <v>-1</v>
      </c>
      <c r="M154" s="232">
        <f t="shared" si="138"/>
        <v>-1</v>
      </c>
      <c r="N154" s="232">
        <f t="shared" si="138"/>
        <v>0.49651300219631311</v>
      </c>
      <c r="O154" s="232">
        <f t="shared" si="138"/>
        <v>0.27183419543727561</v>
      </c>
      <c r="P154" s="232">
        <f t="shared" si="138"/>
        <v>0.17599531116982359</v>
      </c>
      <c r="Q154" s="232">
        <f t="shared" si="138"/>
        <v>0.12098834607228204</v>
      </c>
      <c r="R154" s="232">
        <f t="shared" si="138"/>
        <v>6.505456196538173E-2</v>
      </c>
      <c r="S154" s="232">
        <f t="shared" si="138"/>
        <v>1.7838565912235094E-2</v>
      </c>
      <c r="T154" s="232">
        <f t="shared" si="138"/>
        <v>0</v>
      </c>
      <c r="U154" s="2"/>
      <c r="V154" s="2"/>
      <c r="W154" s="2"/>
      <c r="X154" s="2"/>
    </row>
    <row r="155" spans="3:24" ht="12.75">
      <c r="C155" s="156" t="s">
        <v>26</v>
      </c>
      <c r="E155" s="232">
        <f t="shared" si="137"/>
        <v>0.65547596166401956</v>
      </c>
      <c r="F155" s="271"/>
      <c r="G155" s="208"/>
      <c r="H155" s="346"/>
      <c r="I155" s="232">
        <f t="shared" si="138"/>
        <v>0.42353525092514444</v>
      </c>
      <c r="J155" s="232">
        <f t="shared" si="138"/>
        <v>0.66708872213878734</v>
      </c>
      <c r="K155" s="232">
        <f t="shared" si="138"/>
        <v>-1</v>
      </c>
      <c r="L155" s="232">
        <f t="shared" si="138"/>
        <v>-1</v>
      </c>
      <c r="M155" s="232">
        <f t="shared" si="138"/>
        <v>-1</v>
      </c>
      <c r="N155" s="232">
        <f t="shared" si="138"/>
        <v>0.59051353292500064</v>
      </c>
      <c r="O155" s="232">
        <f t="shared" si="138"/>
        <v>8.9429067120846639E-2</v>
      </c>
      <c r="P155" s="232">
        <f t="shared" si="138"/>
        <v>0.27460420665539553</v>
      </c>
      <c r="Q155" s="232">
        <f t="shared" si="138"/>
        <v>0.17603100030793506</v>
      </c>
      <c r="R155" s="232">
        <f t="shared" si="138"/>
        <v>6.1405807947626956E-2</v>
      </c>
      <c r="S155" s="232">
        <f t="shared" si="138"/>
        <v>5.5913038103765578E-2</v>
      </c>
      <c r="T155" s="232">
        <f t="shared" si="138"/>
        <v>0</v>
      </c>
      <c r="U155" s="2"/>
      <c r="V155" s="2"/>
      <c r="W155" s="2"/>
      <c r="X155" s="2"/>
    </row>
    <row r="156" spans="3:24" ht="12.75">
      <c r="C156" s="156" t="s">
        <v>27</v>
      </c>
      <c r="E156" s="232">
        <f t="shared" si="137"/>
        <v>1.3308507894817772</v>
      </c>
      <c r="F156" s="271"/>
      <c r="G156" s="208"/>
      <c r="H156" s="346"/>
      <c r="I156" s="232">
        <f t="shared" si="138"/>
        <v>0.35707370346214495</v>
      </c>
      <c r="J156" s="232">
        <f t="shared" si="138"/>
        <v>1.9501715216027478</v>
      </c>
      <c r="K156" s="232">
        <f t="shared" si="138"/>
        <v>-1</v>
      </c>
      <c r="L156" s="232">
        <f t="shared" si="138"/>
        <v>-1</v>
      </c>
      <c r="M156" s="232">
        <f t="shared" si="138"/>
        <v>-1</v>
      </c>
      <c r="N156" s="232">
        <f t="shared" si="138"/>
        <v>0.9005506652270181</v>
      </c>
      <c r="O156" s="232">
        <f t="shared" si="138"/>
        <v>0.7922763134587063</v>
      </c>
      <c r="P156" s="232">
        <f t="shared" si="138"/>
        <v>5.5588601949336223</v>
      </c>
      <c r="Q156" s="232">
        <f t="shared" si="138"/>
        <v>-0.19764541497648813</v>
      </c>
      <c r="R156" s="232">
        <f t="shared" si="138"/>
        <v>-2.4590904750128928E-2</v>
      </c>
      <c r="S156" s="232">
        <f t="shared" si="138"/>
        <v>0.10749263054946767</v>
      </c>
      <c r="T156" s="232">
        <f t="shared" si="138"/>
        <v>0</v>
      </c>
      <c r="U156" s="2"/>
      <c r="V156" s="2"/>
      <c r="W156" s="2"/>
      <c r="X156" s="2"/>
    </row>
    <row r="157" spans="3:24" ht="12.75">
      <c r="C157" s="156" t="s">
        <v>28</v>
      </c>
      <c r="E157" s="232">
        <f t="shared" si="137"/>
        <v>4.094996014666739</v>
      </c>
      <c r="F157" s="271"/>
      <c r="G157" s="208"/>
      <c r="H157" s="346"/>
      <c r="I157" s="232">
        <f t="shared" si="138"/>
        <v>2.9159118943866806</v>
      </c>
      <c r="J157" s="232">
        <f t="shared" si="138"/>
        <v>4.0570059379744432</v>
      </c>
      <c r="K157" s="232">
        <f t="shared" si="138"/>
        <v>-1</v>
      </c>
      <c r="L157" s="232">
        <f t="shared" si="138"/>
        <v>-1</v>
      </c>
      <c r="M157" s="232">
        <f t="shared" si="138"/>
        <v>-1</v>
      </c>
      <c r="N157" s="232">
        <f t="shared" si="138"/>
        <v>3.5155297357494906</v>
      </c>
      <c r="O157" s="232">
        <f t="shared" si="138"/>
        <v>1.9905978109193865</v>
      </c>
      <c r="P157" s="232">
        <f t="shared" si="138"/>
        <v>2.1840788073183424</v>
      </c>
      <c r="Q157" s="232">
        <f t="shared" si="138"/>
        <v>4.0185748243680397</v>
      </c>
      <c r="R157" s="232">
        <f t="shared" si="138"/>
        <v>7.2482450136806822</v>
      </c>
      <c r="S157" s="232">
        <f t="shared" si="138"/>
        <v>-0.99450425050316593</v>
      </c>
      <c r="T157" s="232">
        <f t="shared" si="138"/>
        <v>0</v>
      </c>
      <c r="U157" s="2"/>
      <c r="V157" s="2"/>
      <c r="W157" s="2"/>
      <c r="X157" s="2"/>
    </row>
    <row r="158" spans="3:24" ht="12.75">
      <c r="C158" s="156" t="s">
        <v>29</v>
      </c>
      <c r="E158" s="232">
        <f t="shared" si="137"/>
        <v>-1</v>
      </c>
      <c r="F158" s="271"/>
      <c r="G158" s="208"/>
      <c r="H158" s="346"/>
      <c r="I158" s="232">
        <f t="shared" si="138"/>
        <v>-1</v>
      </c>
      <c r="J158" s="232">
        <f t="shared" si="138"/>
        <v>-1</v>
      </c>
      <c r="K158" s="232">
        <f t="shared" si="138"/>
        <v>-1</v>
      </c>
      <c r="L158" s="232">
        <f t="shared" si="138"/>
        <v>-1</v>
      </c>
      <c r="M158" s="232">
        <f t="shared" si="138"/>
        <v>-1</v>
      </c>
      <c r="N158" s="232">
        <f t="shared" si="138"/>
        <v>-0.27903669461964864</v>
      </c>
      <c r="O158" s="232">
        <f t="shared" si="138"/>
        <v>0.12494106290370777</v>
      </c>
      <c r="P158" s="232">
        <f t="shared" si="138"/>
        <v>0.11492997789722681</v>
      </c>
      <c r="Q158" s="232">
        <f t="shared" si="138"/>
        <v>0.10883451716489856</v>
      </c>
      <c r="R158" s="232">
        <f t="shared" si="138"/>
        <v>2.6870077682740634E-2</v>
      </c>
      <c r="S158" s="232">
        <f t="shared" si="138"/>
        <v>-6.5819160911377073E-2</v>
      </c>
      <c r="T158" s="232">
        <f t="shared" si="138"/>
        <v>0</v>
      </c>
      <c r="U158" s="2"/>
      <c r="V158" s="2"/>
      <c r="W158" s="2"/>
      <c r="X158" s="2"/>
    </row>
    <row r="159" spans="3:24" ht="12.75">
      <c r="C159" s="156" t="s">
        <v>30</v>
      </c>
      <c r="E159" s="246">
        <f t="shared" si="137"/>
        <v>0.87294423264737508</v>
      </c>
      <c r="F159" s="267"/>
      <c r="G159" s="223"/>
      <c r="H159" s="347"/>
      <c r="I159" s="246">
        <f t="shared" si="138"/>
        <v>0.76411159652815774</v>
      </c>
      <c r="J159" s="246">
        <f t="shared" si="138"/>
        <v>0.83936942165011241</v>
      </c>
      <c r="K159" s="246">
        <f t="shared" si="138"/>
        <v>-1</v>
      </c>
      <c r="L159" s="246">
        <f t="shared" si="138"/>
        <v>-1</v>
      </c>
      <c r="M159" s="246">
        <f t="shared" si="138"/>
        <v>-1</v>
      </c>
      <c r="N159" s="246">
        <f t="shared" si="138"/>
        <v>0.79084056011191772</v>
      </c>
      <c r="O159" s="246">
        <f t="shared" si="138"/>
        <v>0.33831265410506206</v>
      </c>
      <c r="P159" s="246">
        <f t="shared" si="138"/>
        <v>-0.64407017566803115</v>
      </c>
      <c r="Q159" s="246">
        <f t="shared" si="138"/>
        <v>1.4351311420578217E-2</v>
      </c>
      <c r="R159" s="246">
        <f t="shared" si="138"/>
        <v>-0.10712287550309607</v>
      </c>
      <c r="S159" s="246">
        <f t="shared" si="138"/>
        <v>-1.4996111876353635E-2</v>
      </c>
      <c r="T159" s="246">
        <f t="shared" si="138"/>
        <v>0</v>
      </c>
      <c r="U159" s="2"/>
      <c r="V159" s="2"/>
      <c r="W159" s="2"/>
      <c r="X159" s="2"/>
    </row>
    <row r="160" spans="3:24" ht="12.75">
      <c r="C160" s="107"/>
      <c r="E160" s="232"/>
      <c r="F160" s="271"/>
      <c r="G160" s="208"/>
      <c r="H160" s="346"/>
      <c r="I160" s="232"/>
      <c r="J160" s="232"/>
      <c r="K160" s="232"/>
      <c r="L160" s="232"/>
      <c r="M160" s="232"/>
      <c r="N160" s="232"/>
      <c r="O160" s="232"/>
      <c r="P160" s="232"/>
      <c r="Q160" s="232"/>
      <c r="R160" s="232"/>
      <c r="S160" s="232"/>
      <c r="T160" s="232"/>
      <c r="U160" s="2"/>
      <c r="V160" s="2"/>
      <c r="W160" s="2"/>
      <c r="X160" s="2"/>
    </row>
    <row r="161" spans="3:24" ht="12.75">
      <c r="C161" s="158" t="s">
        <v>268</v>
      </c>
      <c r="D161" s="105"/>
      <c r="E161" s="246">
        <f>+E143/$T143-1</f>
        <v>0.24232986446793503</v>
      </c>
      <c r="F161" s="267"/>
      <c r="G161" s="223"/>
      <c r="H161" s="347"/>
      <c r="I161" s="246">
        <f t="shared" ref="I161:T161" si="139">+I143/$T143-1</f>
        <v>0.15698914730549873</v>
      </c>
      <c r="J161" s="246">
        <f t="shared" si="139"/>
        <v>0.19252104664708081</v>
      </c>
      <c r="K161" s="246">
        <f t="shared" si="139"/>
        <v>-1</v>
      </c>
      <c r="L161" s="246">
        <f t="shared" si="139"/>
        <v>-1</v>
      </c>
      <c r="M161" s="246">
        <f t="shared" si="139"/>
        <v>-1</v>
      </c>
      <c r="N161" s="246">
        <f t="shared" si="139"/>
        <v>0.16864195937372561</v>
      </c>
      <c r="O161" s="246">
        <f t="shared" si="139"/>
        <v>0.15713951252694458</v>
      </c>
      <c r="P161" s="246">
        <f t="shared" si="139"/>
        <v>0.15094270494338557</v>
      </c>
      <c r="Q161" s="246">
        <f t="shared" si="139"/>
        <v>9.8242062225293747E-2</v>
      </c>
      <c r="R161" s="246">
        <f t="shared" si="139"/>
        <v>3.7857555758201045E-2</v>
      </c>
      <c r="S161" s="246">
        <f t="shared" si="139"/>
        <v>8.197429310896176E-3</v>
      </c>
      <c r="T161" s="246">
        <f t="shared" si="139"/>
        <v>0</v>
      </c>
      <c r="U161" s="2"/>
      <c r="V161" s="2"/>
      <c r="W161" s="2"/>
      <c r="X161" s="2"/>
    </row>
    <row r="162" spans="3:24" ht="12.75">
      <c r="E162" s="155"/>
      <c r="F162" s="248"/>
      <c r="G162" s="205"/>
      <c r="H162" s="332"/>
      <c r="I162" s="2"/>
      <c r="J162" s="155"/>
      <c r="K162" s="301"/>
      <c r="L162" s="205"/>
      <c r="M162" s="288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3:24" ht="12.75">
      <c r="E163" s="155"/>
      <c r="F163" s="248"/>
      <c r="G163" s="205"/>
      <c r="H163" s="332"/>
      <c r="I163" s="2"/>
      <c r="J163" s="155"/>
      <c r="K163" s="301"/>
      <c r="L163" s="205"/>
      <c r="M163" s="288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3:24" ht="12.75">
      <c r="E164" s="155"/>
      <c r="F164" s="248"/>
      <c r="G164" s="205"/>
      <c r="H164" s="332"/>
      <c r="I164" s="2"/>
      <c r="J164" s="155"/>
      <c r="K164" s="301"/>
      <c r="L164" s="205"/>
      <c r="M164" s="288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3:24" ht="12.75">
      <c r="E165" s="155"/>
      <c r="F165" s="248"/>
      <c r="G165" s="205"/>
      <c r="H165" s="332"/>
      <c r="I165" s="2"/>
      <c r="J165" s="155"/>
      <c r="K165" s="301"/>
      <c r="L165" s="205"/>
      <c r="M165" s="288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3:24" ht="12.75">
      <c r="E166" s="155"/>
      <c r="F166" s="248"/>
      <c r="G166" s="205"/>
      <c r="H166" s="332"/>
      <c r="I166" s="2"/>
      <c r="J166" s="155"/>
      <c r="K166" s="301"/>
      <c r="L166" s="205"/>
      <c r="M166" s="288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3:24" ht="12.75">
      <c r="E167" s="155"/>
      <c r="F167" s="248"/>
      <c r="G167" s="205"/>
      <c r="H167" s="332"/>
      <c r="I167" s="2"/>
      <c r="J167" s="155"/>
      <c r="K167" s="301"/>
      <c r="L167" s="205"/>
      <c r="M167" s="288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3:24" ht="12.75">
      <c r="E168" s="155"/>
      <c r="F168" s="248"/>
      <c r="G168" s="205"/>
      <c r="H168" s="332"/>
      <c r="I168" s="2"/>
      <c r="J168" s="155"/>
      <c r="K168" s="301"/>
      <c r="L168" s="205"/>
      <c r="M168" s="288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3:24" ht="12.75">
      <c r="E169" s="155"/>
      <c r="F169" s="248"/>
      <c r="G169" s="205"/>
      <c r="H169" s="332"/>
      <c r="I169" s="2"/>
      <c r="J169" s="155"/>
      <c r="K169" s="301"/>
      <c r="L169" s="205"/>
      <c r="M169" s="288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3:24" ht="12.75">
      <c r="E170" s="155"/>
      <c r="F170" s="248"/>
      <c r="G170" s="205"/>
      <c r="H170" s="332"/>
      <c r="I170" s="2"/>
      <c r="J170" s="155"/>
      <c r="K170" s="301"/>
      <c r="L170" s="205"/>
      <c r="M170" s="288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3:24" ht="12.75">
      <c r="E171" s="155"/>
      <c r="F171" s="248"/>
      <c r="G171" s="205"/>
      <c r="H171" s="332"/>
      <c r="I171" s="2"/>
      <c r="J171" s="155"/>
      <c r="K171" s="301"/>
      <c r="L171" s="205"/>
      <c r="M171" s="288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3:24" ht="12.75">
      <c r="E172" s="155"/>
      <c r="F172" s="248"/>
      <c r="G172" s="205"/>
      <c r="H172" s="332"/>
      <c r="I172" s="2"/>
      <c r="J172" s="155"/>
      <c r="K172" s="301"/>
      <c r="L172" s="205"/>
      <c r="M172" s="288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3:24" ht="12.75">
      <c r="E173" s="155"/>
      <c r="F173" s="248"/>
      <c r="G173" s="205"/>
      <c r="H173" s="332"/>
      <c r="I173" s="2"/>
      <c r="J173" s="155"/>
      <c r="K173" s="301"/>
      <c r="L173" s="205"/>
      <c r="M173" s="288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3:24" ht="12.75">
      <c r="E174" s="155"/>
      <c r="F174" s="248"/>
      <c r="G174" s="205"/>
      <c r="H174" s="332"/>
      <c r="I174" s="2"/>
      <c r="J174" s="155"/>
      <c r="K174" s="301"/>
      <c r="L174" s="205"/>
      <c r="M174" s="288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3:24" ht="12.75">
      <c r="E175" s="155"/>
      <c r="F175" s="248"/>
      <c r="G175" s="205"/>
      <c r="H175" s="332"/>
      <c r="I175" s="2"/>
      <c r="J175" s="155"/>
      <c r="K175" s="301"/>
      <c r="L175" s="205"/>
      <c r="M175" s="288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3:24" ht="12.75">
      <c r="E176" s="155"/>
      <c r="F176" s="248"/>
      <c r="G176" s="205"/>
      <c r="H176" s="332"/>
      <c r="I176" s="2"/>
      <c r="J176" s="155"/>
      <c r="K176" s="301"/>
      <c r="L176" s="205"/>
      <c r="M176" s="288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5:24" ht="12.75">
      <c r="E177" s="155"/>
      <c r="F177" s="248"/>
      <c r="G177" s="205"/>
      <c r="H177" s="332"/>
      <c r="I177" s="2"/>
      <c r="J177" s="155"/>
      <c r="K177" s="301"/>
      <c r="L177" s="205"/>
      <c r="M177" s="288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5:24" ht="12.75">
      <c r="E178" s="155"/>
      <c r="F178" s="248"/>
      <c r="G178" s="205"/>
      <c r="H178" s="332"/>
      <c r="I178" s="2"/>
      <c r="J178" s="155"/>
      <c r="K178" s="301"/>
      <c r="L178" s="205"/>
      <c r="M178" s="288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5:24" ht="12.75">
      <c r="E179" s="155"/>
      <c r="F179" s="248"/>
      <c r="G179" s="205"/>
      <c r="H179" s="332"/>
      <c r="I179" s="2"/>
      <c r="J179" s="155"/>
      <c r="K179" s="301"/>
      <c r="L179" s="205"/>
      <c r="M179" s="288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5:24" ht="12.75">
      <c r="E180" s="155"/>
      <c r="F180" s="248"/>
      <c r="G180" s="205"/>
      <c r="H180" s="332"/>
      <c r="I180" s="2"/>
      <c r="J180" s="155"/>
      <c r="K180" s="301"/>
      <c r="L180" s="205"/>
      <c r="M180" s="288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5:24" ht="12.75">
      <c r="E181" s="155"/>
      <c r="F181" s="248"/>
      <c r="G181" s="205"/>
      <c r="H181" s="332"/>
      <c r="I181" s="2"/>
      <c r="J181" s="155"/>
      <c r="K181" s="301"/>
      <c r="L181" s="205"/>
      <c r="M181" s="288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5:24" ht="12.75">
      <c r="E182" s="155"/>
      <c r="F182" s="248"/>
      <c r="G182" s="205"/>
      <c r="H182" s="332"/>
      <c r="I182" s="2"/>
      <c r="J182" s="155"/>
      <c r="K182" s="301"/>
      <c r="L182" s="205"/>
      <c r="M182" s="288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5:24" ht="12.75">
      <c r="E183" s="155"/>
      <c r="F183" s="248"/>
      <c r="G183" s="205"/>
      <c r="H183" s="332"/>
      <c r="I183" s="2"/>
      <c r="J183" s="155"/>
      <c r="K183" s="301"/>
      <c r="L183" s="205"/>
      <c r="M183" s="288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5:24" ht="12.75">
      <c r="E184" s="155"/>
      <c r="F184" s="248"/>
      <c r="G184" s="205"/>
      <c r="H184" s="332"/>
      <c r="I184" s="2"/>
      <c r="J184" s="155"/>
      <c r="K184" s="301"/>
      <c r="L184" s="205"/>
      <c r="M184" s="288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5:24" ht="12.75">
      <c r="E185" s="155"/>
      <c r="F185" s="248"/>
      <c r="G185" s="205"/>
      <c r="H185" s="332"/>
      <c r="I185" s="2"/>
      <c r="J185" s="155"/>
      <c r="K185" s="301"/>
      <c r="L185" s="205"/>
      <c r="M185" s="288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5:24" ht="12.75">
      <c r="E186" s="155"/>
      <c r="F186" s="248"/>
      <c r="G186" s="205"/>
      <c r="H186" s="332"/>
      <c r="I186" s="2"/>
      <c r="J186" s="155"/>
      <c r="K186" s="301"/>
      <c r="L186" s="205"/>
      <c r="M186" s="288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5:24" ht="12.75">
      <c r="E187" s="155"/>
      <c r="F187" s="248"/>
      <c r="G187" s="205"/>
      <c r="H187" s="332"/>
      <c r="I187" s="2"/>
      <c r="J187" s="155"/>
      <c r="K187" s="301"/>
      <c r="L187" s="205"/>
      <c r="M187" s="288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5:24" ht="12.75">
      <c r="E188" s="155"/>
      <c r="F188" s="248"/>
      <c r="G188" s="205"/>
      <c r="H188" s="332"/>
      <c r="I188" s="2"/>
      <c r="J188" s="155"/>
      <c r="K188" s="301"/>
      <c r="L188" s="205"/>
      <c r="M188" s="288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5:24" ht="12.75">
      <c r="E189" s="155"/>
      <c r="F189" s="248"/>
      <c r="G189" s="205"/>
      <c r="H189" s="332"/>
      <c r="I189" s="2"/>
      <c r="J189" s="155"/>
      <c r="K189" s="301"/>
      <c r="L189" s="205"/>
      <c r="M189" s="288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5:24" ht="12.75">
      <c r="E190" s="155"/>
      <c r="F190" s="248"/>
      <c r="G190" s="205"/>
      <c r="H190" s="332"/>
      <c r="I190" s="2"/>
      <c r="J190" s="155"/>
      <c r="K190" s="301"/>
      <c r="L190" s="205"/>
      <c r="M190" s="288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5:24" ht="12.75">
      <c r="E191" s="155"/>
      <c r="F191" s="248"/>
      <c r="G191" s="205"/>
      <c r="H191" s="332"/>
      <c r="I191" s="2"/>
      <c r="J191" s="155"/>
      <c r="K191" s="301"/>
      <c r="L191" s="205"/>
      <c r="M191" s="288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5:24" ht="12.75">
      <c r="E192" s="155"/>
      <c r="F192" s="248"/>
      <c r="G192" s="205"/>
      <c r="H192" s="332"/>
      <c r="I192" s="2"/>
      <c r="J192" s="155"/>
      <c r="K192" s="301"/>
      <c r="L192" s="205"/>
      <c r="M192" s="288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5:24" ht="12.75">
      <c r="E193" s="155"/>
      <c r="F193" s="248"/>
      <c r="G193" s="205"/>
      <c r="H193" s="332"/>
      <c r="I193" s="2"/>
      <c r="J193" s="155"/>
      <c r="K193" s="301"/>
      <c r="L193" s="205"/>
      <c r="M193" s="288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5:24" ht="12.75">
      <c r="E194" s="155"/>
      <c r="F194" s="248"/>
      <c r="G194" s="205"/>
      <c r="H194" s="332"/>
      <c r="I194" s="2"/>
      <c r="J194" s="155"/>
      <c r="K194" s="301"/>
      <c r="L194" s="205"/>
      <c r="M194" s="288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5:24" ht="12.75">
      <c r="E195" s="155"/>
      <c r="F195" s="248"/>
      <c r="G195" s="205"/>
      <c r="H195" s="332"/>
      <c r="I195" s="2"/>
      <c r="J195" s="155"/>
      <c r="K195" s="301"/>
      <c r="L195" s="205"/>
      <c r="M195" s="288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5:24" ht="12.75">
      <c r="E196" s="155"/>
      <c r="F196" s="248"/>
      <c r="G196" s="205"/>
      <c r="H196" s="332"/>
      <c r="I196" s="2"/>
      <c r="J196" s="155"/>
      <c r="K196" s="301"/>
      <c r="L196" s="205"/>
      <c r="M196" s="288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5:24" ht="12.75">
      <c r="E197" s="155"/>
      <c r="F197" s="248"/>
      <c r="G197" s="205"/>
      <c r="H197" s="332"/>
      <c r="I197" s="2"/>
      <c r="J197" s="155"/>
      <c r="K197" s="301"/>
      <c r="L197" s="205"/>
      <c r="M197" s="288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5:24" ht="12.75">
      <c r="E198" s="155"/>
      <c r="F198" s="248"/>
      <c r="G198" s="205"/>
      <c r="H198" s="332"/>
      <c r="I198" s="2"/>
      <c r="J198" s="155"/>
      <c r="K198" s="301"/>
      <c r="L198" s="205"/>
      <c r="M198" s="288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5:24" ht="12.75">
      <c r="E199" s="155"/>
      <c r="F199" s="248"/>
      <c r="G199" s="205"/>
      <c r="H199" s="332"/>
      <c r="I199" s="2"/>
      <c r="J199" s="155"/>
      <c r="K199" s="301"/>
      <c r="L199" s="205"/>
      <c r="M199" s="288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5:24" ht="12.75">
      <c r="E200" s="155"/>
      <c r="F200" s="248"/>
      <c r="G200" s="205"/>
      <c r="H200" s="332"/>
      <c r="I200" s="2"/>
      <c r="J200" s="155"/>
      <c r="K200" s="301"/>
      <c r="L200" s="205"/>
      <c r="M200" s="288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5:24" ht="12.75">
      <c r="E201" s="155"/>
      <c r="F201" s="248"/>
      <c r="G201" s="205"/>
      <c r="H201" s="332"/>
      <c r="I201" s="2"/>
      <c r="J201" s="155"/>
      <c r="K201" s="301"/>
      <c r="L201" s="205"/>
      <c r="M201" s="288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5:24" ht="12.75">
      <c r="E202" s="155"/>
      <c r="F202" s="248"/>
      <c r="G202" s="205"/>
      <c r="H202" s="332"/>
      <c r="I202" s="2"/>
      <c r="J202" s="155"/>
      <c r="K202" s="301"/>
      <c r="L202" s="205"/>
      <c r="M202" s="288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5:24" ht="12.75">
      <c r="E203" s="155"/>
      <c r="F203" s="248"/>
      <c r="G203" s="205"/>
      <c r="H203" s="332"/>
      <c r="I203" s="2"/>
      <c r="J203" s="155"/>
      <c r="K203" s="301"/>
      <c r="L203" s="205"/>
      <c r="M203" s="288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5:24" ht="12.75">
      <c r="E204" s="155"/>
      <c r="F204" s="248"/>
      <c r="G204" s="205"/>
      <c r="H204" s="332"/>
      <c r="I204" s="2"/>
      <c r="J204" s="155"/>
      <c r="K204" s="301"/>
      <c r="L204" s="205"/>
      <c r="M204" s="288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5:24" ht="12.75">
      <c r="E205" s="155"/>
      <c r="F205" s="248"/>
      <c r="G205" s="205"/>
      <c r="H205" s="332"/>
      <c r="I205" s="2"/>
      <c r="J205" s="155"/>
      <c r="K205" s="301"/>
      <c r="L205" s="205"/>
      <c r="M205" s="288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5:24" ht="12.75">
      <c r="E206" s="155"/>
      <c r="F206" s="248"/>
      <c r="G206" s="205"/>
      <c r="H206" s="332"/>
      <c r="I206" s="2"/>
      <c r="J206" s="155"/>
      <c r="K206" s="301"/>
      <c r="L206" s="205"/>
      <c r="M206" s="288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5:24" ht="12.75">
      <c r="E207" s="155"/>
      <c r="F207" s="248"/>
      <c r="G207" s="205"/>
      <c r="H207" s="332"/>
      <c r="I207" s="2"/>
      <c r="J207" s="155"/>
      <c r="K207" s="301"/>
      <c r="L207" s="205"/>
      <c r="M207" s="288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5:24" ht="12.75">
      <c r="E208" s="155"/>
      <c r="F208" s="248"/>
      <c r="G208" s="205"/>
      <c r="H208" s="332"/>
      <c r="I208" s="2"/>
      <c r="J208" s="155"/>
      <c r="K208" s="301"/>
      <c r="L208" s="205"/>
      <c r="M208" s="288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5:24" ht="12.75">
      <c r="E209" s="155"/>
      <c r="F209" s="248"/>
      <c r="G209" s="205"/>
      <c r="H209" s="332"/>
      <c r="I209" s="2"/>
      <c r="J209" s="155"/>
      <c r="K209" s="301"/>
      <c r="L209" s="205"/>
      <c r="M209" s="288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5:24" ht="12.75">
      <c r="E210" s="155"/>
      <c r="F210" s="248"/>
      <c r="G210" s="205"/>
      <c r="H210" s="332"/>
      <c r="I210" s="2"/>
      <c r="J210" s="155"/>
      <c r="K210" s="301"/>
      <c r="L210" s="205"/>
      <c r="M210" s="288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5:24" ht="12.75">
      <c r="E211" s="155"/>
      <c r="F211" s="248"/>
      <c r="G211" s="205"/>
      <c r="H211" s="332"/>
      <c r="I211" s="2"/>
      <c r="J211" s="155"/>
      <c r="K211" s="301"/>
      <c r="L211" s="205"/>
      <c r="M211" s="288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5:24" ht="12.75">
      <c r="E212" s="155"/>
      <c r="F212" s="248"/>
      <c r="G212" s="205"/>
      <c r="H212" s="332"/>
      <c r="I212" s="2"/>
      <c r="J212" s="155"/>
      <c r="K212" s="301"/>
      <c r="L212" s="205"/>
      <c r="M212" s="288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5:24" ht="12.75">
      <c r="E213" s="155"/>
      <c r="F213" s="248"/>
      <c r="G213" s="205"/>
      <c r="H213" s="332"/>
      <c r="I213" s="2"/>
      <c r="J213" s="155"/>
      <c r="K213" s="301"/>
      <c r="L213" s="205"/>
      <c r="M213" s="288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5:24" ht="12.75">
      <c r="E214" s="155"/>
      <c r="F214" s="248"/>
      <c r="G214" s="205"/>
      <c r="H214" s="332"/>
      <c r="I214" s="2"/>
      <c r="J214" s="155"/>
      <c r="K214" s="301"/>
      <c r="L214" s="205"/>
      <c r="M214" s="288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5:24" ht="12.75">
      <c r="E215" s="155"/>
      <c r="F215" s="248"/>
      <c r="G215" s="205"/>
      <c r="H215" s="332"/>
      <c r="I215" s="2"/>
      <c r="J215" s="155"/>
      <c r="K215" s="301"/>
      <c r="L215" s="205"/>
      <c r="M215" s="288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5:24" ht="12.75">
      <c r="E216" s="155"/>
      <c r="F216" s="248"/>
      <c r="G216" s="205"/>
      <c r="H216" s="332"/>
      <c r="I216" s="2"/>
      <c r="J216" s="155"/>
      <c r="K216" s="301"/>
      <c r="L216" s="205"/>
      <c r="M216" s="288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5:24" ht="12.75">
      <c r="E217" s="155"/>
      <c r="F217" s="248"/>
      <c r="G217" s="205"/>
      <c r="H217" s="332"/>
      <c r="I217" s="2"/>
      <c r="J217" s="155"/>
      <c r="K217" s="301"/>
      <c r="L217" s="205"/>
      <c r="M217" s="288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5:24" ht="12.75">
      <c r="E218" s="155"/>
      <c r="F218" s="248"/>
      <c r="G218" s="205"/>
      <c r="H218" s="332"/>
      <c r="I218" s="2"/>
      <c r="J218" s="155"/>
      <c r="K218" s="301"/>
      <c r="L218" s="205"/>
      <c r="M218" s="288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5:24" ht="12.75">
      <c r="E219" s="155"/>
      <c r="F219" s="248"/>
      <c r="G219" s="205"/>
      <c r="H219" s="332"/>
      <c r="I219" s="2"/>
      <c r="J219" s="155"/>
      <c r="K219" s="301"/>
      <c r="L219" s="205"/>
      <c r="M219" s="288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5:24" ht="12.75">
      <c r="E220" s="155"/>
      <c r="F220" s="248"/>
      <c r="G220" s="205"/>
      <c r="H220" s="332"/>
      <c r="I220" s="2"/>
      <c r="J220" s="155"/>
      <c r="K220" s="301"/>
      <c r="L220" s="205"/>
      <c r="M220" s="288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5:24" ht="12.75">
      <c r="E221" s="155"/>
      <c r="F221" s="248"/>
      <c r="G221" s="205"/>
      <c r="H221" s="332"/>
      <c r="I221" s="2"/>
      <c r="J221" s="155"/>
      <c r="K221" s="301"/>
      <c r="L221" s="205"/>
      <c r="M221" s="288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5:24" ht="12.75">
      <c r="E222" s="155"/>
      <c r="F222" s="248"/>
      <c r="G222" s="205"/>
      <c r="H222" s="332"/>
      <c r="I222" s="2"/>
      <c r="J222" s="155"/>
      <c r="K222" s="301"/>
      <c r="L222" s="205"/>
      <c r="M222" s="288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5:24" ht="12.75">
      <c r="E223" s="155"/>
      <c r="F223" s="248"/>
      <c r="G223" s="205"/>
      <c r="H223" s="332"/>
      <c r="I223" s="2"/>
      <c r="J223" s="155"/>
      <c r="K223" s="301"/>
      <c r="L223" s="205"/>
      <c r="M223" s="288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5:24" ht="12.75">
      <c r="E224" s="155"/>
      <c r="F224" s="248"/>
      <c r="G224" s="205"/>
      <c r="H224" s="332"/>
      <c r="I224" s="2"/>
      <c r="J224" s="155"/>
      <c r="K224" s="301"/>
      <c r="L224" s="205"/>
      <c r="M224" s="288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5:24" ht="12.75">
      <c r="E225" s="155"/>
      <c r="F225" s="248"/>
      <c r="G225" s="205"/>
      <c r="H225" s="332"/>
      <c r="I225" s="2"/>
      <c r="J225" s="155"/>
      <c r="K225" s="301"/>
      <c r="L225" s="205"/>
      <c r="M225" s="288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5:24" ht="12.75">
      <c r="E226" s="155"/>
      <c r="F226" s="248"/>
      <c r="G226" s="205"/>
      <c r="H226" s="332"/>
      <c r="I226" s="2"/>
      <c r="J226" s="155"/>
      <c r="K226" s="301"/>
      <c r="L226" s="205"/>
      <c r="M226" s="288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5:24" ht="12.75">
      <c r="E227" s="155"/>
      <c r="F227" s="248"/>
      <c r="G227" s="205"/>
      <c r="H227" s="332"/>
      <c r="I227" s="2"/>
      <c r="J227" s="155"/>
      <c r="K227" s="301"/>
      <c r="L227" s="205"/>
      <c r="M227" s="288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5:24" ht="12.75">
      <c r="E228" s="155"/>
      <c r="F228" s="248"/>
      <c r="G228" s="205"/>
      <c r="H228" s="332"/>
      <c r="I228" s="2"/>
      <c r="J228" s="155"/>
      <c r="K228" s="301"/>
      <c r="L228" s="205"/>
      <c r="M228" s="288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5:24" ht="12.75">
      <c r="E229" s="155"/>
      <c r="F229" s="248"/>
      <c r="G229" s="205"/>
      <c r="H229" s="332"/>
      <c r="I229" s="2"/>
      <c r="J229" s="155"/>
      <c r="K229" s="301"/>
      <c r="L229" s="205"/>
      <c r="M229" s="288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5:24" ht="12.75">
      <c r="E230" s="155"/>
      <c r="F230" s="248"/>
      <c r="G230" s="205"/>
      <c r="H230" s="332"/>
      <c r="I230" s="2"/>
      <c r="J230" s="155"/>
      <c r="K230" s="301"/>
      <c r="L230" s="205"/>
      <c r="M230" s="288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5:24" ht="12.75">
      <c r="E231" s="155"/>
      <c r="F231" s="248"/>
      <c r="G231" s="205"/>
      <c r="H231" s="332"/>
      <c r="I231" s="2"/>
      <c r="J231" s="155"/>
      <c r="K231" s="301"/>
      <c r="L231" s="205"/>
      <c r="M231" s="288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5:24" ht="12.75">
      <c r="E232" s="155"/>
      <c r="F232" s="248"/>
      <c r="G232" s="205"/>
      <c r="H232" s="332"/>
      <c r="I232" s="2"/>
      <c r="J232" s="155"/>
      <c r="K232" s="301"/>
      <c r="L232" s="205"/>
      <c r="M232" s="288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5:24" ht="12.75">
      <c r="E233" s="155"/>
      <c r="F233" s="248"/>
      <c r="G233" s="205"/>
      <c r="H233" s="332"/>
      <c r="I233" s="2"/>
      <c r="J233" s="155"/>
      <c r="K233" s="301"/>
      <c r="L233" s="205"/>
      <c r="M233" s="288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5:24" ht="12.75">
      <c r="E234" s="155"/>
      <c r="F234" s="248"/>
      <c r="G234" s="205"/>
      <c r="H234" s="332"/>
      <c r="I234" s="2"/>
      <c r="J234" s="155"/>
      <c r="K234" s="301"/>
      <c r="L234" s="205"/>
      <c r="M234" s="288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5:24" ht="12.75">
      <c r="E235" s="155"/>
      <c r="F235" s="248"/>
      <c r="G235" s="205"/>
      <c r="H235" s="332"/>
      <c r="I235" s="2"/>
      <c r="J235" s="155"/>
      <c r="K235" s="301"/>
      <c r="L235" s="205"/>
      <c r="M235" s="288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5:24" ht="12.75">
      <c r="E236" s="155"/>
      <c r="F236" s="248"/>
      <c r="G236" s="205"/>
      <c r="H236" s="332"/>
      <c r="I236" s="2"/>
      <c r="J236" s="155"/>
      <c r="K236" s="301"/>
      <c r="L236" s="205"/>
      <c r="M236" s="288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5:24" ht="12.75">
      <c r="E237" s="155"/>
      <c r="F237" s="248"/>
      <c r="G237" s="205"/>
      <c r="H237" s="332"/>
      <c r="I237" s="2"/>
      <c r="J237" s="155"/>
      <c r="K237" s="301"/>
      <c r="L237" s="205"/>
      <c r="M237" s="288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5:24" ht="12.75">
      <c r="E238" s="155"/>
      <c r="F238" s="248"/>
      <c r="G238" s="205"/>
      <c r="H238" s="332"/>
      <c r="I238" s="2"/>
      <c r="J238" s="155"/>
      <c r="K238" s="301"/>
      <c r="L238" s="205"/>
      <c r="M238" s="288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5:24" ht="12.75">
      <c r="E239" s="155"/>
      <c r="F239" s="248"/>
      <c r="G239" s="205"/>
      <c r="H239" s="332"/>
      <c r="I239" s="2"/>
      <c r="J239" s="155"/>
      <c r="K239" s="301"/>
      <c r="L239" s="205"/>
      <c r="M239" s="288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5:24" ht="12.75">
      <c r="E240" s="155"/>
      <c r="F240" s="248"/>
      <c r="G240" s="205"/>
      <c r="H240" s="332"/>
      <c r="I240" s="2"/>
      <c r="J240" s="155"/>
      <c r="K240" s="301"/>
      <c r="L240" s="205"/>
      <c r="M240" s="288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5:24" ht="12.75">
      <c r="E241" s="155"/>
      <c r="F241" s="248"/>
      <c r="G241" s="205"/>
      <c r="H241" s="332"/>
      <c r="I241" s="2"/>
      <c r="J241" s="155"/>
      <c r="K241" s="301"/>
      <c r="L241" s="205"/>
      <c r="M241" s="288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5:24" ht="12.75">
      <c r="E242" s="155"/>
      <c r="F242" s="248"/>
      <c r="G242" s="205"/>
      <c r="H242" s="332"/>
      <c r="I242" s="2"/>
      <c r="J242" s="155"/>
      <c r="K242" s="301"/>
      <c r="L242" s="205"/>
      <c r="M242" s="288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5:24" ht="12.75">
      <c r="E243" s="155"/>
      <c r="F243" s="248"/>
      <c r="G243" s="205"/>
      <c r="H243" s="332"/>
      <c r="I243" s="2"/>
      <c r="J243" s="155"/>
      <c r="K243" s="301"/>
      <c r="L243" s="205"/>
      <c r="M243" s="288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5:24" ht="12.75">
      <c r="E244" s="155"/>
      <c r="F244" s="248"/>
      <c r="G244" s="205"/>
      <c r="H244" s="332"/>
      <c r="I244" s="2"/>
      <c r="J244" s="155"/>
      <c r="K244" s="301"/>
      <c r="L244" s="205"/>
      <c r="M244" s="288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5:24" ht="12.75">
      <c r="E245" s="155"/>
      <c r="F245" s="248"/>
      <c r="G245" s="205"/>
      <c r="H245" s="332"/>
      <c r="I245" s="2"/>
      <c r="J245" s="155"/>
      <c r="K245" s="301"/>
      <c r="L245" s="205"/>
      <c r="M245" s="288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5:24" ht="12.75">
      <c r="E246" s="155"/>
      <c r="F246" s="248"/>
      <c r="G246" s="205"/>
      <c r="H246" s="332"/>
      <c r="I246" s="2"/>
      <c r="J246" s="155"/>
      <c r="K246" s="301"/>
      <c r="L246" s="205"/>
      <c r="M246" s="288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5:24" ht="12.75">
      <c r="E247" s="155"/>
      <c r="F247" s="248"/>
      <c r="G247" s="205"/>
      <c r="H247" s="332"/>
      <c r="I247" s="2"/>
      <c r="J247" s="155"/>
      <c r="K247" s="301"/>
      <c r="L247" s="205"/>
      <c r="M247" s="288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5:24" ht="12.75">
      <c r="E248" s="155"/>
      <c r="F248" s="248"/>
      <c r="G248" s="205"/>
      <c r="H248" s="332"/>
      <c r="I248" s="2"/>
      <c r="J248" s="155"/>
      <c r="K248" s="301"/>
      <c r="L248" s="205"/>
      <c r="M248" s="288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5:24" ht="12.75">
      <c r="E249" s="155"/>
      <c r="F249" s="248"/>
      <c r="G249" s="205"/>
      <c r="H249" s="332"/>
      <c r="I249" s="2"/>
      <c r="J249" s="155"/>
      <c r="K249" s="301"/>
      <c r="L249" s="205"/>
      <c r="M249" s="288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5:24" ht="12.75">
      <c r="E250" s="155"/>
      <c r="F250" s="248"/>
      <c r="G250" s="205"/>
      <c r="H250" s="332"/>
      <c r="I250" s="2"/>
      <c r="J250" s="155"/>
      <c r="K250" s="301"/>
      <c r="L250" s="205"/>
      <c r="M250" s="288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5:24" ht="12.75">
      <c r="E251" s="155"/>
      <c r="F251" s="248"/>
      <c r="G251" s="205"/>
      <c r="H251" s="332"/>
      <c r="I251" s="2"/>
      <c r="J251" s="155"/>
      <c r="K251" s="301"/>
      <c r="L251" s="205"/>
      <c r="M251" s="288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5:24" ht="12.75">
      <c r="E252" s="155"/>
      <c r="F252" s="248"/>
      <c r="G252" s="205"/>
      <c r="H252" s="332"/>
      <c r="I252" s="2"/>
      <c r="J252" s="155"/>
      <c r="K252" s="301"/>
      <c r="L252" s="205"/>
      <c r="M252" s="288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5:24" ht="12.75">
      <c r="E253" s="155"/>
      <c r="F253" s="248"/>
      <c r="G253" s="205"/>
      <c r="H253" s="332"/>
      <c r="I253" s="2"/>
      <c r="J253" s="155"/>
      <c r="K253" s="301"/>
      <c r="L253" s="205"/>
      <c r="M253" s="288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5:24" ht="12.75">
      <c r="E254" s="155"/>
      <c r="F254" s="248"/>
      <c r="G254" s="205"/>
      <c r="H254" s="332"/>
      <c r="I254" s="2"/>
      <c r="J254" s="155"/>
      <c r="K254" s="301"/>
      <c r="L254" s="205"/>
      <c r="M254" s="288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5:24" ht="12.75">
      <c r="E255" s="155"/>
      <c r="F255" s="248"/>
      <c r="G255" s="205"/>
      <c r="H255" s="332"/>
      <c r="I255" s="2"/>
      <c r="J255" s="155"/>
      <c r="K255" s="301"/>
      <c r="L255" s="205"/>
      <c r="M255" s="288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5:24" ht="12.75">
      <c r="E256" s="155"/>
      <c r="F256" s="248"/>
      <c r="G256" s="205"/>
      <c r="H256" s="332"/>
      <c r="I256" s="2"/>
      <c r="J256" s="155"/>
      <c r="K256" s="301"/>
      <c r="L256" s="205"/>
      <c r="M256" s="288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5:24" ht="12.75">
      <c r="E257" s="155"/>
      <c r="F257" s="248"/>
      <c r="G257" s="205"/>
      <c r="H257" s="332"/>
      <c r="I257" s="2"/>
      <c r="J257" s="155"/>
      <c r="K257" s="301"/>
      <c r="L257" s="205"/>
      <c r="M257" s="288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5:24" ht="12.75">
      <c r="E258" s="155"/>
      <c r="F258" s="248"/>
      <c r="G258" s="205"/>
      <c r="H258" s="332"/>
      <c r="I258" s="2"/>
      <c r="J258" s="155"/>
      <c r="K258" s="301"/>
      <c r="L258" s="205"/>
      <c r="M258" s="288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5:24" ht="12.75">
      <c r="E259" s="155"/>
      <c r="F259" s="248"/>
      <c r="G259" s="205"/>
      <c r="H259" s="332"/>
      <c r="I259" s="2"/>
      <c r="J259" s="155"/>
      <c r="K259" s="301"/>
      <c r="L259" s="205"/>
      <c r="M259" s="288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5:24" ht="12.75">
      <c r="E260" s="155"/>
      <c r="F260" s="248"/>
      <c r="G260" s="205"/>
      <c r="H260" s="332"/>
      <c r="I260" s="2"/>
      <c r="J260" s="155"/>
      <c r="K260" s="301"/>
      <c r="L260" s="205"/>
      <c r="M260" s="288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5:24" ht="12.75">
      <c r="E261" s="155"/>
      <c r="F261" s="248"/>
      <c r="G261" s="205"/>
      <c r="H261" s="332"/>
      <c r="I261" s="2"/>
      <c r="J261" s="155"/>
      <c r="K261" s="301"/>
      <c r="L261" s="205"/>
      <c r="M261" s="288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5:24" ht="12.75">
      <c r="E262" s="155"/>
      <c r="F262" s="248"/>
      <c r="G262" s="205"/>
      <c r="H262" s="332"/>
      <c r="I262" s="2"/>
      <c r="J262" s="155"/>
      <c r="K262" s="301"/>
      <c r="L262" s="205"/>
      <c r="M262" s="288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5:24" ht="12.75">
      <c r="E263" s="155"/>
      <c r="F263" s="248"/>
      <c r="G263" s="205"/>
      <c r="H263" s="332"/>
      <c r="I263" s="2"/>
      <c r="J263" s="155"/>
      <c r="K263" s="301"/>
      <c r="L263" s="205"/>
      <c r="M263" s="288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5:24" ht="12.75">
      <c r="E264" s="155"/>
      <c r="F264" s="248"/>
      <c r="G264" s="205"/>
      <c r="H264" s="332"/>
      <c r="I264" s="2"/>
      <c r="J264" s="155"/>
      <c r="K264" s="301"/>
      <c r="L264" s="205"/>
      <c r="M264" s="28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5:24" ht="12.75">
      <c r="E265" s="155"/>
      <c r="F265" s="248"/>
      <c r="G265" s="205"/>
      <c r="H265" s="332"/>
      <c r="I265" s="2"/>
      <c r="J265" s="155"/>
      <c r="K265" s="301"/>
      <c r="L265" s="205"/>
      <c r="M265" s="28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5:24" ht="12.75">
      <c r="E266" s="155"/>
      <c r="F266" s="248"/>
      <c r="G266" s="205"/>
      <c r="H266" s="332"/>
      <c r="I266" s="2"/>
      <c r="J266" s="155"/>
      <c r="K266" s="301"/>
      <c r="L266" s="205"/>
      <c r="M266" s="28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5:24" ht="12.75">
      <c r="E267" s="155"/>
      <c r="F267" s="248"/>
      <c r="G267" s="205"/>
      <c r="H267" s="332"/>
      <c r="I267" s="2"/>
      <c r="J267" s="155"/>
      <c r="K267" s="301"/>
      <c r="L267" s="205"/>
      <c r="M267" s="28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5:24" ht="12.75">
      <c r="E268" s="155"/>
      <c r="F268" s="248"/>
      <c r="G268" s="205"/>
      <c r="H268" s="332"/>
      <c r="I268" s="2"/>
      <c r="J268" s="155"/>
      <c r="K268" s="301"/>
      <c r="L268" s="205"/>
      <c r="M268" s="28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5:24" ht="12.75">
      <c r="E269" s="155"/>
      <c r="F269" s="248"/>
      <c r="G269" s="205"/>
      <c r="H269" s="332"/>
      <c r="I269" s="2"/>
      <c r="J269" s="155"/>
      <c r="K269" s="301"/>
      <c r="L269" s="205"/>
      <c r="M269" s="28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5:24" ht="12.75">
      <c r="E270" s="155"/>
      <c r="F270" s="248"/>
      <c r="G270" s="205"/>
      <c r="H270" s="332"/>
      <c r="I270" s="2"/>
      <c r="J270" s="155"/>
      <c r="K270" s="301"/>
      <c r="L270" s="205"/>
      <c r="M270" s="288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5:24" ht="12.75">
      <c r="E271" s="155"/>
      <c r="F271" s="248"/>
      <c r="G271" s="205"/>
      <c r="H271" s="332"/>
      <c r="I271" s="2"/>
      <c r="J271" s="155"/>
      <c r="K271" s="301"/>
      <c r="L271" s="205"/>
      <c r="M271" s="288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5:24" ht="12.75">
      <c r="E272" s="155"/>
      <c r="F272" s="248"/>
      <c r="G272" s="205"/>
      <c r="H272" s="332"/>
      <c r="I272" s="2"/>
      <c r="J272" s="155"/>
      <c r="K272" s="301"/>
      <c r="L272" s="205"/>
      <c r="M272" s="288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5:24" ht="12.75">
      <c r="E273" s="155"/>
      <c r="F273" s="248"/>
      <c r="G273" s="205"/>
      <c r="H273" s="332"/>
      <c r="I273" s="2"/>
      <c r="J273" s="155"/>
      <c r="K273" s="301"/>
      <c r="L273" s="205"/>
      <c r="M273" s="288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5:24" ht="12.75">
      <c r="E274" s="155"/>
      <c r="F274" s="248"/>
      <c r="G274" s="205"/>
      <c r="H274" s="332"/>
      <c r="I274" s="2"/>
      <c r="J274" s="155"/>
      <c r="K274" s="301"/>
      <c r="L274" s="205"/>
      <c r="M274" s="288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5:24" ht="12.75">
      <c r="E275" s="155"/>
      <c r="F275" s="248"/>
      <c r="G275" s="205"/>
      <c r="H275" s="332"/>
      <c r="I275" s="2"/>
      <c r="J275" s="155"/>
      <c r="K275" s="301"/>
      <c r="L275" s="205"/>
      <c r="M275" s="288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5:24" ht="12.75">
      <c r="E276" s="155"/>
      <c r="F276" s="248"/>
      <c r="G276" s="205"/>
      <c r="H276" s="332"/>
      <c r="I276" s="2"/>
      <c r="J276" s="155"/>
      <c r="K276" s="301"/>
      <c r="L276" s="205"/>
      <c r="M276" s="288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5:24" ht="12.75">
      <c r="E277" s="155"/>
      <c r="F277" s="248"/>
      <c r="G277" s="205"/>
      <c r="H277" s="332"/>
      <c r="I277" s="2"/>
      <c r="J277" s="155"/>
      <c r="K277" s="301"/>
      <c r="L277" s="205"/>
      <c r="M277" s="288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5:24" ht="12.75">
      <c r="E278" s="155"/>
      <c r="F278" s="248"/>
      <c r="G278" s="205"/>
      <c r="H278" s="332"/>
      <c r="I278" s="2"/>
      <c r="J278" s="155"/>
      <c r="K278" s="301"/>
      <c r="L278" s="205"/>
      <c r="M278" s="288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5:24" ht="12.75">
      <c r="E279" s="155"/>
      <c r="F279" s="248"/>
      <c r="G279" s="205"/>
      <c r="H279" s="332"/>
      <c r="I279" s="2"/>
      <c r="J279" s="155"/>
      <c r="K279" s="301"/>
      <c r="L279" s="205"/>
      <c r="M279" s="288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5:24" ht="12.75">
      <c r="E280" s="155"/>
      <c r="F280" s="248"/>
      <c r="G280" s="205"/>
      <c r="H280" s="332"/>
      <c r="I280" s="2"/>
      <c r="J280" s="155"/>
      <c r="K280" s="301"/>
      <c r="L280" s="205"/>
      <c r="M280" s="288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5:24" ht="12.75">
      <c r="E281" s="155"/>
      <c r="F281" s="248"/>
      <c r="G281" s="205"/>
      <c r="H281" s="332"/>
      <c r="I281" s="2"/>
      <c r="J281" s="155"/>
      <c r="K281" s="301"/>
      <c r="L281" s="205"/>
      <c r="M281" s="288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5:24" ht="12.75">
      <c r="E282" s="155"/>
      <c r="F282" s="248"/>
      <c r="G282" s="205"/>
      <c r="H282" s="332"/>
      <c r="I282" s="2"/>
      <c r="J282" s="155"/>
      <c r="K282" s="301"/>
      <c r="L282" s="205"/>
      <c r="M282" s="288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5:24" ht="12.75">
      <c r="E283" s="155"/>
      <c r="F283" s="248"/>
      <c r="G283" s="205"/>
      <c r="H283" s="332"/>
      <c r="I283" s="2"/>
      <c r="J283" s="155"/>
      <c r="K283" s="301"/>
      <c r="L283" s="205"/>
      <c r="M283" s="288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5:24" ht="12.75">
      <c r="E284" s="155"/>
      <c r="F284" s="248"/>
      <c r="G284" s="205"/>
      <c r="H284" s="332"/>
      <c r="I284" s="2"/>
      <c r="J284" s="155"/>
      <c r="K284" s="301"/>
      <c r="L284" s="205"/>
      <c r="M284" s="288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5:24" ht="12.75">
      <c r="E285" s="155"/>
      <c r="F285" s="248"/>
      <c r="G285" s="205"/>
      <c r="H285" s="332"/>
      <c r="I285" s="2"/>
      <c r="J285" s="155"/>
      <c r="K285" s="301"/>
      <c r="L285" s="205"/>
      <c r="M285" s="288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5:24" ht="12.75">
      <c r="E286" s="155"/>
      <c r="F286" s="248"/>
      <c r="G286" s="205"/>
      <c r="H286" s="332"/>
      <c r="I286" s="2"/>
      <c r="J286" s="155"/>
      <c r="K286" s="301"/>
      <c r="L286" s="205"/>
      <c r="M286" s="288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5:24" ht="12.75">
      <c r="E287" s="155"/>
      <c r="F287" s="248"/>
      <c r="G287" s="205"/>
      <c r="H287" s="332"/>
      <c r="I287" s="2"/>
      <c r="J287" s="155"/>
      <c r="K287" s="301"/>
      <c r="L287" s="205"/>
      <c r="M287" s="288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5:24" ht="12.75">
      <c r="E288" s="155"/>
      <c r="F288" s="248"/>
      <c r="G288" s="205"/>
      <c r="H288" s="332"/>
      <c r="I288" s="2"/>
      <c r="J288" s="155"/>
      <c r="K288" s="301"/>
      <c r="L288" s="205"/>
      <c r="M288" s="288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5:24" ht="12.75">
      <c r="E289" s="155"/>
      <c r="F289" s="248"/>
      <c r="G289" s="205"/>
      <c r="H289" s="332"/>
      <c r="I289" s="2"/>
      <c r="J289" s="155"/>
      <c r="K289" s="301"/>
      <c r="L289" s="205"/>
      <c r="M289" s="288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5:24" ht="12.75">
      <c r="E290" s="155"/>
      <c r="F290" s="248"/>
      <c r="G290" s="205"/>
      <c r="H290" s="332"/>
      <c r="I290" s="2"/>
      <c r="J290" s="155"/>
      <c r="K290" s="301"/>
      <c r="L290" s="205"/>
      <c r="M290" s="288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5:24" ht="12.75">
      <c r="E291" s="155"/>
      <c r="F291" s="248"/>
      <c r="G291" s="205"/>
      <c r="H291" s="332"/>
      <c r="I291" s="2"/>
      <c r="J291" s="155"/>
      <c r="K291" s="301"/>
      <c r="L291" s="205"/>
      <c r="M291" s="288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5:24" ht="12.75">
      <c r="E292" s="155"/>
      <c r="F292" s="248"/>
      <c r="G292" s="205"/>
      <c r="H292" s="332"/>
      <c r="I292" s="2"/>
      <c r="J292" s="155"/>
      <c r="K292" s="301"/>
      <c r="L292" s="205"/>
      <c r="M292" s="288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5:24" ht="12.75">
      <c r="E293" s="155"/>
      <c r="F293" s="248"/>
      <c r="G293" s="205"/>
      <c r="H293" s="332"/>
      <c r="I293" s="2"/>
      <c r="J293" s="155"/>
      <c r="K293" s="301"/>
      <c r="L293" s="205"/>
      <c r="M293" s="288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5:24" ht="12.75">
      <c r="E294" s="155"/>
      <c r="F294" s="248"/>
      <c r="G294" s="205"/>
      <c r="H294" s="332"/>
      <c r="I294" s="2"/>
      <c r="J294" s="155"/>
      <c r="K294" s="301"/>
      <c r="L294" s="205"/>
      <c r="M294" s="288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5:24" ht="12.75">
      <c r="E295" s="155"/>
      <c r="F295" s="248"/>
      <c r="G295" s="205"/>
      <c r="H295" s="332"/>
      <c r="I295" s="2"/>
      <c r="J295" s="155"/>
      <c r="K295" s="301"/>
      <c r="L295" s="205"/>
      <c r="M295" s="288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5:24" ht="12.75">
      <c r="E296" s="155"/>
      <c r="F296" s="248"/>
      <c r="G296" s="205"/>
      <c r="H296" s="332"/>
      <c r="I296" s="2"/>
      <c r="J296" s="155"/>
      <c r="K296" s="301"/>
      <c r="L296" s="205"/>
      <c r="M296" s="288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5:24" ht="12.75">
      <c r="E297" s="155"/>
      <c r="F297" s="248"/>
      <c r="G297" s="205"/>
      <c r="H297" s="332"/>
      <c r="I297" s="2"/>
      <c r="J297" s="155"/>
      <c r="K297" s="301"/>
      <c r="L297" s="205"/>
      <c r="M297" s="288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5:24" ht="12.75">
      <c r="E298" s="155"/>
      <c r="F298" s="248"/>
      <c r="G298" s="205"/>
      <c r="H298" s="332"/>
      <c r="I298" s="2"/>
      <c r="J298" s="155"/>
      <c r="K298" s="301"/>
      <c r="L298" s="205"/>
      <c r="M298" s="288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5:24" ht="12.75">
      <c r="E299" s="155"/>
      <c r="F299" s="248"/>
      <c r="G299" s="205"/>
      <c r="H299" s="332"/>
      <c r="I299" s="2"/>
      <c r="J299" s="155"/>
      <c r="K299" s="301"/>
      <c r="L299" s="205"/>
      <c r="M299" s="288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5:24" ht="12.75">
      <c r="E300" s="155"/>
      <c r="F300" s="248"/>
      <c r="G300" s="205"/>
      <c r="H300" s="332"/>
      <c r="I300" s="2"/>
      <c r="J300" s="155"/>
      <c r="K300" s="301"/>
      <c r="L300" s="205"/>
      <c r="M300" s="288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5:24" ht="12.75">
      <c r="E301" s="155"/>
      <c r="F301" s="248"/>
      <c r="G301" s="205"/>
      <c r="H301" s="332"/>
      <c r="I301" s="2"/>
      <c r="J301" s="155"/>
      <c r="K301" s="301"/>
      <c r="L301" s="205"/>
      <c r="M301" s="288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5:24" ht="12.75">
      <c r="E302" s="155"/>
      <c r="F302" s="248"/>
      <c r="G302" s="205"/>
      <c r="H302" s="332"/>
      <c r="I302" s="2"/>
      <c r="J302" s="155"/>
      <c r="K302" s="301"/>
      <c r="L302" s="205"/>
      <c r="M302" s="288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5:24" ht="12.75">
      <c r="E303" s="155"/>
      <c r="F303" s="248"/>
      <c r="G303" s="205"/>
      <c r="H303" s="332"/>
      <c r="I303" s="2"/>
      <c r="J303" s="155"/>
      <c r="K303" s="301"/>
      <c r="L303" s="205"/>
      <c r="M303" s="288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5:24" ht="12.75">
      <c r="E304" s="155"/>
      <c r="F304" s="248"/>
      <c r="G304" s="205"/>
      <c r="H304" s="332"/>
      <c r="I304" s="2"/>
      <c r="J304" s="155"/>
      <c r="K304" s="301"/>
      <c r="L304" s="205"/>
      <c r="M304" s="288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5:24" ht="12.75">
      <c r="E305" s="155"/>
      <c r="F305" s="248"/>
      <c r="G305" s="205"/>
      <c r="H305" s="332"/>
      <c r="I305" s="2"/>
      <c r="J305" s="155"/>
      <c r="K305" s="301"/>
      <c r="L305" s="205"/>
      <c r="M305" s="288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5:24" ht="12.75">
      <c r="E306" s="155"/>
      <c r="F306" s="248"/>
      <c r="G306" s="205"/>
      <c r="H306" s="332"/>
      <c r="I306" s="2"/>
      <c r="J306" s="155"/>
      <c r="K306" s="301"/>
      <c r="L306" s="205"/>
      <c r="M306" s="288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5:24" ht="12.75">
      <c r="E307" s="155"/>
      <c r="F307" s="248"/>
      <c r="G307" s="205"/>
      <c r="H307" s="332"/>
      <c r="I307" s="2"/>
      <c r="J307" s="155"/>
      <c r="K307" s="301"/>
      <c r="L307" s="205"/>
      <c r="M307" s="288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5:24" ht="12.75">
      <c r="E308" s="155"/>
      <c r="F308" s="248"/>
      <c r="G308" s="205"/>
      <c r="H308" s="332"/>
      <c r="I308" s="2"/>
      <c r="J308" s="155"/>
      <c r="K308" s="301"/>
      <c r="L308" s="205"/>
      <c r="M308" s="288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5:24" ht="12.75">
      <c r="E309" s="155"/>
      <c r="F309" s="248"/>
      <c r="G309" s="205"/>
      <c r="H309" s="332"/>
      <c r="I309" s="2"/>
      <c r="J309" s="155"/>
      <c r="K309" s="301"/>
      <c r="L309" s="205"/>
      <c r="M309" s="288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5:24" ht="12.75">
      <c r="E310" s="155"/>
      <c r="F310" s="248"/>
      <c r="G310" s="205"/>
      <c r="H310" s="332"/>
      <c r="I310" s="2"/>
      <c r="J310" s="155"/>
      <c r="K310" s="301"/>
      <c r="L310" s="205"/>
      <c r="M310" s="288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5:24" ht="12.75">
      <c r="E311" s="155"/>
      <c r="F311" s="248"/>
      <c r="G311" s="205"/>
      <c r="H311" s="332"/>
      <c r="I311" s="2"/>
      <c r="J311" s="155"/>
      <c r="K311" s="301"/>
      <c r="L311" s="205"/>
      <c r="M311" s="288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5:24" ht="12.75">
      <c r="E312" s="155"/>
      <c r="F312" s="248"/>
      <c r="G312" s="205"/>
      <c r="H312" s="332"/>
      <c r="I312" s="2"/>
      <c r="J312" s="155"/>
      <c r="K312" s="301"/>
      <c r="L312" s="205"/>
      <c r="M312" s="288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5:24" ht="12.75">
      <c r="E313" s="155"/>
      <c r="F313" s="248"/>
      <c r="G313" s="205"/>
      <c r="H313" s="332"/>
      <c r="I313" s="2"/>
      <c r="J313" s="155"/>
      <c r="K313" s="301"/>
      <c r="L313" s="205"/>
      <c r="M313" s="288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5:24" ht="12.75">
      <c r="E314" s="155"/>
      <c r="F314" s="248"/>
      <c r="G314" s="205"/>
      <c r="H314" s="332"/>
      <c r="I314" s="2"/>
      <c r="J314" s="155"/>
      <c r="K314" s="301"/>
      <c r="L314" s="205"/>
      <c r="M314" s="288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5:24" ht="12.75">
      <c r="E315" s="155"/>
      <c r="F315" s="248"/>
      <c r="G315" s="205"/>
      <c r="H315" s="332"/>
      <c r="I315" s="2"/>
      <c r="J315" s="155"/>
      <c r="K315" s="301"/>
      <c r="L315" s="205"/>
      <c r="M315" s="288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5:24" ht="12.75">
      <c r="E316" s="155"/>
      <c r="F316" s="248"/>
      <c r="G316" s="205"/>
      <c r="H316" s="332"/>
      <c r="I316" s="2"/>
      <c r="J316" s="155"/>
      <c r="K316" s="301"/>
      <c r="L316" s="205"/>
      <c r="M316" s="288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5:24" ht="12.75">
      <c r="E317" s="155"/>
      <c r="F317" s="248"/>
      <c r="G317" s="205"/>
      <c r="H317" s="332"/>
      <c r="I317" s="2"/>
      <c r="J317" s="155"/>
      <c r="K317" s="301"/>
      <c r="L317" s="205"/>
      <c r="M317" s="288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5:24" ht="12.75">
      <c r="E318" s="155"/>
      <c r="F318" s="248"/>
      <c r="G318" s="205"/>
      <c r="H318" s="332"/>
      <c r="I318" s="2"/>
      <c r="J318" s="155"/>
      <c r="K318" s="301"/>
      <c r="L318" s="205"/>
      <c r="M318" s="288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5:24" ht="12.75">
      <c r="E319" s="155"/>
      <c r="F319" s="248"/>
      <c r="G319" s="205"/>
      <c r="H319" s="332"/>
      <c r="I319" s="2"/>
      <c r="J319" s="155"/>
      <c r="K319" s="301"/>
      <c r="L319" s="205"/>
      <c r="M319" s="288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5:24" ht="12.75">
      <c r="E320" s="155"/>
      <c r="F320" s="248"/>
      <c r="G320" s="205"/>
      <c r="H320" s="332"/>
      <c r="I320" s="2"/>
      <c r="J320" s="155"/>
      <c r="K320" s="301"/>
      <c r="L320" s="205"/>
      <c r="M320" s="288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5:24" ht="12.75">
      <c r="E321" s="155"/>
      <c r="F321" s="248"/>
      <c r="G321" s="205"/>
      <c r="H321" s="332"/>
      <c r="I321" s="2"/>
      <c r="J321" s="155"/>
      <c r="K321" s="301"/>
      <c r="L321" s="205"/>
      <c r="M321" s="288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5:24" ht="12.75">
      <c r="E322" s="155"/>
      <c r="F322" s="248"/>
      <c r="G322" s="205"/>
      <c r="H322" s="332"/>
      <c r="I322" s="2"/>
      <c r="J322" s="155"/>
      <c r="K322" s="301"/>
      <c r="L322" s="205"/>
      <c r="M322" s="288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5:24" ht="12.75">
      <c r="E323" s="155"/>
      <c r="F323" s="248"/>
      <c r="G323" s="205"/>
      <c r="H323" s="332"/>
      <c r="I323" s="2"/>
      <c r="J323" s="155"/>
      <c r="K323" s="301"/>
      <c r="L323" s="205"/>
      <c r="M323" s="288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5:24" ht="12.75">
      <c r="E324" s="155"/>
      <c r="F324" s="248"/>
      <c r="G324" s="205"/>
      <c r="H324" s="332"/>
      <c r="I324" s="2"/>
      <c r="J324" s="155"/>
      <c r="K324" s="301"/>
      <c r="L324" s="205"/>
      <c r="M324" s="288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5:24" ht="12.75">
      <c r="E325" s="155"/>
      <c r="F325" s="248"/>
      <c r="G325" s="205"/>
      <c r="H325" s="332"/>
      <c r="I325" s="2"/>
      <c r="J325" s="155"/>
      <c r="K325" s="301"/>
      <c r="L325" s="205"/>
      <c r="M325" s="288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5:24" ht="12.75">
      <c r="E326" s="155"/>
      <c r="F326" s="248"/>
      <c r="G326" s="205"/>
      <c r="H326" s="332"/>
      <c r="I326" s="2"/>
      <c r="J326" s="155"/>
      <c r="K326" s="301"/>
      <c r="L326" s="205"/>
      <c r="M326" s="288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5:24" ht="12.75">
      <c r="E327" s="155"/>
      <c r="F327" s="248"/>
      <c r="G327" s="205"/>
      <c r="H327" s="332"/>
      <c r="I327" s="2"/>
      <c r="J327" s="155"/>
      <c r="K327" s="301"/>
      <c r="L327" s="205"/>
      <c r="M327" s="288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5:24" ht="12.75">
      <c r="E328" s="155"/>
      <c r="F328" s="248"/>
      <c r="G328" s="205"/>
      <c r="H328" s="332"/>
      <c r="I328" s="2"/>
      <c r="J328" s="155"/>
      <c r="K328" s="301"/>
      <c r="L328" s="205"/>
      <c r="M328" s="288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5:24" ht="12.75">
      <c r="E329" s="155"/>
      <c r="F329" s="248"/>
      <c r="G329" s="205"/>
      <c r="H329" s="332"/>
      <c r="I329" s="2"/>
      <c r="J329" s="155"/>
      <c r="K329" s="301"/>
      <c r="L329" s="205"/>
      <c r="M329" s="288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5:24" ht="12.75">
      <c r="E330" s="155"/>
      <c r="F330" s="248"/>
      <c r="G330" s="205"/>
      <c r="H330" s="332"/>
      <c r="I330" s="2"/>
      <c r="J330" s="155"/>
      <c r="K330" s="301"/>
      <c r="L330" s="205"/>
      <c r="M330" s="288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5:24" ht="12.75">
      <c r="E331" s="155"/>
      <c r="F331" s="248"/>
      <c r="G331" s="205"/>
      <c r="H331" s="332"/>
      <c r="I331" s="2"/>
      <c r="J331" s="155"/>
      <c r="K331" s="301"/>
      <c r="L331" s="205"/>
      <c r="M331" s="288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5:24" ht="12.75">
      <c r="E332" s="155"/>
      <c r="F332" s="248"/>
      <c r="G332" s="205"/>
      <c r="H332" s="332"/>
      <c r="I332" s="2"/>
      <c r="J332" s="155"/>
      <c r="K332" s="301"/>
      <c r="L332" s="205"/>
      <c r="M332" s="288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5:24" ht="12.75">
      <c r="E333" s="155"/>
      <c r="F333" s="248"/>
      <c r="G333" s="205"/>
      <c r="H333" s="332"/>
      <c r="I333" s="2"/>
      <c r="J333" s="155"/>
      <c r="K333" s="301"/>
      <c r="L333" s="205"/>
      <c r="M333" s="288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5:24" ht="12.75">
      <c r="E334" s="155"/>
      <c r="F334" s="248"/>
      <c r="G334" s="205"/>
      <c r="H334" s="332"/>
      <c r="I334" s="2"/>
      <c r="J334" s="155"/>
      <c r="K334" s="301"/>
      <c r="L334" s="205"/>
      <c r="M334" s="288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5:24" ht="12.75">
      <c r="E335" s="155"/>
      <c r="F335" s="248"/>
      <c r="G335" s="205"/>
      <c r="H335" s="332"/>
      <c r="I335" s="2"/>
      <c r="J335" s="155"/>
      <c r="K335" s="301"/>
      <c r="L335" s="205"/>
      <c r="M335" s="288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5:24" ht="12.75">
      <c r="E336" s="155"/>
      <c r="F336" s="248"/>
      <c r="G336" s="205"/>
      <c r="H336" s="332"/>
      <c r="I336" s="2"/>
      <c r="J336" s="155"/>
      <c r="K336" s="301"/>
      <c r="L336" s="205"/>
      <c r="M336" s="288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5:24" ht="12.75">
      <c r="E337" s="155"/>
      <c r="F337" s="248"/>
      <c r="G337" s="205"/>
      <c r="H337" s="332"/>
      <c r="I337" s="2"/>
      <c r="J337" s="155"/>
      <c r="K337" s="301"/>
      <c r="L337" s="205"/>
      <c r="M337" s="288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5:24" ht="12.75">
      <c r="E338" s="155"/>
      <c r="F338" s="248"/>
      <c r="G338" s="205"/>
      <c r="H338" s="332"/>
      <c r="I338" s="2"/>
      <c r="J338" s="155"/>
      <c r="K338" s="301"/>
      <c r="L338" s="205"/>
      <c r="M338" s="288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5:24" ht="12.75">
      <c r="E339" s="155"/>
      <c r="F339" s="248"/>
      <c r="G339" s="205"/>
      <c r="H339" s="332"/>
      <c r="I339" s="2"/>
      <c r="J339" s="155"/>
      <c r="K339" s="301"/>
      <c r="L339" s="205"/>
      <c r="M339" s="288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5:24" ht="12.75">
      <c r="E340" s="155"/>
      <c r="F340" s="248"/>
      <c r="G340" s="205"/>
      <c r="H340" s="332"/>
      <c r="I340" s="2"/>
      <c r="J340" s="155"/>
      <c r="K340" s="301"/>
      <c r="L340" s="205"/>
      <c r="M340" s="288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5:24" ht="12.75">
      <c r="E341" s="155"/>
      <c r="F341" s="248"/>
      <c r="G341" s="205"/>
      <c r="H341" s="332"/>
      <c r="I341" s="2"/>
      <c r="J341" s="155"/>
      <c r="K341" s="301"/>
      <c r="L341" s="205"/>
      <c r="M341" s="288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5:24" ht="12.75">
      <c r="E342" s="155"/>
      <c r="F342" s="248"/>
      <c r="G342" s="205"/>
      <c r="H342" s="332"/>
      <c r="I342" s="2"/>
      <c r="J342" s="155"/>
      <c r="K342" s="301"/>
      <c r="L342" s="205"/>
      <c r="M342" s="288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5:24" ht="12.75">
      <c r="E343" s="155"/>
      <c r="F343" s="248"/>
      <c r="G343" s="205"/>
      <c r="H343" s="332"/>
      <c r="I343" s="2"/>
      <c r="J343" s="155"/>
      <c r="K343" s="301"/>
      <c r="L343" s="205"/>
      <c r="M343" s="288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5:24" ht="12.75">
      <c r="E344" s="155"/>
      <c r="F344" s="248"/>
      <c r="G344" s="205"/>
      <c r="H344" s="332"/>
      <c r="I344" s="2"/>
      <c r="J344" s="155"/>
      <c r="K344" s="301"/>
      <c r="L344" s="205"/>
      <c r="M344" s="288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5:24" ht="12.75">
      <c r="E345" s="155"/>
      <c r="F345" s="248"/>
      <c r="G345" s="205"/>
      <c r="H345" s="332"/>
      <c r="I345" s="2"/>
      <c r="J345" s="155"/>
      <c r="K345" s="301"/>
      <c r="L345" s="205"/>
      <c r="M345" s="288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5:24" ht="12.75">
      <c r="E346" s="155"/>
      <c r="F346" s="248"/>
      <c r="G346" s="205"/>
      <c r="H346" s="332"/>
      <c r="I346" s="2"/>
      <c r="J346" s="155"/>
      <c r="K346" s="301"/>
      <c r="L346" s="205"/>
      <c r="M346" s="288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5:24" ht="12.75">
      <c r="E347" s="155"/>
      <c r="F347" s="248"/>
      <c r="G347" s="205"/>
      <c r="H347" s="332"/>
      <c r="I347" s="2"/>
      <c r="J347" s="155"/>
      <c r="K347" s="301"/>
      <c r="L347" s="205"/>
      <c r="M347" s="288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5:24" ht="12.75">
      <c r="E348" s="155"/>
      <c r="F348" s="248"/>
      <c r="G348" s="205"/>
      <c r="H348" s="332"/>
      <c r="I348" s="2"/>
      <c r="J348" s="155"/>
      <c r="K348" s="301"/>
      <c r="L348" s="205"/>
      <c r="M348" s="288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5:24" ht="12.75">
      <c r="E349" s="155"/>
      <c r="F349" s="248"/>
      <c r="G349" s="205"/>
      <c r="H349" s="332"/>
      <c r="I349" s="2"/>
      <c r="J349" s="155"/>
      <c r="K349" s="301"/>
      <c r="L349" s="205"/>
      <c r="M349" s="288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5:24" ht="12.75">
      <c r="E350" s="155"/>
      <c r="F350" s="248"/>
      <c r="G350" s="205"/>
      <c r="H350" s="332"/>
      <c r="I350" s="2"/>
      <c r="J350" s="155"/>
      <c r="K350" s="301"/>
      <c r="L350" s="205"/>
      <c r="M350" s="288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5:24" ht="12.75">
      <c r="E351" s="155"/>
      <c r="F351" s="248"/>
      <c r="G351" s="205"/>
      <c r="H351" s="332"/>
      <c r="I351" s="2"/>
      <c r="J351" s="155"/>
      <c r="K351" s="301"/>
      <c r="L351" s="205"/>
      <c r="M351" s="288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5:24" ht="12.75">
      <c r="E352" s="155"/>
      <c r="F352" s="248"/>
      <c r="G352" s="205"/>
      <c r="H352" s="332"/>
      <c r="I352" s="2"/>
      <c r="J352" s="155"/>
      <c r="K352" s="301"/>
      <c r="L352" s="205"/>
      <c r="M352" s="288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5:24" ht="12.75">
      <c r="E353" s="155"/>
      <c r="F353" s="248"/>
      <c r="G353" s="205"/>
      <c r="H353" s="332"/>
      <c r="I353" s="2"/>
      <c r="J353" s="155"/>
      <c r="K353" s="301"/>
      <c r="L353" s="205"/>
      <c r="M353" s="288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5:24" ht="12.75">
      <c r="E354" s="155"/>
      <c r="F354" s="248"/>
      <c r="G354" s="205"/>
      <c r="H354" s="332"/>
      <c r="I354" s="2"/>
      <c r="J354" s="155"/>
      <c r="K354" s="301"/>
      <c r="L354" s="205"/>
      <c r="M354" s="288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5:24" ht="12.75">
      <c r="E355" s="155"/>
      <c r="F355" s="248"/>
      <c r="G355" s="205"/>
      <c r="H355" s="332"/>
      <c r="I355" s="2"/>
      <c r="J355" s="155"/>
      <c r="K355" s="301"/>
      <c r="L355" s="205"/>
      <c r="M355" s="288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5:24" ht="12.75">
      <c r="E356" s="155"/>
      <c r="F356" s="248"/>
      <c r="G356" s="205"/>
      <c r="H356" s="332"/>
      <c r="I356" s="2"/>
      <c r="J356" s="155"/>
      <c r="K356" s="301"/>
      <c r="L356" s="205"/>
      <c r="M356" s="288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5:24" ht="12.75">
      <c r="E357" s="155"/>
      <c r="F357" s="248"/>
      <c r="G357" s="205"/>
      <c r="H357" s="332"/>
      <c r="I357" s="2"/>
      <c r="J357" s="155"/>
      <c r="K357" s="301"/>
      <c r="L357" s="205"/>
      <c r="M357" s="288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5:24" ht="12.75">
      <c r="E358" s="155"/>
      <c r="F358" s="248"/>
      <c r="G358" s="205"/>
      <c r="H358" s="332"/>
      <c r="I358" s="2"/>
      <c r="J358" s="155"/>
      <c r="K358" s="301"/>
      <c r="L358" s="205"/>
      <c r="M358" s="288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5:24" ht="12.75">
      <c r="E359" s="155"/>
      <c r="F359" s="248"/>
      <c r="G359" s="205"/>
      <c r="H359" s="332"/>
      <c r="I359" s="2"/>
      <c r="J359" s="155"/>
      <c r="K359" s="301"/>
      <c r="L359" s="205"/>
      <c r="M359" s="288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5:24" ht="12.75">
      <c r="E360" s="155"/>
      <c r="F360" s="248"/>
      <c r="G360" s="205"/>
      <c r="H360" s="332"/>
      <c r="I360" s="2"/>
      <c r="J360" s="155"/>
      <c r="K360" s="301"/>
      <c r="L360" s="205"/>
      <c r="M360" s="288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5:24" ht="12.75">
      <c r="E361" s="155"/>
      <c r="F361" s="248"/>
      <c r="G361" s="205"/>
      <c r="H361" s="332"/>
      <c r="I361" s="2"/>
      <c r="J361" s="155"/>
      <c r="K361" s="301"/>
      <c r="L361" s="205"/>
      <c r="M361" s="288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5:24" ht="12.75">
      <c r="E362" s="155"/>
      <c r="F362" s="248"/>
      <c r="G362" s="205"/>
      <c r="H362" s="332"/>
      <c r="I362" s="2"/>
      <c r="J362" s="155"/>
      <c r="K362" s="301"/>
      <c r="L362" s="205"/>
      <c r="M362" s="288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5:24" ht="12.75">
      <c r="E363" s="155"/>
      <c r="F363" s="248"/>
      <c r="G363" s="205"/>
      <c r="H363" s="332"/>
      <c r="I363" s="2"/>
      <c r="J363" s="155"/>
      <c r="K363" s="301"/>
      <c r="L363" s="205"/>
      <c r="M363" s="288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5:24" ht="12.75">
      <c r="E364" s="155"/>
      <c r="F364" s="248"/>
      <c r="G364" s="205"/>
      <c r="H364" s="332"/>
      <c r="I364" s="2"/>
      <c r="J364" s="155"/>
      <c r="K364" s="301"/>
      <c r="L364" s="205"/>
      <c r="M364" s="288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5:24" ht="12.75">
      <c r="E365" s="155"/>
      <c r="F365" s="248"/>
      <c r="G365" s="205"/>
      <c r="H365" s="332"/>
      <c r="I365" s="2"/>
      <c r="J365" s="155"/>
      <c r="K365" s="301"/>
      <c r="L365" s="205"/>
      <c r="M365" s="288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5:24" ht="12.75">
      <c r="E366" s="155"/>
      <c r="F366" s="248"/>
      <c r="G366" s="205"/>
      <c r="H366" s="332"/>
      <c r="I366" s="2"/>
      <c r="J366" s="155"/>
      <c r="K366" s="301"/>
      <c r="L366" s="205"/>
      <c r="M366" s="288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5:24" ht="12.75">
      <c r="E367" s="155"/>
      <c r="F367" s="248"/>
      <c r="G367" s="205"/>
      <c r="H367" s="332"/>
      <c r="I367" s="2"/>
      <c r="J367" s="155"/>
      <c r="K367" s="301"/>
      <c r="L367" s="205"/>
      <c r="M367" s="288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5:24" ht="12.75">
      <c r="E368" s="155"/>
      <c r="F368" s="248"/>
      <c r="G368" s="205"/>
      <c r="H368" s="332"/>
      <c r="I368" s="2"/>
      <c r="J368" s="155"/>
      <c r="K368" s="301"/>
      <c r="L368" s="205"/>
      <c r="M368" s="288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5:24" ht="12.75">
      <c r="E369" s="155"/>
      <c r="F369" s="248"/>
      <c r="G369" s="205"/>
      <c r="H369" s="332"/>
      <c r="I369" s="2"/>
      <c r="J369" s="155"/>
      <c r="K369" s="301"/>
      <c r="L369" s="205"/>
      <c r="M369" s="288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5:24" ht="12.75">
      <c r="E370" s="155"/>
      <c r="F370" s="248"/>
      <c r="G370" s="205"/>
      <c r="H370" s="332"/>
      <c r="I370" s="2"/>
      <c r="J370" s="155"/>
      <c r="K370" s="301"/>
      <c r="L370" s="205"/>
      <c r="M370" s="288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5:24" ht="12.75">
      <c r="E371" s="155"/>
      <c r="F371" s="248"/>
      <c r="G371" s="205"/>
      <c r="H371" s="332"/>
      <c r="I371" s="2"/>
      <c r="J371" s="155"/>
      <c r="K371" s="301"/>
      <c r="L371" s="205"/>
      <c r="M371" s="288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5:24" ht="12.75">
      <c r="E372" s="155"/>
      <c r="F372" s="248"/>
      <c r="G372" s="205"/>
      <c r="H372" s="332"/>
      <c r="I372" s="2"/>
      <c r="J372" s="155"/>
      <c r="K372" s="301"/>
      <c r="L372" s="205"/>
      <c r="M372" s="288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5:24" ht="12.75">
      <c r="E373" s="155"/>
      <c r="F373" s="248"/>
      <c r="G373" s="205"/>
      <c r="H373" s="332"/>
      <c r="I373" s="2"/>
      <c r="J373" s="155"/>
      <c r="K373" s="301"/>
      <c r="L373" s="205"/>
      <c r="M373" s="288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5:24" ht="12.75">
      <c r="E374" s="155"/>
      <c r="F374" s="248"/>
      <c r="G374" s="205"/>
      <c r="H374" s="332"/>
      <c r="I374" s="2"/>
      <c r="J374" s="155"/>
      <c r="K374" s="301"/>
      <c r="L374" s="205"/>
      <c r="M374" s="288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5:24" ht="12.75">
      <c r="E375" s="155"/>
      <c r="F375" s="248"/>
      <c r="G375" s="205"/>
      <c r="H375" s="332"/>
      <c r="I375" s="2"/>
      <c r="J375" s="155"/>
      <c r="K375" s="301"/>
      <c r="L375" s="205"/>
      <c r="M375" s="288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5:24" ht="12.75">
      <c r="E376" s="155"/>
      <c r="F376" s="248"/>
      <c r="G376" s="205"/>
      <c r="H376" s="332"/>
      <c r="I376" s="2"/>
      <c r="J376" s="155"/>
      <c r="K376" s="301"/>
      <c r="L376" s="205"/>
      <c r="M376" s="288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5:24" ht="12.75">
      <c r="E377" s="155"/>
      <c r="F377" s="248"/>
      <c r="G377" s="205"/>
      <c r="H377" s="332"/>
      <c r="I377" s="2"/>
      <c r="J377" s="155"/>
      <c r="K377" s="301"/>
      <c r="L377" s="205"/>
      <c r="M377" s="288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5:24" ht="12.75">
      <c r="E378" s="155"/>
      <c r="F378" s="248"/>
      <c r="G378" s="205"/>
      <c r="H378" s="332"/>
      <c r="I378" s="2"/>
      <c r="J378" s="155"/>
      <c r="K378" s="301"/>
      <c r="L378" s="205"/>
      <c r="M378" s="288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5:24" ht="12.75">
      <c r="E379" s="155"/>
      <c r="F379" s="248"/>
      <c r="G379" s="205"/>
      <c r="H379" s="332"/>
      <c r="I379" s="2"/>
      <c r="J379" s="155"/>
      <c r="K379" s="301"/>
      <c r="L379" s="205"/>
      <c r="M379" s="288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5:24" ht="12.75">
      <c r="E380" s="155"/>
      <c r="F380" s="248"/>
      <c r="G380" s="205"/>
      <c r="H380" s="332"/>
      <c r="I380" s="2"/>
      <c r="J380" s="155"/>
      <c r="K380" s="301"/>
      <c r="L380" s="205"/>
      <c r="M380" s="288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5:24" ht="12.75">
      <c r="E381" s="155"/>
      <c r="F381" s="248"/>
      <c r="G381" s="205"/>
      <c r="H381" s="332"/>
      <c r="I381" s="2"/>
      <c r="J381" s="155"/>
      <c r="K381" s="301"/>
      <c r="L381" s="205"/>
      <c r="M381" s="288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5:24" ht="12.75">
      <c r="E382" s="155"/>
      <c r="F382" s="248"/>
      <c r="G382" s="205"/>
      <c r="H382" s="332"/>
      <c r="I382" s="2"/>
      <c r="J382" s="155"/>
      <c r="K382" s="301"/>
      <c r="L382" s="205"/>
      <c r="M382" s="288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5:24" ht="12.75">
      <c r="E383" s="155"/>
      <c r="F383" s="248"/>
      <c r="G383" s="205"/>
      <c r="H383" s="332"/>
      <c r="I383" s="2"/>
      <c r="J383" s="155"/>
      <c r="K383" s="301"/>
      <c r="L383" s="205"/>
      <c r="M383" s="288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5:24" ht="12.75">
      <c r="E384" s="155"/>
      <c r="F384" s="248"/>
      <c r="G384" s="205"/>
      <c r="H384" s="332"/>
      <c r="I384" s="2"/>
      <c r="J384" s="155"/>
      <c r="K384" s="301"/>
      <c r="L384" s="205"/>
      <c r="M384" s="288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5:24" ht="12.75">
      <c r="E385" s="155"/>
      <c r="F385" s="248"/>
      <c r="G385" s="205"/>
      <c r="H385" s="332"/>
      <c r="I385" s="2"/>
      <c r="J385" s="155"/>
      <c r="K385" s="301"/>
      <c r="L385" s="205"/>
      <c r="M385" s="288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5:24" ht="12.75">
      <c r="E386" s="155"/>
      <c r="F386" s="248"/>
      <c r="G386" s="205"/>
      <c r="H386" s="332"/>
      <c r="I386" s="2"/>
      <c r="J386" s="155"/>
      <c r="K386" s="301"/>
      <c r="L386" s="205"/>
      <c r="M386" s="288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5:24" ht="12.75">
      <c r="E387" s="155"/>
      <c r="F387" s="248"/>
      <c r="G387" s="205"/>
      <c r="H387" s="332"/>
      <c r="I387" s="2"/>
      <c r="J387" s="155"/>
      <c r="K387" s="301"/>
      <c r="L387" s="205"/>
      <c r="M387" s="288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5:24" ht="12.75">
      <c r="E388" s="155"/>
      <c r="F388" s="248"/>
      <c r="G388" s="205"/>
      <c r="H388" s="332"/>
      <c r="I388" s="2"/>
      <c r="J388" s="155"/>
      <c r="K388" s="301"/>
      <c r="L388" s="205"/>
      <c r="M388" s="288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5:24" ht="12.75">
      <c r="E389" s="155"/>
      <c r="F389" s="248"/>
      <c r="G389" s="205"/>
      <c r="H389" s="332"/>
      <c r="I389" s="2"/>
      <c r="J389" s="155"/>
      <c r="K389" s="301"/>
      <c r="L389" s="205"/>
      <c r="M389" s="288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5:24" ht="12.75">
      <c r="E390" s="155"/>
      <c r="F390" s="248"/>
      <c r="G390" s="205"/>
      <c r="H390" s="332"/>
      <c r="I390" s="2"/>
      <c r="J390" s="155"/>
      <c r="K390" s="301"/>
      <c r="L390" s="205"/>
      <c r="M390" s="288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5:24" ht="12.75">
      <c r="E391" s="155"/>
      <c r="F391" s="248"/>
      <c r="G391" s="205"/>
      <c r="H391" s="332"/>
      <c r="I391" s="2"/>
      <c r="J391" s="155"/>
      <c r="K391" s="301"/>
      <c r="L391" s="205"/>
      <c r="M391" s="288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5:24" ht="12.75">
      <c r="E392" s="155"/>
      <c r="F392" s="248"/>
      <c r="G392" s="205"/>
      <c r="H392" s="332"/>
      <c r="I392" s="2"/>
      <c r="J392" s="155"/>
      <c r="K392" s="301"/>
      <c r="L392" s="205"/>
      <c r="M392" s="288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5:24" ht="12.75">
      <c r="E393" s="155"/>
      <c r="F393" s="248"/>
      <c r="G393" s="205"/>
      <c r="H393" s="332"/>
      <c r="I393" s="2"/>
      <c r="J393" s="155"/>
      <c r="K393" s="301"/>
      <c r="L393" s="205"/>
      <c r="M393" s="288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5:24" ht="12.75">
      <c r="E394" s="155"/>
      <c r="F394" s="248"/>
      <c r="G394" s="205"/>
      <c r="H394" s="332"/>
      <c r="I394" s="2"/>
      <c r="J394" s="155"/>
      <c r="K394" s="301"/>
      <c r="L394" s="205"/>
      <c r="M394" s="288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5:24" ht="12.75">
      <c r="E395" s="155"/>
      <c r="F395" s="248"/>
      <c r="G395" s="205"/>
      <c r="H395" s="332"/>
      <c r="I395" s="2"/>
      <c r="J395" s="155"/>
      <c r="K395" s="301"/>
      <c r="L395" s="205"/>
      <c r="M395" s="288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5:24" ht="12.75">
      <c r="E396" s="155"/>
      <c r="F396" s="248"/>
      <c r="G396" s="205"/>
      <c r="H396" s="332"/>
      <c r="I396" s="2"/>
      <c r="J396" s="155"/>
      <c r="K396" s="301"/>
      <c r="L396" s="205"/>
      <c r="M396" s="288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5:24" ht="12.75">
      <c r="E397" s="155"/>
      <c r="F397" s="248"/>
      <c r="G397" s="205"/>
      <c r="H397" s="332"/>
      <c r="I397" s="2"/>
      <c r="J397" s="155"/>
      <c r="K397" s="301"/>
      <c r="L397" s="205"/>
      <c r="M397" s="288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5:24" ht="12.75">
      <c r="E398" s="155"/>
      <c r="F398" s="248"/>
      <c r="G398" s="205"/>
      <c r="H398" s="332"/>
      <c r="I398" s="2"/>
      <c r="J398" s="155"/>
      <c r="K398" s="301"/>
      <c r="L398" s="205"/>
      <c r="M398" s="288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5:24" ht="12.75">
      <c r="E399" s="155"/>
      <c r="F399" s="248"/>
      <c r="G399" s="205"/>
      <c r="H399" s="332"/>
      <c r="I399" s="2"/>
      <c r="J399" s="155"/>
      <c r="K399" s="301"/>
      <c r="L399" s="205"/>
      <c r="M399" s="288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5:24" ht="12.75">
      <c r="E400" s="155"/>
      <c r="F400" s="248"/>
      <c r="G400" s="205"/>
      <c r="H400" s="332"/>
      <c r="I400" s="2"/>
      <c r="J400" s="155"/>
      <c r="K400" s="301"/>
      <c r="L400" s="205"/>
      <c r="M400" s="288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5:24" ht="12.75">
      <c r="E401" s="155"/>
      <c r="F401" s="248"/>
      <c r="G401" s="205"/>
      <c r="H401" s="332"/>
      <c r="I401" s="2"/>
      <c r="J401" s="155"/>
      <c r="K401" s="301"/>
      <c r="L401" s="205"/>
      <c r="M401" s="288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5:24" ht="12.75">
      <c r="E402" s="155"/>
      <c r="F402" s="248"/>
      <c r="G402" s="205"/>
      <c r="H402" s="332"/>
      <c r="I402" s="2"/>
      <c r="J402" s="155"/>
      <c r="K402" s="301"/>
      <c r="L402" s="205"/>
      <c r="M402" s="288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5:24" ht="12.75">
      <c r="E403" s="155"/>
      <c r="F403" s="248"/>
      <c r="G403" s="205"/>
      <c r="H403" s="332"/>
      <c r="I403" s="2"/>
      <c r="J403" s="155"/>
      <c r="K403" s="301"/>
      <c r="L403" s="205"/>
      <c r="M403" s="288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5:24" ht="12.75">
      <c r="E404" s="155"/>
      <c r="F404" s="248"/>
      <c r="G404" s="205"/>
      <c r="H404" s="332"/>
      <c r="I404" s="2"/>
      <c r="J404" s="155"/>
      <c r="K404" s="301"/>
      <c r="L404" s="205"/>
      <c r="M404" s="288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5:24" ht="12.75">
      <c r="E405" s="155"/>
      <c r="F405" s="248"/>
      <c r="G405" s="205"/>
      <c r="H405" s="332"/>
      <c r="I405" s="2"/>
      <c r="J405" s="155"/>
      <c r="K405" s="301"/>
      <c r="L405" s="205"/>
      <c r="M405" s="288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5:24" ht="12.75">
      <c r="E406" s="155"/>
      <c r="F406" s="248"/>
      <c r="G406" s="205"/>
      <c r="H406" s="332"/>
      <c r="I406" s="2"/>
      <c r="J406" s="155"/>
      <c r="K406" s="301"/>
      <c r="L406" s="205"/>
      <c r="M406" s="288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5:24" ht="12.75">
      <c r="E407" s="155"/>
      <c r="F407" s="248"/>
      <c r="G407" s="205"/>
      <c r="H407" s="332"/>
      <c r="I407" s="2"/>
      <c r="J407" s="155"/>
      <c r="K407" s="301"/>
      <c r="L407" s="205"/>
      <c r="M407" s="288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5:24" ht="12.75">
      <c r="E408" s="155"/>
      <c r="F408" s="248"/>
      <c r="G408" s="205"/>
      <c r="H408" s="332"/>
      <c r="I408" s="2"/>
      <c r="J408" s="155"/>
      <c r="K408" s="301"/>
      <c r="L408" s="205"/>
      <c r="M408" s="288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5:24" ht="12.75">
      <c r="E409" s="155"/>
      <c r="F409" s="248"/>
      <c r="G409" s="205"/>
      <c r="H409" s="332"/>
      <c r="I409" s="2"/>
      <c r="J409" s="155"/>
      <c r="K409" s="301"/>
      <c r="L409" s="205"/>
      <c r="M409" s="288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5:24" ht="12.75">
      <c r="E410" s="155"/>
      <c r="F410" s="248"/>
      <c r="G410" s="205"/>
      <c r="H410" s="332"/>
      <c r="I410" s="2"/>
      <c r="J410" s="155"/>
      <c r="K410" s="301"/>
      <c r="L410" s="205"/>
      <c r="M410" s="288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5:24" ht="12.75">
      <c r="E411" s="155"/>
      <c r="F411" s="248"/>
      <c r="G411" s="205"/>
      <c r="H411" s="332"/>
      <c r="I411" s="2"/>
      <c r="J411" s="155"/>
      <c r="K411" s="301"/>
      <c r="L411" s="205"/>
      <c r="M411" s="288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5:24" ht="12.75">
      <c r="E412" s="155"/>
      <c r="F412" s="248"/>
      <c r="G412" s="205"/>
      <c r="H412" s="332"/>
      <c r="I412" s="2"/>
      <c r="J412" s="155"/>
      <c r="K412" s="301"/>
      <c r="L412" s="205"/>
      <c r="M412" s="288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5:24" ht="12.75">
      <c r="E413" s="155"/>
      <c r="F413" s="248"/>
      <c r="G413" s="205"/>
      <c r="H413" s="332"/>
      <c r="I413" s="2"/>
      <c r="J413" s="155"/>
      <c r="K413" s="301"/>
      <c r="L413" s="205"/>
      <c r="M413" s="288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5:24" ht="12.75">
      <c r="E414" s="155"/>
      <c r="F414" s="248"/>
      <c r="G414" s="205"/>
      <c r="H414" s="332"/>
      <c r="I414" s="2"/>
      <c r="J414" s="155"/>
      <c r="K414" s="301"/>
      <c r="L414" s="205"/>
      <c r="M414" s="288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5:24" ht="12.75">
      <c r="E415" s="155"/>
      <c r="F415" s="248"/>
      <c r="G415" s="205"/>
      <c r="H415" s="332"/>
      <c r="I415" s="2"/>
      <c r="J415" s="155"/>
      <c r="K415" s="301"/>
      <c r="L415" s="205"/>
      <c r="M415" s="288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5:24" ht="12.75">
      <c r="E416" s="155"/>
      <c r="F416" s="248"/>
      <c r="G416" s="205"/>
      <c r="H416" s="332"/>
      <c r="I416" s="2"/>
      <c r="J416" s="155"/>
      <c r="K416" s="301"/>
      <c r="L416" s="205"/>
      <c r="M416" s="288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5:24" ht="12.75">
      <c r="E417" s="155"/>
      <c r="F417" s="248"/>
      <c r="G417" s="205"/>
      <c r="H417" s="332"/>
      <c r="I417" s="2"/>
      <c r="J417" s="155"/>
      <c r="K417" s="301"/>
      <c r="L417" s="205"/>
      <c r="M417" s="288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5:24" ht="12.75">
      <c r="E418" s="155"/>
      <c r="F418" s="248"/>
      <c r="G418" s="205"/>
      <c r="H418" s="332"/>
      <c r="I418" s="2"/>
      <c r="J418" s="155"/>
      <c r="K418" s="301"/>
      <c r="L418" s="205"/>
      <c r="M418" s="288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5:24" ht="12.75">
      <c r="E419" s="155"/>
      <c r="F419" s="248"/>
      <c r="G419" s="205"/>
      <c r="H419" s="332"/>
      <c r="I419" s="2"/>
      <c r="J419" s="155"/>
      <c r="K419" s="301"/>
      <c r="L419" s="205"/>
      <c r="M419" s="288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5:24" ht="12.75">
      <c r="E420" s="155"/>
      <c r="F420" s="248"/>
      <c r="G420" s="205"/>
      <c r="H420" s="332"/>
      <c r="I420" s="2"/>
      <c r="J420" s="155"/>
      <c r="K420" s="301"/>
      <c r="L420" s="205"/>
      <c r="M420" s="288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5:24" ht="12.75">
      <c r="E421" s="155"/>
      <c r="F421" s="248"/>
      <c r="G421" s="205"/>
      <c r="H421" s="332"/>
      <c r="I421" s="2"/>
      <c r="J421" s="155"/>
      <c r="K421" s="301"/>
      <c r="L421" s="205"/>
      <c r="M421" s="288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5:24" ht="12.75">
      <c r="E422" s="155"/>
      <c r="F422" s="248"/>
      <c r="G422" s="205"/>
      <c r="H422" s="332"/>
      <c r="I422" s="2"/>
      <c r="J422" s="155"/>
      <c r="K422" s="301"/>
      <c r="L422" s="205"/>
      <c r="M422" s="288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5:24" ht="12.75">
      <c r="E423" s="155"/>
      <c r="F423" s="248"/>
      <c r="G423" s="205"/>
      <c r="H423" s="332"/>
      <c r="I423" s="2"/>
      <c r="J423" s="155"/>
      <c r="K423" s="301"/>
      <c r="L423" s="205"/>
      <c r="M423" s="288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5:24" ht="12.75">
      <c r="E424" s="155"/>
      <c r="F424" s="248"/>
      <c r="G424" s="205"/>
      <c r="H424" s="332"/>
      <c r="I424" s="2"/>
      <c r="J424" s="155"/>
      <c r="K424" s="301"/>
      <c r="L424" s="205"/>
      <c r="M424" s="288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5:24" ht="12.75">
      <c r="E425" s="155"/>
      <c r="F425" s="248"/>
      <c r="G425" s="205"/>
      <c r="H425" s="332"/>
      <c r="I425" s="2"/>
      <c r="J425" s="155"/>
      <c r="K425" s="301"/>
      <c r="L425" s="205"/>
      <c r="M425" s="288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5:24" ht="12.75">
      <c r="E426" s="155"/>
      <c r="F426" s="248"/>
      <c r="G426" s="205"/>
      <c r="H426" s="332"/>
      <c r="I426" s="2"/>
      <c r="J426" s="155"/>
      <c r="K426" s="301"/>
      <c r="L426" s="205"/>
      <c r="M426" s="288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5:24" ht="12.75">
      <c r="E427" s="155"/>
      <c r="F427" s="248"/>
      <c r="G427" s="205"/>
      <c r="H427" s="332"/>
      <c r="I427" s="2"/>
      <c r="J427" s="155"/>
      <c r="K427" s="301"/>
      <c r="L427" s="205"/>
      <c r="M427" s="288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5:24" ht="12.75">
      <c r="E428" s="155"/>
      <c r="F428" s="248"/>
      <c r="G428" s="205"/>
      <c r="H428" s="332"/>
      <c r="I428" s="2"/>
      <c r="J428" s="155"/>
      <c r="K428" s="301"/>
      <c r="L428" s="205"/>
      <c r="M428" s="288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5:24" ht="12.75">
      <c r="E429" s="155"/>
      <c r="F429" s="248"/>
      <c r="G429" s="205"/>
      <c r="H429" s="332"/>
      <c r="I429" s="2"/>
      <c r="J429" s="155"/>
      <c r="K429" s="301"/>
      <c r="L429" s="205"/>
      <c r="M429" s="288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5:24" ht="12.75">
      <c r="E430" s="155"/>
      <c r="F430" s="248"/>
      <c r="G430" s="205"/>
      <c r="H430" s="332"/>
      <c r="I430" s="2"/>
      <c r="J430" s="155"/>
      <c r="K430" s="301"/>
      <c r="L430" s="205"/>
      <c r="M430" s="288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5:24" ht="12.75">
      <c r="E431" s="155"/>
      <c r="F431" s="248"/>
      <c r="G431" s="205"/>
      <c r="H431" s="332"/>
      <c r="I431" s="2"/>
      <c r="J431" s="155"/>
      <c r="K431" s="301"/>
      <c r="L431" s="205"/>
      <c r="M431" s="288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5:24" ht="12.75">
      <c r="E432" s="155"/>
      <c r="F432" s="248"/>
      <c r="G432" s="205"/>
      <c r="H432" s="332"/>
      <c r="I432" s="2"/>
      <c r="J432" s="155"/>
      <c r="K432" s="301"/>
      <c r="L432" s="205"/>
      <c r="M432" s="288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5:24" ht="12.75">
      <c r="E433" s="155"/>
      <c r="F433" s="248"/>
      <c r="G433" s="205"/>
      <c r="H433" s="332"/>
      <c r="I433" s="2"/>
      <c r="J433" s="155"/>
      <c r="K433" s="301"/>
      <c r="L433" s="205"/>
      <c r="M433" s="288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5:24" ht="12.75">
      <c r="E434" s="155"/>
      <c r="F434" s="248"/>
      <c r="G434" s="205"/>
      <c r="H434" s="332"/>
      <c r="I434" s="2"/>
      <c r="J434" s="155"/>
      <c r="K434" s="301"/>
      <c r="L434" s="205"/>
      <c r="M434" s="288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5:24" ht="12.75">
      <c r="E435" s="155"/>
      <c r="F435" s="248"/>
      <c r="G435" s="205"/>
      <c r="H435" s="332"/>
      <c r="I435" s="2"/>
      <c r="J435" s="155"/>
      <c r="K435" s="301"/>
      <c r="L435" s="205"/>
      <c r="M435" s="288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5:24" ht="12.75">
      <c r="E436" s="155"/>
      <c r="F436" s="248"/>
      <c r="G436" s="205"/>
      <c r="H436" s="332"/>
      <c r="I436" s="2"/>
      <c r="J436" s="155"/>
      <c r="K436" s="301"/>
      <c r="L436" s="205"/>
      <c r="M436" s="288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5:24" ht="12.75">
      <c r="E437" s="155"/>
      <c r="F437" s="248"/>
      <c r="G437" s="205"/>
      <c r="H437" s="332"/>
      <c r="I437" s="2"/>
      <c r="J437" s="155"/>
      <c r="K437" s="301"/>
      <c r="L437" s="205"/>
      <c r="M437" s="288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5:24" ht="12.75">
      <c r="E438" s="155"/>
      <c r="F438" s="248"/>
      <c r="G438" s="205"/>
      <c r="H438" s="332"/>
      <c r="I438" s="2"/>
      <c r="J438" s="155"/>
      <c r="K438" s="301"/>
      <c r="L438" s="205"/>
      <c r="M438" s="288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5:24" ht="12.75">
      <c r="E439" s="155"/>
      <c r="F439" s="248"/>
      <c r="G439" s="205"/>
      <c r="H439" s="332"/>
      <c r="I439" s="2"/>
      <c r="J439" s="155"/>
      <c r="K439" s="301"/>
      <c r="L439" s="205"/>
      <c r="M439" s="288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5:24" ht="12.75">
      <c r="E440" s="155"/>
      <c r="F440" s="248"/>
      <c r="G440" s="205"/>
      <c r="H440" s="332"/>
      <c r="I440" s="2"/>
      <c r="J440" s="155"/>
      <c r="K440" s="301"/>
      <c r="L440" s="205"/>
      <c r="M440" s="288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5:24" ht="12.75">
      <c r="E441" s="155"/>
      <c r="F441" s="248"/>
      <c r="G441" s="205"/>
      <c r="H441" s="332"/>
      <c r="I441" s="2"/>
      <c r="J441" s="155"/>
      <c r="K441" s="301"/>
      <c r="L441" s="205"/>
      <c r="M441" s="288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5:24" ht="12.75">
      <c r="E442" s="155"/>
      <c r="F442" s="248"/>
      <c r="G442" s="205"/>
      <c r="H442" s="332"/>
      <c r="I442" s="2"/>
      <c r="J442" s="155"/>
      <c r="K442" s="301"/>
      <c r="L442" s="205"/>
      <c r="M442" s="288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5:24" ht="12.75">
      <c r="E443" s="155"/>
      <c r="F443" s="248"/>
      <c r="G443" s="205"/>
      <c r="H443" s="332"/>
      <c r="I443" s="2"/>
      <c r="J443" s="155"/>
      <c r="K443" s="301"/>
      <c r="L443" s="205"/>
      <c r="M443" s="288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5:24" ht="12.75">
      <c r="E444" s="155"/>
      <c r="F444" s="248"/>
      <c r="G444" s="205"/>
      <c r="H444" s="332"/>
      <c r="I444" s="2"/>
      <c r="J444" s="155"/>
      <c r="K444" s="301"/>
      <c r="L444" s="205"/>
      <c r="M444" s="288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5:24" ht="12.75">
      <c r="E445" s="155"/>
      <c r="F445" s="248"/>
      <c r="G445" s="205"/>
      <c r="H445" s="332"/>
      <c r="I445" s="2"/>
      <c r="J445" s="155"/>
      <c r="K445" s="301"/>
      <c r="L445" s="205"/>
      <c r="M445" s="288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5:24" ht="12.75">
      <c r="E446" s="155"/>
      <c r="F446" s="248"/>
      <c r="G446" s="205"/>
      <c r="H446" s="332"/>
      <c r="I446" s="2"/>
      <c r="J446" s="155"/>
      <c r="K446" s="301"/>
      <c r="L446" s="205"/>
      <c r="M446" s="288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5:24" ht="12.75">
      <c r="E447" s="155"/>
      <c r="F447" s="248"/>
      <c r="G447" s="205"/>
      <c r="H447" s="332"/>
      <c r="I447" s="2"/>
      <c r="J447" s="155"/>
      <c r="K447" s="301"/>
      <c r="L447" s="205"/>
      <c r="M447" s="288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5:24" ht="12.75">
      <c r="E448" s="155"/>
      <c r="F448" s="248"/>
      <c r="G448" s="205"/>
      <c r="H448" s="332"/>
      <c r="I448" s="2"/>
      <c r="J448" s="155"/>
      <c r="K448" s="301"/>
      <c r="L448" s="205"/>
      <c r="M448" s="288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5:24" ht="12.75">
      <c r="E449" s="155"/>
      <c r="F449" s="248"/>
      <c r="G449" s="205"/>
      <c r="H449" s="332"/>
      <c r="I449" s="2"/>
      <c r="J449" s="155"/>
      <c r="K449" s="301"/>
      <c r="L449" s="205"/>
      <c r="M449" s="288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5:24" ht="12.75">
      <c r="E450" s="155"/>
      <c r="F450" s="248"/>
      <c r="G450" s="205"/>
      <c r="H450" s="332"/>
      <c r="I450" s="2"/>
      <c r="J450" s="155"/>
      <c r="K450" s="301"/>
      <c r="L450" s="205"/>
      <c r="M450" s="288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5:24" ht="12.75">
      <c r="E451" s="155"/>
      <c r="F451" s="248"/>
      <c r="G451" s="205"/>
      <c r="H451" s="332"/>
      <c r="I451" s="2"/>
      <c r="J451" s="155"/>
      <c r="K451" s="301"/>
      <c r="L451" s="205"/>
      <c r="M451" s="288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5:24" ht="12.75">
      <c r="E452" s="155"/>
      <c r="F452" s="248"/>
      <c r="G452" s="205"/>
      <c r="H452" s="332"/>
      <c r="I452" s="2"/>
      <c r="J452" s="155"/>
      <c r="K452" s="301"/>
      <c r="L452" s="205"/>
      <c r="M452" s="288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5:24" ht="12.75">
      <c r="E453" s="155"/>
      <c r="F453" s="248"/>
      <c r="G453" s="205"/>
      <c r="H453" s="332"/>
      <c r="I453" s="2"/>
      <c r="J453" s="155"/>
      <c r="K453" s="301"/>
      <c r="L453" s="205"/>
      <c r="M453" s="288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5:24" ht="12.75">
      <c r="E454" s="155"/>
      <c r="F454" s="248"/>
      <c r="G454" s="205"/>
      <c r="H454" s="332"/>
      <c r="I454" s="2"/>
      <c r="J454" s="155"/>
      <c r="K454" s="301"/>
      <c r="L454" s="205"/>
      <c r="M454" s="288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5:24" ht="12.75">
      <c r="E455" s="155"/>
      <c r="F455" s="248"/>
      <c r="G455" s="205"/>
      <c r="H455" s="332"/>
      <c r="I455" s="2"/>
      <c r="J455" s="155"/>
      <c r="K455" s="301"/>
      <c r="L455" s="205"/>
      <c r="M455" s="288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5:24" ht="12.75">
      <c r="E456" s="155"/>
      <c r="F456" s="248"/>
      <c r="G456" s="205"/>
      <c r="H456" s="332"/>
      <c r="I456" s="2"/>
      <c r="J456" s="155"/>
      <c r="K456" s="301"/>
      <c r="L456" s="205"/>
      <c r="M456" s="288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5:24" ht="12.75">
      <c r="E457" s="155"/>
      <c r="F457" s="248"/>
      <c r="G457" s="205"/>
      <c r="H457" s="332"/>
      <c r="I457" s="2"/>
      <c r="J457" s="155"/>
      <c r="K457" s="301"/>
      <c r="L457" s="205"/>
      <c r="M457" s="288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5:24" ht="12.75">
      <c r="E458" s="155"/>
      <c r="F458" s="248"/>
      <c r="G458" s="205"/>
      <c r="H458" s="332"/>
      <c r="I458" s="2"/>
      <c r="J458" s="155"/>
      <c r="K458" s="301"/>
      <c r="L458" s="205"/>
      <c r="M458" s="288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5:24" ht="12.75">
      <c r="E459" s="155"/>
      <c r="F459" s="248"/>
      <c r="G459" s="205"/>
      <c r="H459" s="332"/>
      <c r="I459" s="2"/>
      <c r="J459" s="155"/>
      <c r="K459" s="301"/>
      <c r="L459" s="205"/>
      <c r="M459" s="288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5:24" ht="12.75">
      <c r="E460" s="155"/>
      <c r="F460" s="248"/>
      <c r="G460" s="205"/>
      <c r="H460" s="332"/>
      <c r="I460" s="2"/>
      <c r="J460" s="155"/>
      <c r="K460" s="301"/>
      <c r="L460" s="205"/>
      <c r="M460" s="288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5:24" ht="12.75">
      <c r="E461" s="155"/>
      <c r="F461" s="248"/>
      <c r="G461" s="205"/>
      <c r="H461" s="332"/>
      <c r="I461" s="2"/>
      <c r="J461" s="155"/>
      <c r="K461" s="301"/>
      <c r="L461" s="205"/>
      <c r="M461" s="288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5:24" ht="12.75">
      <c r="E462" s="155"/>
      <c r="F462" s="248"/>
      <c r="G462" s="205"/>
      <c r="H462" s="332"/>
      <c r="I462" s="2"/>
      <c r="J462" s="155"/>
      <c r="K462" s="301"/>
      <c r="L462" s="205"/>
      <c r="M462" s="288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5:24" ht="12.75">
      <c r="E463" s="155"/>
      <c r="F463" s="248"/>
      <c r="G463" s="205"/>
      <c r="H463" s="332"/>
      <c r="I463" s="2"/>
      <c r="J463" s="155"/>
      <c r="K463" s="301"/>
      <c r="L463" s="205"/>
      <c r="M463" s="288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5:24" ht="12.75">
      <c r="E464" s="155"/>
      <c r="F464" s="248"/>
      <c r="G464" s="205"/>
      <c r="H464" s="332"/>
      <c r="I464" s="2"/>
      <c r="J464" s="155"/>
      <c r="K464" s="301"/>
      <c r="L464" s="205"/>
      <c r="M464" s="288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5:24" ht="12.75">
      <c r="E465" s="155"/>
      <c r="F465" s="248"/>
      <c r="G465" s="205"/>
      <c r="H465" s="332"/>
      <c r="I465" s="2"/>
      <c r="J465" s="155"/>
      <c r="K465" s="301"/>
      <c r="L465" s="205"/>
      <c r="M465" s="288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5:24" ht="12.75">
      <c r="E466" s="155"/>
      <c r="F466" s="248"/>
      <c r="G466" s="205"/>
      <c r="H466" s="332"/>
      <c r="I466" s="2"/>
      <c r="J466" s="155"/>
      <c r="K466" s="301"/>
      <c r="L466" s="205"/>
      <c r="M466" s="288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5:24" ht="12.75">
      <c r="E467" s="155"/>
      <c r="F467" s="248"/>
      <c r="G467" s="205"/>
      <c r="H467" s="332"/>
      <c r="I467" s="2"/>
      <c r="J467" s="155"/>
      <c r="K467" s="301"/>
      <c r="L467" s="205"/>
      <c r="M467" s="288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5:24" ht="12.75">
      <c r="E468" s="155"/>
      <c r="F468" s="248"/>
      <c r="G468" s="205"/>
      <c r="H468" s="332"/>
      <c r="I468" s="2"/>
      <c r="J468" s="155"/>
      <c r="K468" s="301"/>
      <c r="L468" s="205"/>
      <c r="M468" s="288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5:24" ht="12.75">
      <c r="E469" s="155"/>
      <c r="F469" s="248"/>
      <c r="G469" s="205"/>
      <c r="H469" s="332"/>
      <c r="I469" s="2"/>
      <c r="J469" s="155"/>
      <c r="K469" s="301"/>
      <c r="L469" s="205"/>
      <c r="M469" s="288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5:24" ht="12.75">
      <c r="E470" s="155"/>
      <c r="F470" s="248"/>
      <c r="G470" s="205"/>
      <c r="H470" s="332"/>
      <c r="I470" s="2"/>
      <c r="J470" s="155"/>
      <c r="K470" s="301"/>
      <c r="L470" s="205"/>
      <c r="M470" s="288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5:24" ht="12.75">
      <c r="E471" s="155"/>
      <c r="F471" s="248"/>
      <c r="G471" s="205"/>
      <c r="H471" s="332"/>
      <c r="I471" s="2"/>
      <c r="J471" s="155"/>
      <c r="K471" s="301"/>
      <c r="L471" s="205"/>
      <c r="M471" s="288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5:24" ht="12.75">
      <c r="E472" s="155"/>
      <c r="F472" s="248"/>
      <c r="G472" s="205"/>
      <c r="H472" s="332"/>
      <c r="I472" s="2"/>
      <c r="J472" s="155"/>
      <c r="K472" s="301"/>
      <c r="L472" s="205"/>
      <c r="M472" s="288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5:24" ht="12.75">
      <c r="E473" s="155"/>
      <c r="F473" s="248"/>
      <c r="G473" s="205"/>
      <c r="H473" s="332"/>
      <c r="I473" s="2"/>
      <c r="J473" s="155"/>
      <c r="K473" s="301"/>
      <c r="L473" s="205"/>
      <c r="M473" s="288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5:24" ht="12.75">
      <c r="E474" s="155"/>
      <c r="F474" s="248"/>
      <c r="G474" s="205"/>
      <c r="H474" s="332"/>
      <c r="I474" s="2"/>
      <c r="J474" s="155"/>
      <c r="K474" s="301"/>
      <c r="L474" s="205"/>
      <c r="M474" s="288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5:24" ht="12.75">
      <c r="E475" s="155"/>
      <c r="F475" s="248"/>
      <c r="G475" s="205"/>
      <c r="H475" s="332"/>
      <c r="I475" s="2"/>
      <c r="J475" s="155"/>
      <c r="K475" s="301"/>
      <c r="L475" s="205"/>
      <c r="M475" s="288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5:24" ht="12.75">
      <c r="E476" s="155"/>
      <c r="F476" s="248"/>
      <c r="G476" s="205"/>
      <c r="H476" s="332"/>
      <c r="I476" s="2"/>
      <c r="J476" s="155"/>
      <c r="K476" s="301"/>
      <c r="L476" s="205"/>
      <c r="M476" s="288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5:24" ht="12.75">
      <c r="E477" s="155"/>
      <c r="F477" s="248"/>
      <c r="G477" s="205"/>
      <c r="H477" s="332"/>
      <c r="I477" s="2"/>
      <c r="J477" s="155"/>
      <c r="K477" s="301"/>
      <c r="L477" s="205"/>
      <c r="M477" s="288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5:24" ht="12.75">
      <c r="E478" s="155"/>
      <c r="F478" s="248"/>
      <c r="G478" s="205"/>
      <c r="H478" s="332"/>
      <c r="I478" s="2"/>
      <c r="J478" s="155"/>
      <c r="K478" s="301"/>
      <c r="L478" s="205"/>
      <c r="M478" s="288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5:24" ht="12.75">
      <c r="E479" s="155"/>
      <c r="F479" s="248"/>
      <c r="G479" s="205"/>
      <c r="H479" s="332"/>
      <c r="I479" s="2"/>
      <c r="J479" s="155"/>
      <c r="K479" s="301"/>
      <c r="L479" s="205"/>
      <c r="M479" s="288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5:24" ht="12.75">
      <c r="E480" s="155"/>
      <c r="F480" s="248"/>
      <c r="G480" s="205"/>
      <c r="H480" s="332"/>
      <c r="I480" s="2"/>
      <c r="J480" s="155"/>
      <c r="K480" s="301"/>
      <c r="L480" s="205"/>
      <c r="M480" s="288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5:24" ht="12.75">
      <c r="E481" s="155"/>
      <c r="F481" s="248"/>
      <c r="G481" s="205"/>
      <c r="H481" s="332"/>
      <c r="I481" s="2"/>
      <c r="J481" s="155"/>
      <c r="K481" s="301"/>
      <c r="L481" s="205"/>
      <c r="M481" s="288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5:24" ht="12.75">
      <c r="E482" s="155"/>
      <c r="F482" s="248"/>
      <c r="G482" s="205"/>
      <c r="H482" s="332"/>
      <c r="I482" s="2"/>
      <c r="J482" s="155"/>
      <c r="K482" s="301"/>
      <c r="L482" s="205"/>
      <c r="M482" s="288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5:24" ht="12.75">
      <c r="E483" s="155"/>
      <c r="F483" s="248"/>
      <c r="G483" s="205"/>
      <c r="H483" s="332"/>
      <c r="I483" s="2"/>
      <c r="J483" s="155"/>
      <c r="K483" s="301"/>
      <c r="L483" s="205"/>
      <c r="M483" s="288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5:24" ht="12.75">
      <c r="E484" s="155"/>
      <c r="F484" s="248"/>
      <c r="G484" s="205"/>
      <c r="H484" s="332"/>
      <c r="I484" s="2"/>
      <c r="J484" s="155"/>
      <c r="K484" s="301"/>
      <c r="L484" s="205"/>
      <c r="M484" s="288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5:24" ht="12.75">
      <c r="E485" s="155"/>
      <c r="F485" s="248"/>
      <c r="G485" s="205"/>
      <c r="H485" s="332"/>
      <c r="I485" s="2"/>
      <c r="J485" s="155"/>
      <c r="K485" s="301"/>
      <c r="L485" s="205"/>
      <c r="M485" s="288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5:24" ht="12.75">
      <c r="E486" s="155"/>
      <c r="F486" s="248"/>
      <c r="G486" s="205"/>
      <c r="H486" s="332"/>
      <c r="I486" s="2"/>
      <c r="J486" s="155"/>
      <c r="K486" s="301"/>
      <c r="L486" s="205"/>
      <c r="M486" s="288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5:24" ht="12.75">
      <c r="E487" s="155"/>
      <c r="F487" s="248"/>
      <c r="G487" s="205"/>
      <c r="H487" s="332"/>
      <c r="I487" s="2"/>
      <c r="J487" s="155"/>
      <c r="K487" s="301"/>
      <c r="L487" s="205"/>
      <c r="M487" s="288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5:24" ht="12.75">
      <c r="E488" s="155"/>
      <c r="F488" s="248"/>
      <c r="G488" s="205"/>
      <c r="H488" s="332"/>
      <c r="I488" s="2"/>
      <c r="J488" s="155"/>
      <c r="K488" s="301"/>
      <c r="L488" s="205"/>
      <c r="M488" s="288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5:24" ht="12.75">
      <c r="E489" s="155"/>
      <c r="F489" s="248"/>
      <c r="G489" s="205"/>
      <c r="H489" s="332"/>
      <c r="I489" s="2"/>
      <c r="J489" s="155"/>
      <c r="K489" s="301"/>
      <c r="L489" s="205"/>
      <c r="M489" s="288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5:24" ht="12.75">
      <c r="E490" s="155"/>
      <c r="F490" s="248"/>
      <c r="G490" s="205"/>
      <c r="H490" s="332"/>
      <c r="I490" s="2"/>
      <c r="J490" s="155"/>
      <c r="K490" s="301"/>
      <c r="L490" s="205"/>
      <c r="M490" s="288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5:24" ht="12.75">
      <c r="E491" s="155"/>
      <c r="F491" s="248"/>
      <c r="G491" s="205"/>
      <c r="H491" s="332"/>
      <c r="I491" s="2"/>
      <c r="J491" s="155"/>
      <c r="K491" s="301"/>
      <c r="L491" s="205"/>
      <c r="M491" s="288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5:24" ht="12.75">
      <c r="E492" s="155"/>
      <c r="F492" s="248"/>
      <c r="G492" s="205"/>
      <c r="H492" s="332"/>
      <c r="I492" s="2"/>
      <c r="J492" s="155"/>
      <c r="K492" s="301"/>
      <c r="L492" s="205"/>
      <c r="M492" s="288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5:24" ht="12.75">
      <c r="E493" s="155"/>
      <c r="F493" s="248"/>
      <c r="G493" s="205"/>
      <c r="H493" s="332"/>
      <c r="I493" s="2"/>
      <c r="J493" s="155"/>
      <c r="K493" s="301"/>
      <c r="L493" s="205"/>
      <c r="M493" s="288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5:24" ht="12.75">
      <c r="E494" s="155"/>
      <c r="F494" s="248"/>
      <c r="G494" s="205"/>
      <c r="H494" s="332"/>
      <c r="I494" s="2"/>
      <c r="J494" s="155"/>
      <c r="K494" s="301"/>
      <c r="L494" s="205"/>
      <c r="M494" s="288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5:24" ht="12.75">
      <c r="E495" s="155"/>
      <c r="F495" s="248"/>
      <c r="G495" s="205"/>
      <c r="H495" s="332"/>
      <c r="I495" s="2"/>
      <c r="J495" s="155"/>
      <c r="K495" s="301"/>
      <c r="L495" s="205"/>
      <c r="M495" s="288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5:24" ht="12.75">
      <c r="E496" s="155"/>
      <c r="F496" s="248"/>
      <c r="G496" s="205"/>
      <c r="H496" s="332"/>
      <c r="I496" s="2"/>
      <c r="J496" s="155"/>
      <c r="K496" s="301"/>
      <c r="L496" s="205"/>
      <c r="M496" s="288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5:24" ht="12.75">
      <c r="E497" s="155"/>
      <c r="F497" s="248"/>
      <c r="G497" s="205"/>
      <c r="H497" s="332"/>
      <c r="I497" s="2"/>
      <c r="J497" s="155"/>
      <c r="K497" s="301"/>
      <c r="L497" s="205"/>
      <c r="M497" s="288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5:24" ht="12.75">
      <c r="E498" s="155"/>
      <c r="F498" s="248"/>
      <c r="G498" s="205"/>
      <c r="H498" s="332"/>
      <c r="I498" s="2"/>
      <c r="J498" s="155"/>
      <c r="K498" s="301"/>
      <c r="L498" s="205"/>
      <c r="M498" s="288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5:24" ht="12.75">
      <c r="E499" s="155"/>
      <c r="F499" s="248"/>
      <c r="G499" s="205"/>
      <c r="H499" s="332"/>
      <c r="I499" s="2"/>
      <c r="J499" s="155"/>
      <c r="K499" s="301"/>
      <c r="L499" s="205"/>
      <c r="M499" s="288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5:24" ht="12.75">
      <c r="E500" s="155"/>
      <c r="F500" s="248"/>
      <c r="G500" s="205"/>
      <c r="H500" s="332"/>
      <c r="I500" s="2"/>
      <c r="J500" s="155"/>
      <c r="K500" s="301"/>
      <c r="L500" s="205"/>
      <c r="M500" s="288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5:24" ht="12.75">
      <c r="E501" s="155"/>
      <c r="F501" s="248"/>
      <c r="G501" s="205"/>
      <c r="H501" s="332"/>
      <c r="I501" s="2"/>
      <c r="J501" s="155"/>
      <c r="K501" s="301"/>
      <c r="L501" s="205"/>
      <c r="M501" s="288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5:24" ht="12.75">
      <c r="E502" s="155"/>
      <c r="F502" s="248"/>
      <c r="G502" s="205"/>
      <c r="H502" s="332"/>
      <c r="I502" s="2"/>
      <c r="J502" s="155"/>
      <c r="K502" s="301"/>
      <c r="L502" s="205"/>
      <c r="M502" s="288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5:24" ht="12.75">
      <c r="E503" s="155"/>
      <c r="F503" s="248"/>
      <c r="G503" s="205"/>
      <c r="H503" s="332"/>
      <c r="I503" s="2"/>
      <c r="J503" s="155"/>
      <c r="K503" s="301"/>
      <c r="L503" s="205"/>
      <c r="M503" s="288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5:24" ht="12.75">
      <c r="E504" s="155"/>
      <c r="F504" s="248"/>
      <c r="G504" s="205"/>
      <c r="H504" s="332"/>
      <c r="I504" s="2"/>
      <c r="J504" s="155"/>
      <c r="K504" s="301"/>
      <c r="L504" s="205"/>
      <c r="M504" s="288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5:24" ht="12.75">
      <c r="E505" s="155"/>
      <c r="F505" s="248"/>
      <c r="G505" s="205"/>
      <c r="H505" s="332"/>
      <c r="I505" s="2"/>
      <c r="J505" s="155"/>
      <c r="K505" s="301"/>
      <c r="L505" s="205"/>
      <c r="M505" s="288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5:24" ht="12.75">
      <c r="E506" s="155"/>
      <c r="F506" s="248"/>
      <c r="G506" s="205"/>
      <c r="H506" s="332"/>
      <c r="I506" s="2"/>
      <c r="J506" s="155"/>
      <c r="K506" s="301"/>
      <c r="L506" s="205"/>
      <c r="M506" s="288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5:24" ht="12.75">
      <c r="E507" s="155"/>
      <c r="F507" s="248"/>
      <c r="G507" s="205"/>
      <c r="H507" s="332"/>
      <c r="I507" s="2"/>
      <c r="J507" s="155"/>
      <c r="K507" s="301"/>
      <c r="L507" s="205"/>
      <c r="M507" s="288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5:24" ht="12.75">
      <c r="E508" s="155"/>
      <c r="F508" s="248"/>
      <c r="G508" s="205"/>
      <c r="H508" s="332"/>
      <c r="I508" s="2"/>
      <c r="J508" s="155"/>
      <c r="K508" s="301"/>
      <c r="L508" s="205"/>
      <c r="M508" s="288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5:24" ht="12.75">
      <c r="E509" s="155"/>
      <c r="F509" s="248"/>
      <c r="G509" s="205"/>
      <c r="H509" s="332"/>
      <c r="I509" s="2"/>
      <c r="J509" s="155"/>
      <c r="K509" s="301"/>
      <c r="L509" s="205"/>
      <c r="M509" s="288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5:24" ht="12.75">
      <c r="E510" s="155"/>
      <c r="F510" s="248"/>
      <c r="G510" s="205"/>
      <c r="H510" s="332"/>
      <c r="I510" s="2"/>
      <c r="J510" s="155"/>
      <c r="K510" s="301"/>
      <c r="L510" s="205"/>
      <c r="M510" s="288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5:24" ht="12.75">
      <c r="E511" s="155"/>
      <c r="F511" s="248"/>
      <c r="G511" s="205"/>
      <c r="H511" s="332"/>
      <c r="I511" s="2"/>
      <c r="J511" s="155"/>
      <c r="K511" s="301"/>
      <c r="L511" s="205"/>
      <c r="M511" s="288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5:24" ht="12.75">
      <c r="E512" s="155"/>
      <c r="F512" s="248"/>
      <c r="G512" s="205"/>
      <c r="H512" s="332"/>
      <c r="I512" s="2"/>
      <c r="J512" s="155"/>
      <c r="K512" s="301"/>
      <c r="L512" s="205"/>
      <c r="M512" s="288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5:24" ht="12.75">
      <c r="E513" s="155"/>
      <c r="F513" s="248"/>
      <c r="G513" s="205"/>
      <c r="H513" s="332"/>
      <c r="I513" s="2"/>
      <c r="J513" s="155"/>
      <c r="K513" s="301"/>
      <c r="L513" s="205"/>
      <c r="M513" s="288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5:24" ht="12.75">
      <c r="E514" s="155"/>
      <c r="F514" s="248"/>
      <c r="G514" s="205"/>
      <c r="H514" s="332"/>
      <c r="I514" s="2"/>
      <c r="J514" s="155"/>
      <c r="K514" s="301"/>
      <c r="L514" s="205"/>
      <c r="M514" s="288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5:24" ht="12.75">
      <c r="E515" s="155"/>
      <c r="F515" s="248"/>
      <c r="G515" s="205"/>
      <c r="H515" s="332"/>
      <c r="I515" s="2"/>
      <c r="J515" s="155"/>
      <c r="K515" s="301"/>
      <c r="L515" s="205"/>
      <c r="M515" s="288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5:24" ht="12.75">
      <c r="E516" s="155"/>
      <c r="F516" s="248"/>
      <c r="G516" s="205"/>
      <c r="H516" s="332"/>
      <c r="I516" s="2"/>
      <c r="J516" s="155"/>
      <c r="K516" s="301"/>
      <c r="L516" s="205"/>
      <c r="M516" s="288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5:24" ht="12.75">
      <c r="E517" s="155"/>
      <c r="F517" s="248"/>
      <c r="G517" s="205"/>
      <c r="H517" s="332"/>
      <c r="I517" s="2"/>
      <c r="J517" s="155"/>
      <c r="K517" s="301"/>
      <c r="L517" s="205"/>
      <c r="M517" s="288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5:24" ht="12.75">
      <c r="E518" s="155"/>
      <c r="F518" s="248"/>
      <c r="G518" s="205"/>
      <c r="H518" s="332"/>
      <c r="I518" s="2"/>
      <c r="J518" s="155"/>
      <c r="K518" s="301"/>
      <c r="L518" s="205"/>
      <c r="M518" s="288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5:24" ht="12.75">
      <c r="E519" s="155"/>
      <c r="F519" s="248"/>
      <c r="G519" s="205"/>
      <c r="H519" s="332"/>
      <c r="I519" s="2"/>
      <c r="J519" s="155"/>
      <c r="K519" s="301"/>
      <c r="L519" s="205"/>
      <c r="M519" s="288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5:24" ht="12.75">
      <c r="E520" s="155"/>
      <c r="F520" s="248"/>
      <c r="G520" s="205"/>
      <c r="H520" s="332"/>
      <c r="I520" s="2"/>
      <c r="J520" s="155"/>
      <c r="K520" s="301"/>
      <c r="L520" s="205"/>
      <c r="M520" s="288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5:24" ht="12.75">
      <c r="E521" s="155"/>
      <c r="F521" s="248"/>
      <c r="G521" s="205"/>
      <c r="H521" s="332"/>
      <c r="I521" s="2"/>
      <c r="J521" s="155"/>
      <c r="K521" s="301"/>
      <c r="L521" s="205"/>
      <c r="M521" s="288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5:24" ht="12.75">
      <c r="E522" s="155"/>
      <c r="F522" s="248"/>
      <c r="G522" s="205"/>
      <c r="H522" s="332"/>
      <c r="I522" s="2"/>
      <c r="J522" s="155"/>
      <c r="K522" s="301"/>
      <c r="L522" s="205"/>
      <c r="M522" s="288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5:24" ht="12.75">
      <c r="E523" s="155"/>
      <c r="F523" s="248"/>
      <c r="G523" s="205"/>
      <c r="H523" s="332"/>
      <c r="I523" s="2"/>
      <c r="J523" s="155"/>
      <c r="K523" s="301"/>
      <c r="L523" s="205"/>
      <c r="M523" s="288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5:24" ht="12.75">
      <c r="E524" s="155"/>
      <c r="F524" s="248"/>
      <c r="G524" s="205"/>
      <c r="H524" s="332"/>
      <c r="I524" s="2"/>
      <c r="J524" s="155"/>
      <c r="K524" s="301"/>
      <c r="L524" s="205"/>
      <c r="M524" s="288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5:24" ht="12.75">
      <c r="E525" s="155"/>
      <c r="F525" s="248"/>
      <c r="G525" s="205"/>
      <c r="H525" s="332"/>
      <c r="I525" s="2"/>
      <c r="J525" s="155"/>
      <c r="K525" s="301"/>
      <c r="L525" s="205"/>
      <c r="M525" s="288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5:24" ht="12.75">
      <c r="E526" s="155"/>
      <c r="F526" s="248"/>
      <c r="G526" s="205"/>
      <c r="H526" s="332"/>
      <c r="I526" s="2"/>
      <c r="J526" s="155"/>
      <c r="K526" s="301"/>
      <c r="L526" s="205"/>
      <c r="M526" s="288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5:24" ht="12.75">
      <c r="E527" s="155"/>
      <c r="F527" s="248"/>
      <c r="G527" s="205"/>
      <c r="H527" s="332"/>
      <c r="I527" s="2"/>
      <c r="J527" s="155"/>
      <c r="K527" s="301"/>
      <c r="L527" s="205"/>
      <c r="M527" s="288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5:24" ht="12.75">
      <c r="E528" s="155"/>
      <c r="F528" s="248"/>
      <c r="G528" s="205"/>
      <c r="H528" s="332"/>
      <c r="I528" s="2"/>
      <c r="J528" s="155"/>
      <c r="K528" s="301"/>
      <c r="L528" s="205"/>
      <c r="M528" s="288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5:24" ht="12.75">
      <c r="E529" s="155"/>
      <c r="F529" s="248"/>
      <c r="G529" s="205"/>
      <c r="H529" s="332"/>
      <c r="I529" s="2"/>
      <c r="J529" s="155"/>
      <c r="K529" s="301"/>
      <c r="L529" s="205"/>
      <c r="M529" s="288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5:24" ht="12.75">
      <c r="E530" s="155"/>
      <c r="F530" s="248"/>
      <c r="G530" s="205"/>
      <c r="H530" s="332"/>
      <c r="I530" s="2"/>
      <c r="J530" s="155"/>
      <c r="K530" s="301"/>
      <c r="L530" s="205"/>
      <c r="M530" s="288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5:24" ht="12.75">
      <c r="E531" s="155"/>
      <c r="F531" s="248"/>
      <c r="G531" s="205"/>
      <c r="H531" s="332"/>
      <c r="I531" s="2"/>
      <c r="J531" s="155"/>
      <c r="K531" s="301"/>
      <c r="L531" s="205"/>
      <c r="M531" s="288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5:24" ht="12.75">
      <c r="E532" s="155"/>
      <c r="F532" s="248"/>
      <c r="G532" s="205"/>
      <c r="H532" s="332"/>
      <c r="I532" s="2"/>
      <c r="J532" s="155"/>
      <c r="K532" s="301"/>
      <c r="L532" s="205"/>
      <c r="M532" s="288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5:24" ht="12.75">
      <c r="E533" s="155"/>
      <c r="F533" s="248"/>
      <c r="G533" s="205"/>
      <c r="H533" s="332"/>
      <c r="I533" s="2"/>
      <c r="J533" s="155"/>
      <c r="K533" s="301"/>
      <c r="L533" s="205"/>
      <c r="M533" s="288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5:24" ht="12.75">
      <c r="E534" s="155"/>
      <c r="F534" s="248"/>
      <c r="G534" s="205"/>
      <c r="H534" s="332"/>
      <c r="I534" s="2"/>
      <c r="J534" s="155"/>
      <c r="K534" s="301"/>
      <c r="L534" s="205"/>
      <c r="M534" s="288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5:24" ht="12.75">
      <c r="E535" s="155"/>
      <c r="F535" s="248"/>
      <c r="G535" s="205"/>
      <c r="H535" s="332"/>
      <c r="I535" s="2"/>
      <c r="J535" s="155"/>
      <c r="K535" s="301"/>
      <c r="L535" s="205"/>
      <c r="M535" s="288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5:24" ht="12.75">
      <c r="E536" s="155"/>
      <c r="F536" s="248"/>
      <c r="G536" s="205"/>
      <c r="H536" s="332"/>
      <c r="I536" s="2"/>
      <c r="J536" s="155"/>
      <c r="K536" s="301"/>
      <c r="L536" s="205"/>
      <c r="M536" s="288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5:24" ht="12.75">
      <c r="E537" s="155"/>
      <c r="F537" s="248"/>
      <c r="G537" s="205"/>
      <c r="H537" s="332"/>
      <c r="I537" s="2"/>
      <c r="J537" s="155"/>
      <c r="K537" s="301"/>
      <c r="L537" s="205"/>
      <c r="M537" s="288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5:24" ht="12.75">
      <c r="E538" s="155"/>
      <c r="F538" s="248"/>
      <c r="G538" s="205"/>
      <c r="H538" s="332"/>
      <c r="I538" s="2"/>
      <c r="J538" s="155"/>
      <c r="K538" s="301"/>
      <c r="L538" s="205"/>
      <c r="M538" s="288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5:24" ht="12.75">
      <c r="E539" s="155"/>
      <c r="F539" s="248"/>
      <c r="G539" s="205"/>
      <c r="H539" s="332"/>
      <c r="I539" s="2"/>
      <c r="J539" s="155"/>
      <c r="K539" s="301"/>
      <c r="L539" s="205"/>
      <c r="M539" s="288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5:24" ht="12.75">
      <c r="E540" s="155"/>
      <c r="F540" s="248"/>
      <c r="G540" s="205"/>
      <c r="H540" s="332"/>
      <c r="I540" s="2"/>
      <c r="J540" s="155"/>
      <c r="K540" s="301"/>
      <c r="L540" s="205"/>
      <c r="M540" s="288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5:24" ht="12.75">
      <c r="E541" s="155"/>
      <c r="F541" s="248"/>
      <c r="G541" s="205"/>
      <c r="H541" s="332"/>
      <c r="I541" s="2"/>
      <c r="J541" s="155"/>
      <c r="K541" s="301"/>
      <c r="L541" s="205"/>
      <c r="M541" s="288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5:24" ht="12.75">
      <c r="E542" s="155"/>
      <c r="F542" s="248"/>
      <c r="G542" s="205"/>
      <c r="H542" s="332"/>
      <c r="I542" s="2"/>
      <c r="J542" s="155"/>
      <c r="K542" s="301"/>
      <c r="L542" s="205"/>
      <c r="M542" s="288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5:24" ht="12.75">
      <c r="E543" s="155"/>
      <c r="F543" s="248"/>
      <c r="G543" s="205"/>
      <c r="H543" s="332"/>
      <c r="I543" s="2"/>
      <c r="J543" s="155"/>
      <c r="K543" s="301"/>
      <c r="L543" s="205"/>
      <c r="M543" s="288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5:24" ht="12.75">
      <c r="E544" s="155"/>
      <c r="F544" s="248"/>
      <c r="G544" s="205"/>
      <c r="H544" s="332"/>
      <c r="I544" s="2"/>
      <c r="J544" s="155"/>
      <c r="K544" s="301"/>
      <c r="L544" s="205"/>
      <c r="M544" s="288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5:24" ht="12.75">
      <c r="E545" s="155"/>
      <c r="F545" s="248"/>
      <c r="G545" s="205"/>
      <c r="H545" s="332"/>
      <c r="I545" s="2"/>
      <c r="J545" s="155"/>
      <c r="K545" s="301"/>
      <c r="L545" s="205"/>
      <c r="M545" s="288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5:24" ht="12.75">
      <c r="E546" s="155"/>
      <c r="F546" s="248"/>
      <c r="G546" s="205"/>
      <c r="H546" s="332"/>
      <c r="I546" s="2"/>
      <c r="J546" s="155"/>
      <c r="K546" s="301"/>
      <c r="L546" s="205"/>
      <c r="M546" s="288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5:24" ht="12.75">
      <c r="E547" s="155"/>
      <c r="F547" s="248"/>
      <c r="G547" s="205"/>
      <c r="H547" s="332"/>
      <c r="I547" s="2"/>
      <c r="J547" s="155"/>
      <c r="K547" s="301"/>
      <c r="L547" s="205"/>
      <c r="M547" s="288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5:24" ht="12.75">
      <c r="E548" s="155"/>
      <c r="F548" s="248"/>
      <c r="G548" s="205"/>
      <c r="H548" s="332"/>
      <c r="I548" s="2"/>
      <c r="J548" s="155"/>
      <c r="K548" s="301"/>
      <c r="L548" s="205"/>
      <c r="M548" s="288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5:24" ht="12.75">
      <c r="E549" s="155"/>
      <c r="F549" s="248"/>
      <c r="G549" s="205"/>
      <c r="H549" s="332"/>
      <c r="I549" s="2"/>
      <c r="J549" s="155"/>
      <c r="K549" s="301"/>
      <c r="L549" s="205"/>
      <c r="M549" s="288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5:24" ht="12.75">
      <c r="E550" s="155"/>
      <c r="F550" s="248"/>
      <c r="G550" s="205"/>
      <c r="H550" s="332"/>
      <c r="I550" s="2"/>
      <c r="J550" s="155"/>
      <c r="K550" s="301"/>
      <c r="L550" s="205"/>
      <c r="M550" s="288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5:24" ht="12.75">
      <c r="E551" s="155"/>
      <c r="F551" s="248"/>
      <c r="G551" s="205"/>
      <c r="H551" s="332"/>
      <c r="I551" s="2"/>
      <c r="J551" s="155"/>
      <c r="K551" s="301"/>
      <c r="L551" s="205"/>
      <c r="M551" s="288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5:24" ht="12.75">
      <c r="E552" s="155"/>
      <c r="F552" s="248"/>
      <c r="G552" s="205"/>
      <c r="H552" s="332"/>
      <c r="I552" s="2"/>
      <c r="J552" s="155"/>
      <c r="K552" s="301"/>
      <c r="L552" s="205"/>
      <c r="M552" s="288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5:24" ht="12.75">
      <c r="E553" s="155"/>
      <c r="F553" s="248"/>
      <c r="G553" s="205"/>
      <c r="H553" s="332"/>
      <c r="I553" s="2"/>
      <c r="J553" s="155"/>
      <c r="K553" s="301"/>
      <c r="L553" s="205"/>
      <c r="M553" s="288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5:24" ht="12.75">
      <c r="E554" s="155"/>
      <c r="F554" s="248"/>
      <c r="G554" s="205"/>
      <c r="H554" s="332"/>
      <c r="I554" s="2"/>
      <c r="J554" s="155"/>
      <c r="K554" s="301"/>
      <c r="L554" s="205"/>
      <c r="M554" s="288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5:24" ht="12.75">
      <c r="E555" s="155"/>
      <c r="F555" s="248"/>
      <c r="G555" s="205"/>
      <c r="H555" s="332"/>
      <c r="I555" s="2"/>
      <c r="J555" s="155"/>
      <c r="K555" s="301"/>
      <c r="L555" s="205"/>
      <c r="M555" s="288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5:24" ht="12.75">
      <c r="E556" s="155"/>
      <c r="F556" s="248"/>
      <c r="G556" s="205"/>
      <c r="H556" s="332"/>
      <c r="I556" s="2"/>
      <c r="J556" s="155"/>
      <c r="K556" s="301"/>
      <c r="L556" s="205"/>
      <c r="M556" s="288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5:24" ht="12.75">
      <c r="E557" s="155"/>
      <c r="F557" s="248"/>
      <c r="G557" s="205"/>
      <c r="H557" s="332"/>
      <c r="I557" s="2"/>
      <c r="J557" s="155"/>
      <c r="K557" s="301"/>
      <c r="L557" s="205"/>
      <c r="M557" s="288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5:24" ht="12.75">
      <c r="E558" s="155"/>
      <c r="F558" s="248"/>
      <c r="G558" s="205"/>
      <c r="H558" s="332"/>
      <c r="I558" s="2"/>
      <c r="J558" s="155"/>
      <c r="K558" s="301"/>
      <c r="L558" s="205"/>
      <c r="M558" s="288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5:24" ht="12.75">
      <c r="E559" s="155"/>
      <c r="F559" s="248"/>
      <c r="G559" s="205"/>
      <c r="H559" s="332"/>
      <c r="I559" s="2"/>
      <c r="J559" s="155"/>
      <c r="K559" s="301"/>
      <c r="L559" s="205"/>
      <c r="M559" s="288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5:24" ht="12.75">
      <c r="E560" s="155"/>
      <c r="F560" s="248"/>
      <c r="G560" s="205"/>
      <c r="H560" s="332"/>
      <c r="I560" s="2"/>
      <c r="J560" s="155"/>
      <c r="K560" s="301"/>
      <c r="L560" s="205"/>
      <c r="M560" s="288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5:24" ht="12.75">
      <c r="E561" s="155"/>
      <c r="F561" s="248"/>
      <c r="G561" s="205"/>
      <c r="H561" s="332"/>
      <c r="I561" s="2"/>
      <c r="J561" s="155"/>
      <c r="K561" s="301"/>
      <c r="L561" s="205"/>
      <c r="M561" s="288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5:24" ht="12.75">
      <c r="E562" s="155"/>
      <c r="F562" s="248"/>
      <c r="G562" s="205"/>
      <c r="H562" s="332"/>
      <c r="I562" s="2"/>
      <c r="J562" s="155"/>
      <c r="K562" s="301"/>
      <c r="L562" s="205"/>
      <c r="M562" s="288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5:24" ht="12.75">
      <c r="E563" s="155"/>
      <c r="F563" s="248"/>
      <c r="G563" s="205"/>
      <c r="H563" s="332"/>
      <c r="I563" s="2"/>
      <c r="J563" s="155"/>
      <c r="K563" s="301"/>
      <c r="L563" s="205"/>
      <c r="M563" s="288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5:24" ht="12.75">
      <c r="E564" s="155"/>
      <c r="F564" s="248"/>
      <c r="G564" s="205"/>
      <c r="H564" s="332"/>
      <c r="I564" s="2"/>
      <c r="J564" s="155"/>
      <c r="K564" s="301"/>
      <c r="L564" s="205"/>
      <c r="M564" s="288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5:24" ht="12.75">
      <c r="E565" s="155"/>
      <c r="F565" s="248"/>
      <c r="G565" s="205"/>
      <c r="H565" s="332"/>
      <c r="I565" s="2"/>
      <c r="J565" s="155"/>
      <c r="K565" s="301"/>
      <c r="L565" s="205"/>
      <c r="M565" s="288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5:24" ht="12.75">
      <c r="E566" s="155"/>
      <c r="F566" s="248"/>
      <c r="G566" s="205"/>
      <c r="H566" s="332"/>
      <c r="I566" s="2"/>
      <c r="J566" s="155"/>
      <c r="K566" s="301"/>
      <c r="L566" s="205"/>
      <c r="M566" s="288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5:24" ht="12.75">
      <c r="E567" s="155"/>
      <c r="F567" s="248"/>
      <c r="G567" s="205"/>
      <c r="H567" s="332"/>
      <c r="I567" s="2"/>
      <c r="J567" s="155"/>
      <c r="K567" s="301"/>
      <c r="L567" s="205"/>
      <c r="M567" s="288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5:24" ht="12.75">
      <c r="E568" s="155"/>
      <c r="F568" s="248"/>
      <c r="G568" s="205"/>
      <c r="H568" s="332"/>
      <c r="I568" s="2"/>
      <c r="J568" s="155"/>
      <c r="K568" s="301"/>
      <c r="L568" s="205"/>
      <c r="M568" s="288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5:24" ht="12.75">
      <c r="E569" s="155"/>
      <c r="F569" s="248"/>
      <c r="G569" s="205"/>
      <c r="H569" s="332"/>
      <c r="I569" s="2"/>
      <c r="J569" s="155"/>
      <c r="K569" s="301"/>
      <c r="L569" s="205"/>
      <c r="M569" s="288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5:24" ht="12.75">
      <c r="E570" s="155"/>
      <c r="F570" s="248"/>
      <c r="G570" s="205"/>
      <c r="H570" s="332"/>
      <c r="I570" s="2"/>
      <c r="J570" s="155"/>
      <c r="K570" s="301"/>
      <c r="L570" s="205"/>
      <c r="M570" s="288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5:24" ht="12.75">
      <c r="E571" s="155"/>
      <c r="F571" s="248"/>
      <c r="G571" s="205"/>
      <c r="H571" s="332"/>
      <c r="I571" s="2"/>
      <c r="J571" s="155"/>
      <c r="K571" s="301"/>
      <c r="L571" s="205"/>
      <c r="M571" s="288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5:24" ht="12.75">
      <c r="E572" s="155"/>
      <c r="F572" s="248"/>
      <c r="G572" s="205"/>
      <c r="H572" s="332"/>
      <c r="I572" s="2"/>
      <c r="J572" s="155"/>
      <c r="K572" s="301"/>
      <c r="L572" s="205"/>
      <c r="M572" s="288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5:24" ht="12.75">
      <c r="E573" s="155"/>
      <c r="F573" s="248"/>
      <c r="G573" s="205"/>
      <c r="H573" s="332"/>
      <c r="I573" s="2"/>
      <c r="J573" s="155"/>
      <c r="K573" s="301"/>
      <c r="L573" s="205"/>
      <c r="M573" s="288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5:24" ht="12.75">
      <c r="E574" s="155"/>
      <c r="F574" s="248"/>
      <c r="G574" s="205"/>
      <c r="H574" s="332"/>
      <c r="I574" s="2"/>
      <c r="J574" s="155"/>
      <c r="K574" s="301"/>
      <c r="L574" s="205"/>
      <c r="M574" s="288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5:24" ht="12.75">
      <c r="E575" s="155"/>
      <c r="F575" s="248"/>
      <c r="G575" s="205"/>
      <c r="H575" s="332"/>
      <c r="I575" s="2"/>
      <c r="J575" s="155"/>
      <c r="K575" s="301"/>
      <c r="L575" s="205"/>
      <c r="M575" s="288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5:24" ht="12.75">
      <c r="E576" s="155"/>
      <c r="F576" s="248"/>
      <c r="G576" s="205"/>
      <c r="H576" s="332"/>
      <c r="I576" s="2"/>
      <c r="J576" s="155"/>
      <c r="K576" s="301"/>
      <c r="L576" s="205"/>
      <c r="M576" s="288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5:24" ht="12.75">
      <c r="E577" s="155"/>
      <c r="F577" s="248"/>
      <c r="G577" s="205"/>
      <c r="H577" s="332"/>
      <c r="I577" s="2"/>
      <c r="J577" s="155"/>
      <c r="K577" s="301"/>
      <c r="L577" s="205"/>
      <c r="M577" s="288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5:24" ht="12.75">
      <c r="E578" s="155"/>
      <c r="F578" s="248"/>
      <c r="G578" s="205"/>
      <c r="H578" s="332"/>
      <c r="I578" s="2"/>
      <c r="J578" s="155"/>
      <c r="K578" s="301"/>
      <c r="L578" s="205"/>
      <c r="M578" s="288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5:24" ht="12.75">
      <c r="E579" s="155"/>
      <c r="F579" s="248"/>
      <c r="G579" s="205"/>
      <c r="H579" s="332"/>
      <c r="I579" s="2"/>
      <c r="J579" s="155"/>
      <c r="K579" s="301"/>
      <c r="L579" s="205"/>
      <c r="M579" s="288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5:24" ht="12.75">
      <c r="E580" s="155"/>
      <c r="F580" s="248"/>
      <c r="G580" s="205"/>
      <c r="H580" s="332"/>
      <c r="I580" s="2"/>
      <c r="J580" s="155"/>
      <c r="K580" s="301"/>
      <c r="L580" s="205"/>
      <c r="M580" s="288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5:24" ht="12.75">
      <c r="E581" s="155"/>
      <c r="F581" s="248"/>
      <c r="G581" s="205"/>
      <c r="H581" s="332"/>
      <c r="I581" s="2"/>
      <c r="J581" s="155"/>
      <c r="K581" s="301"/>
      <c r="L581" s="205"/>
      <c r="M581" s="288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5:24" ht="12.75">
      <c r="E582" s="155"/>
      <c r="F582" s="248"/>
      <c r="G582" s="205"/>
      <c r="H582" s="332"/>
      <c r="I582" s="2"/>
      <c r="J582" s="155"/>
      <c r="K582" s="301"/>
      <c r="L582" s="205"/>
      <c r="M582" s="288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5:24" ht="12.75">
      <c r="E583" s="155"/>
      <c r="F583" s="248"/>
      <c r="G583" s="205"/>
      <c r="H583" s="332"/>
      <c r="I583" s="2"/>
      <c r="J583" s="155"/>
      <c r="K583" s="301"/>
      <c r="L583" s="205"/>
      <c r="M583" s="288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5:24" ht="12.75">
      <c r="E584" s="155"/>
      <c r="F584" s="248"/>
      <c r="G584" s="205"/>
      <c r="H584" s="332"/>
      <c r="I584" s="2"/>
      <c r="J584" s="155"/>
      <c r="K584" s="301"/>
      <c r="L584" s="205"/>
      <c r="M584" s="288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5:24" ht="12.75">
      <c r="E585" s="155"/>
      <c r="F585" s="248"/>
      <c r="G585" s="205"/>
      <c r="H585" s="332"/>
      <c r="I585" s="2"/>
      <c r="J585" s="155"/>
      <c r="K585" s="301"/>
      <c r="L585" s="205"/>
      <c r="M585" s="288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5:24" ht="12.75">
      <c r="E586" s="155"/>
      <c r="F586" s="248"/>
      <c r="G586" s="205"/>
      <c r="H586" s="332"/>
      <c r="I586" s="2"/>
      <c r="J586" s="155"/>
      <c r="K586" s="301"/>
      <c r="L586" s="205"/>
      <c r="M586" s="288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5:24" ht="12.75">
      <c r="E587" s="155"/>
      <c r="F587" s="248"/>
      <c r="G587" s="205"/>
      <c r="H587" s="332"/>
      <c r="I587" s="2"/>
      <c r="J587" s="155"/>
      <c r="K587" s="301"/>
      <c r="L587" s="205"/>
      <c r="M587" s="288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5:24" ht="12.75">
      <c r="E588" s="155"/>
      <c r="F588" s="248"/>
      <c r="G588" s="205"/>
      <c r="H588" s="332"/>
      <c r="I588" s="2"/>
      <c r="J588" s="155"/>
      <c r="K588" s="301"/>
      <c r="L588" s="205"/>
      <c r="M588" s="288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5:24" ht="12.75">
      <c r="E589" s="155"/>
      <c r="F589" s="248"/>
      <c r="G589" s="205"/>
      <c r="H589" s="332"/>
      <c r="I589" s="2"/>
      <c r="J589" s="155"/>
      <c r="K589" s="301"/>
      <c r="L589" s="205"/>
      <c r="M589" s="288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5:24" ht="12.75">
      <c r="E590" s="155"/>
      <c r="F590" s="248"/>
      <c r="G590" s="205"/>
      <c r="H590" s="332"/>
      <c r="I590" s="2"/>
      <c r="J590" s="155"/>
      <c r="K590" s="301"/>
      <c r="L590" s="205"/>
      <c r="M590" s="288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5:24" ht="12.75">
      <c r="E591" s="155"/>
      <c r="F591" s="248"/>
      <c r="G591" s="205"/>
      <c r="H591" s="332"/>
      <c r="I591" s="2"/>
      <c r="J591" s="155"/>
      <c r="K591" s="301"/>
      <c r="L591" s="205"/>
      <c r="M591" s="288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5:24" ht="12.75">
      <c r="E592" s="155"/>
      <c r="F592" s="248"/>
      <c r="G592" s="205"/>
      <c r="H592" s="332"/>
      <c r="I592" s="2"/>
      <c r="J592" s="155"/>
      <c r="K592" s="301"/>
      <c r="L592" s="205"/>
      <c r="M592" s="288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5:24" ht="12.75">
      <c r="E593" s="155"/>
      <c r="F593" s="248"/>
      <c r="G593" s="205"/>
      <c r="H593" s="332"/>
      <c r="I593" s="2"/>
      <c r="J593" s="155"/>
      <c r="K593" s="301"/>
      <c r="L593" s="205"/>
      <c r="M593" s="288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5:24" ht="12.75">
      <c r="E594" s="155"/>
      <c r="F594" s="248"/>
      <c r="G594" s="205"/>
      <c r="H594" s="332"/>
      <c r="I594" s="2"/>
      <c r="J594" s="155"/>
      <c r="K594" s="301"/>
      <c r="L594" s="205"/>
      <c r="M594" s="288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5:24" ht="12.75">
      <c r="E595" s="155"/>
      <c r="F595" s="248"/>
      <c r="G595" s="205"/>
      <c r="H595" s="332"/>
      <c r="I595" s="2"/>
      <c r="J595" s="155"/>
      <c r="K595" s="301"/>
      <c r="L595" s="205"/>
      <c r="M595" s="288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5:24" ht="12.75">
      <c r="E596" s="155"/>
      <c r="F596" s="248"/>
      <c r="G596" s="205"/>
      <c r="H596" s="332"/>
      <c r="I596" s="2"/>
      <c r="J596" s="155"/>
      <c r="K596" s="301"/>
      <c r="L596" s="205"/>
      <c r="M596" s="288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5:24" ht="12.75">
      <c r="E597" s="155"/>
      <c r="F597" s="248"/>
      <c r="G597" s="205"/>
      <c r="H597" s="332"/>
      <c r="I597" s="2"/>
      <c r="J597" s="155"/>
      <c r="K597" s="301"/>
      <c r="L597" s="205"/>
      <c r="M597" s="288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5:24" ht="12.75">
      <c r="E598" s="155"/>
      <c r="F598" s="248"/>
      <c r="G598" s="205"/>
      <c r="H598" s="332"/>
      <c r="I598" s="2"/>
      <c r="J598" s="155"/>
      <c r="K598" s="301"/>
      <c r="L598" s="205"/>
      <c r="M598" s="288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5:24" ht="12.75">
      <c r="E599" s="155"/>
      <c r="F599" s="248"/>
      <c r="G599" s="205"/>
      <c r="H599" s="332"/>
      <c r="I599" s="2"/>
      <c r="J599" s="155"/>
      <c r="K599" s="301"/>
      <c r="L599" s="205"/>
      <c r="M599" s="288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5:24" ht="12.75">
      <c r="E600" s="155"/>
      <c r="F600" s="248"/>
      <c r="G600" s="205"/>
      <c r="H600" s="332"/>
      <c r="I600" s="2"/>
      <c r="J600" s="155"/>
      <c r="K600" s="301"/>
      <c r="L600" s="205"/>
      <c r="M600" s="288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5:24" ht="12.75">
      <c r="E601" s="155"/>
      <c r="F601" s="248"/>
      <c r="G601" s="205"/>
      <c r="H601" s="332"/>
      <c r="I601" s="2"/>
      <c r="J601" s="155"/>
      <c r="K601" s="301"/>
      <c r="L601" s="205"/>
      <c r="M601" s="288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5:24" ht="12.75">
      <c r="E602" s="155"/>
      <c r="F602" s="248"/>
      <c r="G602" s="205"/>
      <c r="H602" s="332"/>
      <c r="I602" s="2"/>
      <c r="J602" s="155"/>
      <c r="K602" s="301"/>
      <c r="L602" s="205"/>
      <c r="M602" s="288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5:24" ht="12.75">
      <c r="E603" s="155"/>
      <c r="F603" s="248"/>
      <c r="G603" s="205"/>
      <c r="H603" s="332"/>
      <c r="I603" s="2"/>
      <c r="J603" s="155"/>
      <c r="K603" s="301"/>
      <c r="L603" s="205"/>
      <c r="M603" s="288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5:24" ht="12.75">
      <c r="E604" s="155"/>
      <c r="F604" s="248"/>
      <c r="G604" s="205"/>
      <c r="H604" s="332"/>
      <c r="I604" s="2"/>
      <c r="J604" s="155"/>
      <c r="K604" s="301"/>
      <c r="L604" s="205"/>
      <c r="M604" s="288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5:24" ht="12.75">
      <c r="E605" s="155"/>
      <c r="F605" s="248"/>
      <c r="G605" s="205"/>
      <c r="H605" s="332"/>
      <c r="I605" s="2"/>
      <c r="J605" s="155"/>
      <c r="K605" s="301"/>
      <c r="L605" s="205"/>
      <c r="M605" s="288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5:24" ht="12.75">
      <c r="E606" s="155"/>
      <c r="F606" s="248"/>
      <c r="G606" s="205"/>
      <c r="H606" s="332"/>
      <c r="I606" s="2"/>
      <c r="J606" s="155"/>
      <c r="K606" s="301"/>
      <c r="L606" s="205"/>
      <c r="M606" s="288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5:24" ht="12.75">
      <c r="E607" s="155"/>
      <c r="F607" s="248"/>
      <c r="G607" s="205"/>
      <c r="H607" s="332"/>
      <c r="I607" s="2"/>
      <c r="J607" s="155"/>
      <c r="K607" s="301"/>
      <c r="L607" s="205"/>
      <c r="M607" s="288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5:24" ht="12.75">
      <c r="E608" s="155"/>
      <c r="F608" s="248"/>
      <c r="G608" s="205"/>
      <c r="H608" s="332"/>
      <c r="I608" s="2"/>
      <c r="J608" s="155"/>
      <c r="K608" s="301"/>
      <c r="L608" s="205"/>
      <c r="M608" s="288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5:24" ht="12.75">
      <c r="E609" s="155"/>
      <c r="F609" s="248"/>
      <c r="G609" s="205"/>
      <c r="H609" s="332"/>
      <c r="I609" s="2"/>
      <c r="J609" s="155"/>
      <c r="K609" s="301"/>
      <c r="L609" s="205"/>
      <c r="M609" s="288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5:24" ht="12.75">
      <c r="E610" s="155"/>
      <c r="F610" s="248"/>
      <c r="G610" s="205"/>
      <c r="H610" s="332"/>
      <c r="I610" s="2"/>
      <c r="J610" s="155"/>
      <c r="K610" s="301"/>
      <c r="L610" s="205"/>
      <c r="M610" s="288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5:24" ht="12.75">
      <c r="E611" s="155"/>
      <c r="F611" s="248"/>
      <c r="G611" s="205"/>
      <c r="H611" s="332"/>
      <c r="I611" s="2"/>
      <c r="J611" s="155"/>
      <c r="K611" s="301"/>
      <c r="L611" s="205"/>
      <c r="M611" s="288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5:24" ht="12.75">
      <c r="E612" s="155"/>
      <c r="F612" s="248"/>
      <c r="G612" s="205"/>
      <c r="H612" s="332"/>
      <c r="I612" s="2"/>
      <c r="J612" s="155"/>
      <c r="K612" s="301"/>
      <c r="L612" s="205"/>
      <c r="M612" s="288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5:24" ht="12.75">
      <c r="E613" s="155"/>
      <c r="F613" s="248"/>
      <c r="G613" s="205"/>
      <c r="H613" s="332"/>
      <c r="I613" s="2"/>
      <c r="J613" s="155"/>
      <c r="K613" s="301"/>
      <c r="L613" s="205"/>
      <c r="M613" s="288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5:24" ht="12.75">
      <c r="E614" s="155"/>
      <c r="F614" s="248"/>
      <c r="G614" s="205"/>
      <c r="H614" s="332"/>
      <c r="I614" s="2"/>
      <c r="J614" s="155"/>
      <c r="K614" s="301"/>
      <c r="L614" s="205"/>
      <c r="M614" s="288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5:24" ht="12.75">
      <c r="E615" s="155"/>
      <c r="F615" s="248"/>
      <c r="G615" s="205"/>
      <c r="H615" s="332"/>
      <c r="I615" s="2"/>
      <c r="J615" s="155"/>
      <c r="K615" s="301"/>
      <c r="L615" s="205"/>
      <c r="M615" s="288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5:24" ht="12.75">
      <c r="E616" s="155"/>
      <c r="F616" s="248"/>
      <c r="G616" s="205"/>
      <c r="H616" s="332"/>
      <c r="I616" s="2"/>
      <c r="J616" s="155"/>
      <c r="K616" s="301"/>
      <c r="L616" s="205"/>
      <c r="M616" s="288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5:24" ht="12.75">
      <c r="E617" s="155"/>
      <c r="F617" s="248"/>
      <c r="G617" s="205"/>
      <c r="H617" s="332"/>
      <c r="I617" s="2"/>
      <c r="J617" s="155"/>
      <c r="K617" s="301"/>
      <c r="L617" s="205"/>
      <c r="M617" s="288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5:24" ht="12.75">
      <c r="E618" s="155"/>
      <c r="F618" s="248"/>
      <c r="G618" s="205"/>
      <c r="H618" s="332"/>
      <c r="I618" s="2"/>
      <c r="J618" s="155"/>
      <c r="K618" s="301"/>
      <c r="L618" s="205"/>
      <c r="M618" s="288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5:24" ht="12.75">
      <c r="E619" s="155"/>
      <c r="F619" s="248"/>
      <c r="G619" s="205"/>
      <c r="H619" s="332"/>
      <c r="I619" s="2"/>
      <c r="J619" s="155"/>
      <c r="K619" s="301"/>
      <c r="L619" s="205"/>
      <c r="M619" s="288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5:24" ht="12.75">
      <c r="E620" s="155"/>
      <c r="F620" s="248"/>
      <c r="G620" s="205"/>
      <c r="H620" s="332"/>
      <c r="I620" s="2"/>
      <c r="J620" s="155"/>
      <c r="K620" s="301"/>
      <c r="L620" s="205"/>
      <c r="M620" s="288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5:24" ht="12.75">
      <c r="E621" s="155"/>
      <c r="F621" s="248"/>
      <c r="G621" s="205"/>
      <c r="H621" s="332"/>
      <c r="I621" s="2"/>
      <c r="J621" s="155"/>
      <c r="K621" s="301"/>
      <c r="L621" s="205"/>
      <c r="M621" s="288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5:24" ht="12.75">
      <c r="E622" s="155"/>
      <c r="F622" s="248"/>
      <c r="G622" s="205"/>
      <c r="H622" s="332"/>
      <c r="I622" s="2"/>
      <c r="J622" s="155"/>
      <c r="K622" s="301"/>
      <c r="L622" s="205"/>
      <c r="M622" s="288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5:24" ht="12.75">
      <c r="E623" s="155"/>
      <c r="F623" s="248"/>
      <c r="G623" s="205"/>
      <c r="H623" s="332"/>
      <c r="I623" s="2"/>
      <c r="J623" s="155"/>
      <c r="K623" s="301"/>
      <c r="L623" s="205"/>
      <c r="M623" s="288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5:24" ht="12.75">
      <c r="E624" s="155"/>
      <c r="F624" s="248"/>
      <c r="G624" s="205"/>
      <c r="H624" s="332"/>
      <c r="I624" s="2"/>
      <c r="J624" s="155"/>
      <c r="K624" s="301"/>
      <c r="L624" s="205"/>
      <c r="M624" s="288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5:24" ht="12.75">
      <c r="E625" s="155"/>
      <c r="F625" s="248"/>
      <c r="G625" s="205"/>
      <c r="H625" s="332"/>
      <c r="I625" s="2"/>
      <c r="J625" s="155"/>
      <c r="K625" s="301"/>
      <c r="L625" s="205"/>
      <c r="M625" s="288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5:24" ht="12.75">
      <c r="E626" s="155"/>
      <c r="F626" s="248"/>
      <c r="G626" s="205"/>
      <c r="H626" s="332"/>
      <c r="I626" s="2"/>
      <c r="J626" s="155"/>
      <c r="K626" s="301"/>
      <c r="L626" s="205"/>
      <c r="M626" s="288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5:24" ht="12.75">
      <c r="E627" s="155"/>
      <c r="F627" s="248"/>
      <c r="G627" s="205"/>
      <c r="H627" s="332"/>
      <c r="I627" s="2"/>
      <c r="J627" s="155"/>
      <c r="K627" s="301"/>
      <c r="L627" s="205"/>
      <c r="M627" s="288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5:24" ht="12.75">
      <c r="E628" s="155"/>
      <c r="F628" s="248"/>
      <c r="G628" s="205"/>
      <c r="H628" s="332"/>
      <c r="I628" s="2"/>
      <c r="J628" s="155"/>
      <c r="K628" s="301"/>
      <c r="L628" s="205"/>
      <c r="M628" s="288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5:24" ht="12.75">
      <c r="E629" s="155"/>
      <c r="F629" s="248"/>
      <c r="G629" s="205"/>
      <c r="H629" s="332"/>
      <c r="I629" s="2"/>
      <c r="J629" s="155"/>
      <c r="K629" s="301"/>
      <c r="L629" s="205"/>
      <c r="M629" s="288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5:24" ht="12.75">
      <c r="E630" s="155"/>
      <c r="F630" s="248"/>
      <c r="G630" s="205"/>
      <c r="H630" s="332"/>
      <c r="I630" s="2"/>
      <c r="J630" s="155"/>
      <c r="K630" s="301"/>
      <c r="L630" s="205"/>
      <c r="M630" s="288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5:24" ht="12.75">
      <c r="E631" s="155"/>
      <c r="F631" s="248"/>
      <c r="G631" s="205"/>
      <c r="H631" s="332"/>
      <c r="I631" s="2"/>
      <c r="J631" s="155"/>
      <c r="K631" s="301"/>
      <c r="L631" s="205"/>
      <c r="M631" s="288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5:24" ht="12.75">
      <c r="E632" s="155"/>
      <c r="F632" s="248"/>
      <c r="G632" s="205"/>
      <c r="H632" s="332"/>
      <c r="I632" s="2"/>
      <c r="J632" s="155"/>
      <c r="K632" s="301"/>
      <c r="L632" s="205"/>
      <c r="M632" s="288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5:24" ht="12.75">
      <c r="E633" s="155"/>
      <c r="F633" s="248"/>
      <c r="G633" s="205"/>
      <c r="H633" s="332"/>
      <c r="I633" s="2"/>
      <c r="J633" s="155"/>
      <c r="K633" s="301"/>
      <c r="L633" s="205"/>
      <c r="M633" s="288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5:24" ht="12.75">
      <c r="E634" s="155"/>
      <c r="F634" s="248"/>
      <c r="G634" s="205"/>
      <c r="H634" s="332"/>
      <c r="I634" s="2"/>
      <c r="J634" s="155"/>
      <c r="K634" s="301"/>
      <c r="L634" s="205"/>
      <c r="M634" s="288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5:24" ht="12.75">
      <c r="E635" s="155"/>
      <c r="F635" s="248"/>
      <c r="G635" s="205"/>
      <c r="H635" s="332"/>
      <c r="I635" s="2"/>
      <c r="J635" s="155"/>
      <c r="K635" s="301"/>
      <c r="L635" s="205"/>
      <c r="M635" s="288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5:24" ht="12.75">
      <c r="E636" s="155"/>
      <c r="F636" s="248"/>
      <c r="G636" s="205"/>
      <c r="H636" s="332"/>
      <c r="I636" s="2"/>
      <c r="J636" s="155"/>
      <c r="K636" s="301"/>
      <c r="L636" s="205"/>
      <c r="M636" s="288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5:24" ht="12.75">
      <c r="E637" s="155"/>
      <c r="F637" s="248"/>
      <c r="G637" s="205"/>
      <c r="H637" s="332"/>
      <c r="I637" s="2"/>
      <c r="J637" s="155"/>
      <c r="K637" s="301"/>
      <c r="L637" s="205"/>
      <c r="M637" s="288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5:24" ht="12.75">
      <c r="E638" s="155"/>
      <c r="F638" s="248"/>
      <c r="G638" s="205"/>
      <c r="H638" s="332"/>
      <c r="I638" s="2"/>
      <c r="J638" s="155"/>
      <c r="K638" s="301"/>
      <c r="L638" s="205"/>
      <c r="M638" s="288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5:24" ht="12.75">
      <c r="E639" s="155"/>
      <c r="F639" s="248"/>
      <c r="G639" s="205"/>
      <c r="H639" s="332"/>
      <c r="I639" s="2"/>
      <c r="J639" s="155"/>
      <c r="K639" s="301"/>
      <c r="L639" s="205"/>
      <c r="M639" s="288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5:24" ht="12.75">
      <c r="E640" s="155"/>
      <c r="F640" s="248"/>
      <c r="G640" s="205"/>
      <c r="H640" s="332"/>
      <c r="I640" s="2"/>
      <c r="J640" s="155"/>
      <c r="K640" s="301"/>
      <c r="L640" s="205"/>
      <c r="M640" s="288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5:24" ht="12.75">
      <c r="E641" s="155"/>
      <c r="F641" s="248"/>
      <c r="G641" s="205"/>
      <c r="H641" s="332"/>
      <c r="I641" s="2"/>
      <c r="J641" s="155"/>
      <c r="K641" s="301"/>
      <c r="L641" s="205"/>
      <c r="M641" s="288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5:24" ht="12.75">
      <c r="E642" s="155"/>
      <c r="F642" s="248"/>
      <c r="G642" s="205"/>
      <c r="H642" s="332"/>
      <c r="I642" s="2"/>
      <c r="J642" s="155"/>
      <c r="K642" s="301"/>
      <c r="L642" s="205"/>
      <c r="M642" s="288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5:24" ht="12.75">
      <c r="E643" s="155"/>
      <c r="F643" s="248"/>
      <c r="G643" s="205"/>
      <c r="H643" s="332"/>
      <c r="I643" s="2"/>
      <c r="J643" s="155"/>
      <c r="K643" s="301"/>
      <c r="L643" s="205"/>
      <c r="M643" s="288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5:24" ht="12.75">
      <c r="E644" s="155"/>
      <c r="F644" s="248"/>
      <c r="G644" s="205"/>
      <c r="H644" s="332"/>
      <c r="I644" s="2"/>
      <c r="J644" s="155"/>
      <c r="K644" s="301"/>
      <c r="L644" s="205"/>
      <c r="M644" s="288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5:24" ht="12.75">
      <c r="E645" s="155"/>
      <c r="F645" s="248"/>
      <c r="G645" s="205"/>
      <c r="H645" s="332"/>
      <c r="I645" s="2"/>
      <c r="J645" s="155"/>
      <c r="K645" s="301"/>
      <c r="L645" s="205"/>
      <c r="M645" s="288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5:24" ht="12.75">
      <c r="E646" s="155"/>
      <c r="F646" s="248"/>
      <c r="G646" s="205"/>
      <c r="H646" s="332"/>
      <c r="I646" s="2"/>
      <c r="J646" s="155"/>
      <c r="K646" s="301"/>
      <c r="L646" s="205"/>
      <c r="M646" s="288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5:24" ht="12.75">
      <c r="E647" s="155"/>
      <c r="F647" s="248"/>
      <c r="G647" s="205"/>
      <c r="H647" s="332"/>
      <c r="I647" s="2"/>
      <c r="J647" s="155"/>
      <c r="K647" s="301"/>
      <c r="L647" s="205"/>
      <c r="M647" s="288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5:24" ht="12.75">
      <c r="E648" s="155"/>
      <c r="F648" s="248"/>
      <c r="G648" s="205"/>
      <c r="H648" s="332"/>
      <c r="I648" s="2"/>
      <c r="J648" s="155"/>
      <c r="K648" s="301"/>
      <c r="L648" s="205"/>
      <c r="M648" s="288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5:24" ht="12.75">
      <c r="E649" s="155"/>
      <c r="F649" s="248"/>
      <c r="G649" s="205"/>
      <c r="H649" s="332"/>
      <c r="I649" s="2"/>
      <c r="J649" s="155"/>
      <c r="K649" s="301"/>
      <c r="L649" s="205"/>
      <c r="M649" s="288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5:24" ht="12.75">
      <c r="E650" s="155"/>
      <c r="F650" s="248"/>
      <c r="G650" s="205"/>
      <c r="H650" s="332"/>
      <c r="I650" s="2"/>
      <c r="J650" s="155"/>
      <c r="K650" s="301"/>
      <c r="L650" s="205"/>
      <c r="M650" s="288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5:24" ht="12.75">
      <c r="E651" s="155"/>
      <c r="F651" s="248"/>
      <c r="G651" s="205"/>
      <c r="H651" s="332"/>
      <c r="I651" s="2"/>
      <c r="J651" s="155"/>
      <c r="K651" s="301"/>
      <c r="L651" s="205"/>
      <c r="M651" s="288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5:24" ht="12.75">
      <c r="E652" s="155"/>
      <c r="F652" s="248"/>
      <c r="G652" s="205"/>
      <c r="H652" s="332"/>
      <c r="I652" s="2"/>
      <c r="J652" s="155"/>
      <c r="K652" s="301"/>
      <c r="L652" s="205"/>
      <c r="M652" s="288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5:24" ht="12.75">
      <c r="E653" s="155"/>
      <c r="F653" s="248"/>
      <c r="G653" s="205"/>
      <c r="H653" s="332"/>
      <c r="I653" s="2"/>
      <c r="J653" s="155"/>
      <c r="K653" s="301"/>
      <c r="L653" s="205"/>
      <c r="M653" s="288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5:24" ht="12.75">
      <c r="E654" s="155"/>
      <c r="F654" s="248"/>
      <c r="G654" s="205"/>
      <c r="H654" s="332"/>
      <c r="I654" s="2"/>
      <c r="J654" s="155"/>
      <c r="K654" s="301"/>
      <c r="L654" s="205"/>
      <c r="M654" s="288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5:24" ht="12.75">
      <c r="E655" s="155"/>
      <c r="F655" s="248"/>
      <c r="G655" s="205"/>
      <c r="H655" s="332"/>
      <c r="I655" s="2"/>
      <c r="J655" s="155"/>
      <c r="K655" s="301"/>
      <c r="L655" s="205"/>
      <c r="M655" s="288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5:24" ht="12.75">
      <c r="E656" s="155"/>
      <c r="F656" s="248"/>
      <c r="G656" s="205"/>
      <c r="H656" s="332"/>
      <c r="I656" s="2"/>
      <c r="J656" s="155"/>
      <c r="K656" s="301"/>
      <c r="L656" s="205"/>
      <c r="M656" s="288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5:24" ht="12.75">
      <c r="E657" s="155"/>
      <c r="F657" s="248"/>
      <c r="G657" s="205"/>
      <c r="H657" s="332"/>
      <c r="I657" s="2"/>
      <c r="J657" s="155"/>
      <c r="K657" s="301"/>
      <c r="L657" s="205"/>
      <c r="M657" s="288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5:24" ht="12.75">
      <c r="E658" s="155"/>
      <c r="F658" s="248"/>
      <c r="G658" s="205"/>
      <c r="H658" s="332"/>
      <c r="I658" s="2"/>
      <c r="J658" s="155"/>
      <c r="K658" s="301"/>
      <c r="L658" s="205"/>
      <c r="M658" s="288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5:24" ht="12.75">
      <c r="E659" s="155"/>
      <c r="F659" s="248"/>
      <c r="G659" s="205"/>
      <c r="H659" s="332"/>
      <c r="I659" s="2"/>
      <c r="J659" s="155"/>
      <c r="K659" s="301"/>
      <c r="L659" s="205"/>
      <c r="M659" s="288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5:24" ht="12.75">
      <c r="E660" s="155"/>
      <c r="F660" s="248"/>
      <c r="G660" s="205"/>
      <c r="H660" s="332"/>
      <c r="I660" s="2"/>
      <c r="J660" s="155"/>
      <c r="K660" s="301"/>
      <c r="L660" s="205"/>
      <c r="M660" s="288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5:24" ht="12.75">
      <c r="E661" s="155"/>
      <c r="F661" s="248"/>
      <c r="G661" s="205"/>
      <c r="H661" s="332"/>
      <c r="I661" s="2"/>
      <c r="J661" s="155"/>
      <c r="K661" s="301"/>
      <c r="L661" s="205"/>
      <c r="M661" s="288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5:24" ht="12.75">
      <c r="E662" s="155"/>
      <c r="F662" s="248"/>
      <c r="G662" s="205"/>
      <c r="H662" s="332"/>
      <c r="I662" s="2"/>
      <c r="J662" s="155"/>
      <c r="K662" s="301"/>
      <c r="L662" s="205"/>
      <c r="M662" s="288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5:24" ht="12.75">
      <c r="E663" s="155"/>
      <c r="F663" s="248"/>
      <c r="G663" s="205"/>
      <c r="H663" s="332"/>
      <c r="I663" s="2"/>
      <c r="J663" s="155"/>
      <c r="K663" s="301"/>
      <c r="L663" s="205"/>
      <c r="M663" s="288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5:24" ht="12.75">
      <c r="E664" s="155"/>
      <c r="F664" s="248"/>
      <c r="G664" s="205"/>
      <c r="H664" s="332"/>
      <c r="I664" s="2"/>
      <c r="J664" s="155"/>
      <c r="K664" s="301"/>
      <c r="L664" s="205"/>
      <c r="M664" s="288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5:24" ht="12.75">
      <c r="E665" s="155"/>
      <c r="F665" s="248"/>
      <c r="G665" s="205"/>
      <c r="H665" s="332"/>
      <c r="I665" s="2"/>
      <c r="J665" s="155"/>
      <c r="K665" s="301"/>
      <c r="L665" s="205"/>
      <c r="M665" s="288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5:24" ht="12.75">
      <c r="E666" s="155"/>
      <c r="F666" s="248"/>
      <c r="G666" s="205"/>
      <c r="H666" s="332"/>
      <c r="I666" s="2"/>
      <c r="J666" s="155"/>
      <c r="K666" s="301"/>
      <c r="L666" s="205"/>
      <c r="M666" s="288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5:24" ht="12.75">
      <c r="E667" s="155"/>
      <c r="F667" s="248"/>
      <c r="G667" s="205"/>
      <c r="H667" s="332"/>
      <c r="I667" s="2"/>
      <c r="J667" s="155"/>
      <c r="K667" s="301"/>
      <c r="L667" s="205"/>
      <c r="M667" s="288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5:24" ht="12.75">
      <c r="E668" s="155"/>
      <c r="F668" s="248"/>
      <c r="G668" s="205"/>
      <c r="H668" s="332"/>
      <c r="I668" s="2"/>
      <c r="J668" s="155"/>
      <c r="K668" s="301"/>
      <c r="L668" s="205"/>
      <c r="M668" s="288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5:24" ht="12.75">
      <c r="E669" s="155"/>
      <c r="F669" s="248"/>
      <c r="G669" s="205"/>
      <c r="H669" s="332"/>
      <c r="I669" s="2"/>
      <c r="J669" s="155"/>
      <c r="K669" s="301"/>
      <c r="L669" s="205"/>
      <c r="M669" s="288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5:24" ht="12.75">
      <c r="E670" s="155"/>
      <c r="F670" s="248"/>
      <c r="G670" s="205"/>
      <c r="H670" s="332"/>
      <c r="I670" s="2"/>
      <c r="J670" s="155"/>
      <c r="K670" s="301"/>
      <c r="L670" s="205"/>
      <c r="M670" s="288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5:24" ht="12.75">
      <c r="E671" s="155"/>
      <c r="F671" s="248"/>
      <c r="G671" s="205"/>
      <c r="H671" s="332"/>
      <c r="I671" s="2"/>
      <c r="J671" s="155"/>
      <c r="K671" s="301"/>
      <c r="L671" s="205"/>
      <c r="M671" s="288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5:24" ht="12.75">
      <c r="E672" s="155"/>
      <c r="F672" s="248"/>
      <c r="G672" s="205"/>
      <c r="H672" s="332"/>
      <c r="I672" s="2"/>
      <c r="J672" s="155"/>
      <c r="K672" s="301"/>
      <c r="L672" s="205"/>
      <c r="M672" s="288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5:24" ht="12.75">
      <c r="E673" s="155"/>
      <c r="F673" s="248"/>
      <c r="G673" s="205"/>
      <c r="H673" s="332"/>
      <c r="I673" s="2"/>
      <c r="J673" s="155"/>
      <c r="K673" s="301"/>
      <c r="L673" s="205"/>
      <c r="M673" s="288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5:24" ht="12.75">
      <c r="E674" s="155"/>
      <c r="F674" s="248"/>
      <c r="G674" s="205"/>
      <c r="H674" s="332"/>
      <c r="I674" s="2"/>
      <c r="J674" s="155"/>
      <c r="K674" s="301"/>
      <c r="L674" s="205"/>
      <c r="M674" s="288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5:24" ht="12.75">
      <c r="E675" s="155"/>
      <c r="F675" s="248"/>
      <c r="G675" s="205"/>
      <c r="H675" s="332"/>
      <c r="I675" s="2"/>
      <c r="J675" s="155"/>
      <c r="K675" s="301"/>
      <c r="L675" s="205"/>
      <c r="M675" s="288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5:24" ht="12.75">
      <c r="E676" s="155"/>
      <c r="F676" s="248"/>
      <c r="G676" s="205"/>
      <c r="H676" s="332"/>
      <c r="I676" s="2"/>
      <c r="J676" s="155"/>
      <c r="K676" s="301"/>
      <c r="L676" s="205"/>
      <c r="M676" s="288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5:24" ht="12.75">
      <c r="E677" s="155"/>
      <c r="F677" s="248"/>
      <c r="G677" s="205"/>
      <c r="H677" s="332"/>
      <c r="I677" s="2"/>
      <c r="J677" s="155"/>
      <c r="K677" s="301"/>
      <c r="L677" s="205"/>
      <c r="M677" s="288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5:24" ht="12.75">
      <c r="E678" s="155"/>
      <c r="F678" s="248"/>
      <c r="G678" s="205"/>
      <c r="H678" s="332"/>
      <c r="I678" s="2"/>
      <c r="J678" s="155"/>
      <c r="K678" s="301"/>
      <c r="L678" s="205"/>
      <c r="M678" s="288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5:24" ht="12.75">
      <c r="E679" s="155"/>
      <c r="F679" s="248"/>
      <c r="G679" s="205"/>
      <c r="H679" s="332"/>
      <c r="I679" s="2"/>
      <c r="J679" s="155"/>
      <c r="K679" s="301"/>
      <c r="L679" s="205"/>
      <c r="M679" s="288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5:24" ht="12.75">
      <c r="E680" s="155"/>
      <c r="F680" s="248"/>
      <c r="G680" s="205"/>
      <c r="H680" s="332"/>
      <c r="I680" s="2"/>
      <c r="J680" s="155"/>
      <c r="K680" s="301"/>
      <c r="L680" s="205"/>
      <c r="M680" s="288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5:24" ht="12.75">
      <c r="E681" s="155"/>
      <c r="F681" s="248"/>
      <c r="G681" s="205"/>
      <c r="H681" s="332"/>
      <c r="I681" s="2"/>
      <c r="J681" s="155"/>
      <c r="K681" s="301"/>
      <c r="L681" s="205"/>
      <c r="M681" s="288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5:24" ht="12.75">
      <c r="E682" s="155"/>
      <c r="F682" s="248"/>
      <c r="G682" s="205"/>
      <c r="H682" s="332"/>
      <c r="I682" s="2"/>
      <c r="J682" s="155"/>
      <c r="K682" s="301"/>
      <c r="L682" s="205"/>
      <c r="M682" s="288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5:24" ht="12.75">
      <c r="E683" s="155"/>
      <c r="F683" s="248"/>
      <c r="G683" s="205"/>
      <c r="H683" s="332"/>
      <c r="I683" s="2"/>
      <c r="J683" s="155"/>
      <c r="K683" s="301"/>
      <c r="L683" s="205"/>
      <c r="M683" s="288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5:24" ht="12.75">
      <c r="E684" s="155"/>
      <c r="F684" s="248"/>
      <c r="G684" s="205"/>
      <c r="H684" s="332"/>
      <c r="I684" s="2"/>
      <c r="J684" s="155"/>
      <c r="K684" s="301"/>
      <c r="L684" s="205"/>
      <c r="M684" s="288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5:24" ht="12.75">
      <c r="E685" s="155"/>
      <c r="F685" s="248"/>
      <c r="G685" s="205"/>
      <c r="H685" s="332"/>
      <c r="I685" s="2"/>
      <c r="J685" s="155"/>
      <c r="K685" s="301"/>
      <c r="L685" s="205"/>
      <c r="M685" s="288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5:24" ht="12.75">
      <c r="E686" s="155"/>
      <c r="F686" s="248"/>
      <c r="G686" s="205"/>
      <c r="H686" s="332"/>
      <c r="I686" s="2"/>
      <c r="J686" s="155"/>
      <c r="K686" s="301"/>
      <c r="L686" s="205"/>
      <c r="M686" s="288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5:24" ht="12.75">
      <c r="E687" s="155"/>
      <c r="F687" s="248"/>
      <c r="G687" s="205"/>
      <c r="H687" s="332"/>
      <c r="I687" s="2"/>
      <c r="J687" s="155"/>
      <c r="K687" s="301"/>
      <c r="L687" s="205"/>
      <c r="M687" s="288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5:24" ht="12.75">
      <c r="E688" s="155"/>
      <c r="F688" s="248"/>
      <c r="G688" s="205"/>
      <c r="H688" s="332"/>
      <c r="I688" s="2"/>
      <c r="J688" s="155"/>
      <c r="K688" s="301"/>
      <c r="L688" s="205"/>
      <c r="M688" s="288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5:24" ht="12.75">
      <c r="E689" s="155"/>
      <c r="F689" s="248"/>
      <c r="G689" s="205"/>
      <c r="H689" s="332"/>
      <c r="I689" s="2"/>
      <c r="J689" s="155"/>
      <c r="K689" s="301"/>
      <c r="L689" s="205"/>
      <c r="M689" s="288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5:24" ht="12.75">
      <c r="E690" s="155"/>
      <c r="F690" s="248"/>
      <c r="G690" s="205"/>
      <c r="H690" s="332"/>
      <c r="I690" s="2"/>
      <c r="J690" s="155"/>
      <c r="K690" s="301"/>
      <c r="L690" s="205"/>
      <c r="M690" s="288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5:24" ht="12.75">
      <c r="E691" s="155"/>
      <c r="F691" s="248"/>
      <c r="G691" s="205"/>
      <c r="H691" s="332"/>
      <c r="I691" s="2"/>
      <c r="J691" s="155"/>
      <c r="K691" s="301"/>
      <c r="L691" s="205"/>
      <c r="M691" s="288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5:24" ht="12.75">
      <c r="E692" s="155"/>
      <c r="F692" s="248"/>
      <c r="G692" s="205"/>
      <c r="H692" s="332"/>
      <c r="I692" s="2"/>
      <c r="J692" s="155"/>
      <c r="K692" s="301"/>
      <c r="L692" s="205"/>
      <c r="M692" s="288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5:24" ht="12.75">
      <c r="E693" s="155"/>
      <c r="F693" s="248"/>
      <c r="G693" s="205"/>
      <c r="H693" s="332"/>
      <c r="I693" s="2"/>
      <c r="J693" s="155"/>
      <c r="K693" s="301"/>
      <c r="L693" s="205"/>
      <c r="M693" s="288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5:24" ht="12.75">
      <c r="E694" s="155"/>
      <c r="F694" s="248"/>
      <c r="G694" s="205"/>
      <c r="H694" s="332"/>
      <c r="I694" s="2"/>
      <c r="J694" s="155"/>
      <c r="K694" s="301"/>
      <c r="L694" s="205"/>
      <c r="M694" s="288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5:24" ht="12.75">
      <c r="E695" s="155"/>
      <c r="F695" s="248"/>
      <c r="G695" s="205"/>
      <c r="H695" s="332"/>
      <c r="I695" s="2"/>
      <c r="J695" s="155"/>
      <c r="K695" s="301"/>
      <c r="L695" s="205"/>
      <c r="M695" s="288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5:24" ht="12.75">
      <c r="E696" s="155"/>
      <c r="F696" s="248"/>
      <c r="G696" s="205"/>
      <c r="H696" s="332"/>
      <c r="I696" s="2"/>
      <c r="J696" s="155"/>
      <c r="K696" s="301"/>
      <c r="L696" s="205"/>
      <c r="M696" s="288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5:24" ht="12.75">
      <c r="E697" s="155"/>
      <c r="F697" s="248"/>
      <c r="G697" s="205"/>
      <c r="H697" s="332"/>
      <c r="I697" s="2"/>
      <c r="J697" s="155"/>
      <c r="K697" s="301"/>
      <c r="L697" s="205"/>
      <c r="M697" s="288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5:24" ht="12.75">
      <c r="E698" s="155"/>
      <c r="F698" s="248"/>
      <c r="G698" s="205"/>
      <c r="H698" s="332"/>
      <c r="I698" s="2"/>
      <c r="J698" s="155"/>
      <c r="K698" s="301"/>
      <c r="L698" s="205"/>
      <c r="M698" s="288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5:24" ht="12.75">
      <c r="E699" s="155"/>
      <c r="F699" s="248"/>
      <c r="G699" s="205"/>
      <c r="H699" s="332"/>
      <c r="I699" s="2"/>
      <c r="J699" s="155"/>
      <c r="K699" s="301"/>
      <c r="L699" s="205"/>
      <c r="M699" s="288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5:24" ht="12.75">
      <c r="E700" s="155"/>
      <c r="F700" s="248"/>
      <c r="G700" s="205"/>
      <c r="H700" s="332"/>
      <c r="I700" s="2"/>
      <c r="J700" s="155"/>
      <c r="K700" s="301"/>
      <c r="L700" s="205"/>
      <c r="M700" s="288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5:24" ht="12.75">
      <c r="E701" s="155"/>
      <c r="F701" s="248"/>
      <c r="G701" s="205"/>
      <c r="H701" s="332"/>
      <c r="I701" s="2"/>
      <c r="J701" s="155"/>
      <c r="K701" s="301"/>
      <c r="L701" s="205"/>
      <c r="M701" s="288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5:24" ht="12.75">
      <c r="E702" s="155"/>
      <c r="F702" s="248"/>
      <c r="G702" s="205"/>
      <c r="H702" s="332"/>
      <c r="I702" s="2"/>
      <c r="J702" s="155"/>
      <c r="K702" s="301"/>
      <c r="L702" s="205"/>
      <c r="M702" s="288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5:24" ht="12.75">
      <c r="E703" s="155"/>
      <c r="F703" s="248"/>
      <c r="G703" s="205"/>
      <c r="H703" s="332"/>
      <c r="I703" s="2"/>
      <c r="J703" s="155"/>
      <c r="K703" s="301"/>
      <c r="L703" s="205"/>
      <c r="M703" s="288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5:24" ht="12.75">
      <c r="E704" s="155"/>
      <c r="F704" s="248"/>
      <c r="G704" s="205"/>
      <c r="H704" s="332"/>
      <c r="I704" s="2"/>
      <c r="J704" s="155"/>
      <c r="K704" s="301"/>
      <c r="L704" s="205"/>
      <c r="M704" s="288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5:24" ht="12.75">
      <c r="E705" s="155"/>
      <c r="F705" s="248"/>
      <c r="G705" s="205"/>
      <c r="H705" s="332"/>
      <c r="I705" s="2"/>
      <c r="J705" s="155"/>
      <c r="K705" s="301"/>
      <c r="L705" s="205"/>
      <c r="M705" s="288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5:24" ht="12.75">
      <c r="E706" s="155"/>
      <c r="F706" s="248"/>
      <c r="G706" s="205"/>
      <c r="H706" s="332"/>
      <c r="I706" s="2"/>
      <c r="J706" s="155"/>
      <c r="K706" s="301"/>
      <c r="L706" s="205"/>
      <c r="M706" s="288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5:24" ht="12.75">
      <c r="E707" s="155"/>
      <c r="F707" s="248"/>
      <c r="G707" s="205"/>
      <c r="H707" s="332"/>
      <c r="I707" s="2"/>
      <c r="J707" s="155"/>
      <c r="K707" s="301"/>
      <c r="L707" s="205"/>
      <c r="M707" s="288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5:24" ht="12.75">
      <c r="E708" s="155"/>
      <c r="F708" s="248"/>
      <c r="G708" s="205"/>
      <c r="H708" s="332"/>
      <c r="I708" s="2"/>
      <c r="J708" s="155"/>
      <c r="K708" s="301"/>
      <c r="L708" s="205"/>
      <c r="M708" s="288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5:24" ht="12.75">
      <c r="E709" s="155"/>
      <c r="F709" s="248"/>
      <c r="G709" s="205"/>
      <c r="H709" s="332"/>
      <c r="I709" s="2"/>
      <c r="J709" s="155"/>
      <c r="K709" s="301"/>
      <c r="L709" s="205"/>
      <c r="M709" s="288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5:24" ht="12.75">
      <c r="E710" s="155"/>
      <c r="F710" s="248"/>
      <c r="G710" s="205"/>
      <c r="H710" s="332"/>
      <c r="I710" s="2"/>
      <c r="J710" s="155"/>
      <c r="K710" s="301"/>
      <c r="L710" s="205"/>
      <c r="M710" s="288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5:24" ht="12.75">
      <c r="E711" s="155"/>
      <c r="F711" s="248"/>
      <c r="G711" s="205"/>
      <c r="H711" s="332"/>
      <c r="I711" s="2"/>
      <c r="J711" s="155"/>
      <c r="K711" s="301"/>
      <c r="L711" s="205"/>
      <c r="M711" s="288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5:24" ht="12.75">
      <c r="E712" s="155"/>
      <c r="F712" s="248"/>
      <c r="G712" s="205"/>
      <c r="H712" s="332"/>
      <c r="I712" s="2"/>
      <c r="J712" s="155"/>
      <c r="K712" s="301"/>
      <c r="L712" s="205"/>
      <c r="M712" s="288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5:24" ht="12.75">
      <c r="E713" s="155"/>
      <c r="F713" s="248"/>
      <c r="G713" s="205"/>
      <c r="H713" s="332"/>
      <c r="I713" s="2"/>
      <c r="J713" s="155"/>
      <c r="K713" s="301"/>
      <c r="L713" s="205"/>
      <c r="M713" s="288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5:24" ht="12.75">
      <c r="E714" s="155"/>
      <c r="F714" s="248"/>
      <c r="G714" s="205"/>
      <c r="H714" s="332"/>
      <c r="I714" s="2"/>
      <c r="J714" s="155"/>
      <c r="K714" s="301"/>
      <c r="L714" s="205"/>
      <c r="M714" s="288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5:24" ht="12.75">
      <c r="E715" s="155"/>
      <c r="F715" s="248"/>
      <c r="G715" s="205"/>
      <c r="H715" s="332"/>
      <c r="I715" s="2"/>
      <c r="J715" s="155"/>
      <c r="K715" s="301"/>
      <c r="L715" s="205"/>
      <c r="M715" s="288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5:24" ht="12.75">
      <c r="E716" s="155"/>
      <c r="F716" s="248"/>
      <c r="G716" s="205"/>
      <c r="H716" s="332"/>
      <c r="I716" s="2"/>
      <c r="J716" s="155"/>
      <c r="K716" s="301"/>
      <c r="L716" s="205"/>
      <c r="M716" s="288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5:24" ht="12.75">
      <c r="E717" s="155"/>
      <c r="F717" s="248"/>
      <c r="G717" s="205"/>
      <c r="H717" s="332"/>
      <c r="I717" s="2"/>
      <c r="J717" s="155"/>
      <c r="K717" s="301"/>
      <c r="L717" s="205"/>
      <c r="M717" s="288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5:24" ht="12.75">
      <c r="E718" s="155"/>
      <c r="F718" s="248"/>
      <c r="G718" s="205"/>
      <c r="H718" s="332"/>
      <c r="I718" s="2"/>
      <c r="J718" s="155"/>
      <c r="K718" s="301"/>
      <c r="L718" s="205"/>
      <c r="M718" s="288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5:24" ht="12.75">
      <c r="E719" s="155"/>
      <c r="F719" s="248"/>
      <c r="G719" s="205"/>
      <c r="H719" s="332"/>
      <c r="I719" s="2"/>
      <c r="J719" s="155"/>
      <c r="K719" s="301"/>
      <c r="L719" s="205"/>
      <c r="M719" s="288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5:24" ht="12.75">
      <c r="E720" s="155"/>
      <c r="F720" s="248"/>
      <c r="G720" s="205"/>
      <c r="H720" s="332"/>
      <c r="I720" s="2"/>
      <c r="J720" s="155"/>
      <c r="K720" s="301"/>
      <c r="L720" s="205"/>
      <c r="M720" s="288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5:24" ht="12.75">
      <c r="E721" s="155"/>
      <c r="F721" s="248"/>
      <c r="G721" s="205"/>
      <c r="H721" s="332"/>
      <c r="I721" s="2"/>
      <c r="J721" s="155"/>
      <c r="K721" s="301"/>
      <c r="L721" s="205"/>
      <c r="M721" s="288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5:24" ht="12.75">
      <c r="E722" s="155"/>
      <c r="F722" s="248"/>
      <c r="G722" s="205"/>
      <c r="H722" s="332"/>
      <c r="I722" s="2"/>
      <c r="J722" s="155"/>
      <c r="K722" s="301"/>
      <c r="L722" s="205"/>
      <c r="M722" s="288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5:24" ht="12.75">
      <c r="E723" s="155"/>
      <c r="F723" s="248"/>
      <c r="G723" s="205"/>
      <c r="H723" s="332"/>
      <c r="I723" s="2"/>
      <c r="J723" s="155"/>
      <c r="K723" s="301"/>
      <c r="L723" s="205"/>
      <c r="M723" s="288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5:24" ht="12.75">
      <c r="E724" s="155"/>
      <c r="F724" s="248"/>
      <c r="G724" s="205"/>
      <c r="H724" s="332"/>
      <c r="I724" s="2"/>
      <c r="J724" s="155"/>
      <c r="K724" s="301"/>
      <c r="L724" s="205"/>
      <c r="M724" s="288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5:24" ht="12.75">
      <c r="E725" s="155"/>
      <c r="F725" s="248"/>
      <c r="G725" s="205"/>
      <c r="H725" s="332"/>
      <c r="I725" s="2"/>
      <c r="J725" s="155"/>
      <c r="K725" s="301"/>
      <c r="L725" s="205"/>
      <c r="M725" s="288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5:24" ht="12.75">
      <c r="E726" s="155"/>
      <c r="F726" s="248"/>
      <c r="G726" s="205"/>
      <c r="H726" s="332"/>
      <c r="I726" s="2"/>
      <c r="J726" s="155"/>
      <c r="K726" s="301"/>
      <c r="L726" s="205"/>
      <c r="M726" s="288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5:24" ht="12.75">
      <c r="E727" s="155"/>
      <c r="F727" s="248"/>
      <c r="G727" s="205"/>
      <c r="H727" s="332"/>
      <c r="I727" s="2"/>
      <c r="J727" s="155"/>
      <c r="K727" s="301"/>
      <c r="L727" s="205"/>
      <c r="M727" s="288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5:24" ht="12.75">
      <c r="E728" s="155"/>
      <c r="F728" s="248"/>
      <c r="G728" s="205"/>
      <c r="H728" s="332"/>
      <c r="I728" s="2"/>
      <c r="J728" s="155"/>
      <c r="K728" s="301"/>
      <c r="L728" s="205"/>
      <c r="M728" s="288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5:24" ht="12.75">
      <c r="E729" s="155"/>
      <c r="F729" s="248"/>
      <c r="G729" s="205"/>
      <c r="H729" s="332"/>
      <c r="I729" s="2"/>
      <c r="J729" s="155"/>
      <c r="K729" s="301"/>
      <c r="L729" s="205"/>
      <c r="M729" s="288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5:24" ht="12.75">
      <c r="E730" s="155"/>
      <c r="F730" s="248"/>
      <c r="G730" s="205"/>
      <c r="H730" s="332"/>
      <c r="I730" s="2"/>
      <c r="J730" s="155"/>
      <c r="K730" s="301"/>
      <c r="L730" s="205"/>
      <c r="M730" s="288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5:24" ht="12.75">
      <c r="E731" s="155"/>
      <c r="F731" s="248"/>
      <c r="G731" s="205"/>
      <c r="H731" s="332"/>
      <c r="I731" s="2"/>
      <c r="J731" s="155"/>
      <c r="K731" s="301"/>
      <c r="L731" s="205"/>
      <c r="M731" s="288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5:24" ht="12.75">
      <c r="E732" s="155"/>
      <c r="F732" s="248"/>
      <c r="G732" s="205"/>
      <c r="H732" s="332"/>
      <c r="I732" s="2"/>
      <c r="J732" s="155"/>
      <c r="K732" s="301"/>
      <c r="L732" s="205"/>
      <c r="M732" s="288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5:24" ht="12.75">
      <c r="E733" s="155"/>
      <c r="F733" s="248"/>
      <c r="G733" s="205"/>
      <c r="H733" s="332"/>
      <c r="I733" s="2"/>
      <c r="J733" s="155"/>
      <c r="K733" s="301"/>
      <c r="L733" s="205"/>
      <c r="M733" s="288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5:24" ht="12.75">
      <c r="E734" s="155"/>
      <c r="F734" s="248"/>
      <c r="G734" s="205"/>
      <c r="H734" s="332"/>
      <c r="I734" s="2"/>
      <c r="J734" s="155"/>
      <c r="K734" s="301"/>
      <c r="L734" s="205"/>
      <c r="M734" s="288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5:24" ht="12.75">
      <c r="E735" s="155"/>
      <c r="F735" s="248"/>
      <c r="G735" s="205"/>
      <c r="H735" s="332"/>
      <c r="I735" s="2"/>
      <c r="J735" s="155"/>
      <c r="K735" s="301"/>
      <c r="L735" s="205"/>
      <c r="M735" s="288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5:24" ht="12.75">
      <c r="E736" s="155"/>
      <c r="F736" s="248"/>
      <c r="G736" s="205"/>
      <c r="H736" s="332"/>
      <c r="I736" s="2"/>
      <c r="J736" s="155"/>
      <c r="K736" s="301"/>
      <c r="L736" s="205"/>
      <c r="M736" s="288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5:24" ht="12.75">
      <c r="E737" s="155"/>
      <c r="F737" s="248"/>
      <c r="G737" s="205"/>
      <c r="H737" s="332"/>
      <c r="I737" s="2"/>
      <c r="J737" s="155"/>
      <c r="K737" s="301"/>
      <c r="L737" s="205"/>
      <c r="M737" s="288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5:24" ht="12.75">
      <c r="E738" s="155"/>
      <c r="F738" s="248"/>
      <c r="G738" s="205"/>
      <c r="H738" s="332"/>
      <c r="I738" s="2"/>
      <c r="J738" s="155"/>
      <c r="K738" s="301"/>
      <c r="L738" s="205"/>
      <c r="M738" s="288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5:24" ht="12.75">
      <c r="E739" s="155"/>
      <c r="F739" s="248"/>
      <c r="G739" s="205"/>
      <c r="H739" s="332"/>
      <c r="I739" s="2"/>
      <c r="J739" s="155"/>
      <c r="K739" s="301"/>
      <c r="L739" s="205"/>
      <c r="M739" s="288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5:24" ht="12.75">
      <c r="E740" s="155"/>
      <c r="F740" s="248"/>
      <c r="G740" s="205"/>
      <c r="H740" s="332"/>
      <c r="I740" s="2"/>
      <c r="J740" s="155"/>
      <c r="K740" s="301"/>
      <c r="L740" s="205"/>
      <c r="M740" s="288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5:24" ht="12.75">
      <c r="E741" s="155"/>
      <c r="F741" s="248"/>
      <c r="G741" s="205"/>
      <c r="H741" s="332"/>
      <c r="I741" s="2"/>
      <c r="J741" s="155"/>
      <c r="K741" s="301"/>
      <c r="L741" s="205"/>
      <c r="M741" s="288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5:24" ht="12.75">
      <c r="E742" s="155"/>
      <c r="F742" s="248"/>
      <c r="G742" s="205"/>
      <c r="H742" s="332"/>
      <c r="I742" s="2"/>
      <c r="J742" s="155"/>
      <c r="K742" s="301"/>
      <c r="L742" s="205"/>
      <c r="M742" s="288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5:24" ht="12.75">
      <c r="E743" s="155"/>
      <c r="F743" s="248"/>
      <c r="G743" s="205"/>
      <c r="H743" s="332"/>
      <c r="I743" s="2"/>
      <c r="J743" s="155"/>
      <c r="K743" s="301"/>
      <c r="L743" s="205"/>
      <c r="M743" s="288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5:24" ht="12.75">
      <c r="E744" s="155"/>
      <c r="F744" s="248"/>
      <c r="G744" s="205"/>
      <c r="H744" s="332"/>
      <c r="I744" s="2"/>
      <c r="J744" s="155"/>
      <c r="K744" s="301"/>
      <c r="L744" s="205"/>
      <c r="M744" s="288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5:24" ht="12.75">
      <c r="E745" s="155"/>
      <c r="F745" s="248"/>
      <c r="G745" s="205"/>
      <c r="H745" s="332"/>
      <c r="I745" s="2"/>
      <c r="J745" s="155"/>
      <c r="K745" s="301"/>
      <c r="L745" s="205"/>
      <c r="M745" s="288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5:24" ht="12.75">
      <c r="E746" s="155"/>
      <c r="F746" s="248"/>
      <c r="G746" s="205"/>
      <c r="H746" s="332"/>
      <c r="I746" s="2"/>
      <c r="J746" s="155"/>
      <c r="K746" s="301"/>
      <c r="L746" s="205"/>
      <c r="M746" s="288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5:24" ht="12.75">
      <c r="E747" s="155"/>
      <c r="F747" s="248"/>
      <c r="G747" s="205"/>
      <c r="H747" s="332"/>
      <c r="I747" s="2"/>
      <c r="J747" s="155"/>
      <c r="K747" s="301"/>
      <c r="L747" s="205"/>
      <c r="M747" s="288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5:24" ht="12.75">
      <c r="E748" s="155"/>
      <c r="F748" s="248"/>
      <c r="G748" s="205"/>
      <c r="H748" s="332"/>
      <c r="I748" s="2"/>
      <c r="J748" s="155"/>
      <c r="K748" s="301"/>
      <c r="L748" s="205"/>
      <c r="M748" s="288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5:24" ht="12.75">
      <c r="E749" s="155"/>
      <c r="F749" s="248"/>
      <c r="G749" s="205"/>
      <c r="H749" s="332"/>
      <c r="I749" s="2"/>
      <c r="J749" s="155"/>
      <c r="K749" s="301"/>
      <c r="L749" s="205"/>
      <c r="M749" s="288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5:24" ht="12.75">
      <c r="E750" s="155"/>
      <c r="F750" s="248"/>
      <c r="G750" s="205"/>
      <c r="H750" s="332"/>
      <c r="I750" s="2"/>
      <c r="J750" s="155"/>
      <c r="K750" s="301"/>
      <c r="L750" s="205"/>
      <c r="M750" s="288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5:24" ht="12.75">
      <c r="E751" s="155"/>
      <c r="F751" s="248"/>
      <c r="G751" s="205"/>
      <c r="H751" s="332"/>
      <c r="I751" s="2"/>
      <c r="J751" s="155"/>
      <c r="K751" s="301"/>
      <c r="L751" s="205"/>
      <c r="M751" s="288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5:24" ht="12.75">
      <c r="E752" s="155"/>
      <c r="F752" s="248"/>
      <c r="G752" s="205"/>
      <c r="H752" s="332"/>
      <c r="I752" s="2"/>
      <c r="J752" s="155"/>
      <c r="K752" s="301"/>
      <c r="L752" s="205"/>
      <c r="M752" s="288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5:24" ht="12.75">
      <c r="E753" s="155"/>
      <c r="F753" s="248"/>
      <c r="G753" s="205"/>
      <c r="H753" s="332"/>
      <c r="I753" s="2"/>
      <c r="J753" s="155"/>
      <c r="K753" s="301"/>
      <c r="L753" s="205"/>
      <c r="M753" s="288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5:24" ht="12.75">
      <c r="E754" s="155"/>
      <c r="F754" s="248"/>
      <c r="G754" s="205"/>
      <c r="H754" s="332"/>
      <c r="I754" s="2"/>
      <c r="J754" s="155"/>
      <c r="K754" s="301"/>
      <c r="L754" s="205"/>
      <c r="M754" s="288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5:24" ht="12.75">
      <c r="E755" s="155"/>
      <c r="F755" s="248"/>
      <c r="G755" s="205"/>
      <c r="H755" s="332"/>
      <c r="I755" s="2"/>
      <c r="J755" s="155"/>
      <c r="K755" s="301"/>
      <c r="L755" s="205"/>
      <c r="M755" s="288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5:24" ht="12.75">
      <c r="E756" s="155"/>
      <c r="F756" s="248"/>
      <c r="G756" s="205"/>
      <c r="H756" s="332"/>
      <c r="I756" s="2"/>
      <c r="J756" s="155"/>
      <c r="K756" s="301"/>
      <c r="L756" s="205"/>
      <c r="M756" s="288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5:24" ht="12.75">
      <c r="E757" s="155"/>
      <c r="F757" s="248"/>
      <c r="G757" s="205"/>
      <c r="H757" s="332"/>
      <c r="I757" s="2"/>
      <c r="J757" s="155"/>
      <c r="K757" s="301"/>
      <c r="L757" s="205"/>
      <c r="M757" s="288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5:24" ht="12.75">
      <c r="E758" s="155"/>
      <c r="F758" s="248"/>
      <c r="G758" s="205"/>
      <c r="H758" s="332"/>
      <c r="I758" s="2"/>
      <c r="J758" s="155"/>
      <c r="K758" s="301"/>
      <c r="L758" s="205"/>
      <c r="M758" s="288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5:24" ht="12.75">
      <c r="E759" s="155"/>
      <c r="F759" s="248"/>
      <c r="G759" s="205"/>
      <c r="H759" s="332"/>
      <c r="I759" s="2"/>
      <c r="J759" s="155"/>
      <c r="K759" s="301"/>
      <c r="L759" s="205"/>
      <c r="M759" s="288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5:24" ht="12.75">
      <c r="E760" s="155"/>
      <c r="F760" s="248"/>
      <c r="G760" s="205"/>
      <c r="H760" s="332"/>
      <c r="I760" s="2"/>
      <c r="J760" s="155"/>
      <c r="K760" s="301"/>
      <c r="L760" s="205"/>
      <c r="M760" s="288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5:24" ht="12.75">
      <c r="E761" s="155"/>
      <c r="F761" s="248"/>
      <c r="G761" s="205"/>
      <c r="H761" s="332"/>
      <c r="I761" s="2"/>
      <c r="J761" s="155"/>
      <c r="K761" s="301"/>
      <c r="L761" s="205"/>
      <c r="M761" s="288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5:24" ht="12.75">
      <c r="E762" s="155"/>
      <c r="F762" s="248"/>
      <c r="G762" s="205"/>
      <c r="H762" s="332"/>
      <c r="I762" s="2"/>
      <c r="J762" s="155"/>
      <c r="K762" s="301"/>
      <c r="L762" s="205"/>
      <c r="M762" s="288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5:24" ht="12.75">
      <c r="E763" s="155"/>
      <c r="F763" s="248"/>
      <c r="G763" s="205"/>
      <c r="H763" s="332"/>
      <c r="I763" s="2"/>
      <c r="J763" s="155"/>
      <c r="K763" s="301"/>
      <c r="L763" s="205"/>
      <c r="M763" s="288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5:24" ht="12.75">
      <c r="E764" s="155"/>
      <c r="F764" s="248"/>
      <c r="G764" s="205"/>
      <c r="H764" s="332"/>
      <c r="I764" s="2"/>
      <c r="J764" s="155"/>
      <c r="K764" s="301"/>
      <c r="L764" s="205"/>
      <c r="M764" s="288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5:24" ht="12.75">
      <c r="E765" s="155"/>
      <c r="F765" s="248"/>
      <c r="G765" s="205"/>
      <c r="H765" s="332"/>
      <c r="I765" s="2"/>
      <c r="J765" s="155"/>
      <c r="K765" s="301"/>
      <c r="L765" s="205"/>
      <c r="M765" s="288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5:24" ht="12.75">
      <c r="E766" s="155"/>
      <c r="F766" s="248"/>
      <c r="G766" s="205"/>
      <c r="H766" s="332"/>
      <c r="I766" s="2"/>
      <c r="J766" s="155"/>
      <c r="K766" s="301"/>
      <c r="L766" s="205"/>
      <c r="M766" s="288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5:24" ht="12.75">
      <c r="E767" s="155"/>
      <c r="F767" s="248"/>
      <c r="G767" s="205"/>
      <c r="H767" s="332"/>
      <c r="I767" s="2"/>
      <c r="J767" s="155"/>
      <c r="K767" s="301"/>
      <c r="L767" s="205"/>
      <c r="M767" s="288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5:24" ht="12.75">
      <c r="E768" s="155"/>
      <c r="F768" s="248"/>
      <c r="G768" s="205"/>
      <c r="H768" s="332"/>
      <c r="I768" s="2"/>
      <c r="J768" s="155"/>
      <c r="K768" s="301"/>
      <c r="L768" s="205"/>
      <c r="M768" s="288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5:24" ht="12.75">
      <c r="E769" s="155"/>
      <c r="F769" s="248"/>
      <c r="G769" s="205"/>
      <c r="H769" s="332"/>
      <c r="I769" s="2"/>
      <c r="J769" s="155"/>
      <c r="K769" s="301"/>
      <c r="L769" s="205"/>
      <c r="M769" s="288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5:24" ht="12.75">
      <c r="E770" s="155"/>
      <c r="F770" s="248"/>
      <c r="G770" s="205"/>
      <c r="H770" s="332"/>
      <c r="I770" s="2"/>
      <c r="J770" s="155"/>
      <c r="K770" s="301"/>
      <c r="L770" s="205"/>
      <c r="M770" s="288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5:24" ht="12.75">
      <c r="E771" s="155"/>
      <c r="F771" s="248"/>
      <c r="G771" s="205"/>
      <c r="H771" s="332"/>
      <c r="I771" s="2"/>
      <c r="J771" s="155"/>
      <c r="K771" s="301"/>
      <c r="L771" s="205"/>
      <c r="M771" s="288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5:24" ht="12.75">
      <c r="E772" s="155"/>
      <c r="F772" s="248"/>
      <c r="G772" s="205"/>
      <c r="H772" s="332"/>
      <c r="I772" s="2"/>
      <c r="J772" s="155"/>
      <c r="K772" s="301"/>
      <c r="L772" s="205"/>
      <c r="M772" s="288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5:24" ht="12.75">
      <c r="E773" s="155"/>
      <c r="F773" s="248"/>
      <c r="G773" s="205"/>
      <c r="H773" s="332"/>
      <c r="I773" s="2"/>
      <c r="J773" s="155"/>
      <c r="K773" s="301"/>
      <c r="L773" s="205"/>
      <c r="M773" s="288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5:24" ht="12.75">
      <c r="E774" s="155"/>
      <c r="F774" s="248"/>
      <c r="G774" s="205"/>
      <c r="H774" s="332"/>
      <c r="I774" s="2"/>
      <c r="J774" s="155"/>
      <c r="K774" s="301"/>
      <c r="L774" s="205"/>
      <c r="M774" s="288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5:24" ht="12.75">
      <c r="E775" s="155"/>
      <c r="F775" s="248"/>
      <c r="G775" s="205"/>
      <c r="H775" s="332"/>
      <c r="I775" s="2"/>
      <c r="J775" s="155"/>
      <c r="K775" s="301"/>
      <c r="L775" s="205"/>
      <c r="M775" s="288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5:24" ht="12.75">
      <c r="E776" s="155"/>
      <c r="F776" s="248"/>
      <c r="G776" s="205"/>
      <c r="H776" s="332"/>
      <c r="I776" s="2"/>
      <c r="J776" s="155"/>
      <c r="K776" s="301"/>
      <c r="L776" s="205"/>
      <c r="M776" s="288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5:24" ht="12.75">
      <c r="E777" s="155"/>
      <c r="F777" s="248"/>
      <c r="G777" s="205"/>
      <c r="H777" s="332"/>
      <c r="I777" s="2"/>
      <c r="J777" s="155"/>
      <c r="K777" s="301"/>
      <c r="L777" s="205"/>
      <c r="M777" s="288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5:24" ht="12.75">
      <c r="E778" s="155"/>
      <c r="F778" s="248"/>
      <c r="G778" s="205"/>
      <c r="H778" s="332"/>
      <c r="I778" s="2"/>
      <c r="J778" s="155"/>
      <c r="K778" s="301"/>
      <c r="L778" s="205"/>
      <c r="M778" s="288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5:24" ht="12.75">
      <c r="E779" s="155"/>
      <c r="F779" s="248"/>
      <c r="G779" s="205"/>
      <c r="H779" s="332"/>
      <c r="I779" s="2"/>
      <c r="J779" s="155"/>
      <c r="K779" s="301"/>
      <c r="L779" s="205"/>
      <c r="M779" s="288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5:24" ht="12.75">
      <c r="E780" s="155"/>
      <c r="F780" s="248"/>
      <c r="G780" s="205"/>
      <c r="H780" s="332"/>
      <c r="I780" s="2"/>
      <c r="J780" s="155"/>
      <c r="K780" s="301"/>
      <c r="L780" s="205"/>
      <c r="M780" s="288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5:24" ht="12.75">
      <c r="E781" s="155"/>
      <c r="F781" s="248"/>
      <c r="G781" s="205"/>
      <c r="H781" s="332"/>
      <c r="I781" s="2"/>
      <c r="J781" s="155"/>
      <c r="K781" s="301"/>
      <c r="L781" s="205"/>
      <c r="M781" s="288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5:24" ht="12.75">
      <c r="E782" s="155"/>
      <c r="F782" s="248"/>
      <c r="G782" s="205"/>
      <c r="H782" s="332"/>
      <c r="I782" s="2"/>
      <c r="J782" s="155"/>
      <c r="K782" s="301"/>
      <c r="L782" s="205"/>
      <c r="M782" s="288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5:24" ht="12.75">
      <c r="E783" s="155"/>
      <c r="F783" s="248"/>
      <c r="G783" s="205"/>
      <c r="H783" s="332"/>
      <c r="I783" s="2"/>
      <c r="J783" s="155"/>
      <c r="K783" s="301"/>
      <c r="L783" s="205"/>
      <c r="M783" s="288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5:24" ht="12.75">
      <c r="E784" s="155"/>
      <c r="F784" s="248"/>
      <c r="G784" s="205"/>
      <c r="H784" s="332"/>
      <c r="I784" s="2"/>
      <c r="J784" s="155"/>
      <c r="K784" s="301"/>
      <c r="L784" s="205"/>
      <c r="M784" s="288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5:24" ht="12.75">
      <c r="E785" s="155"/>
      <c r="F785" s="248"/>
      <c r="G785" s="205"/>
      <c r="H785" s="332"/>
      <c r="I785" s="2"/>
      <c r="J785" s="155"/>
      <c r="K785" s="301"/>
      <c r="L785" s="205"/>
      <c r="M785" s="288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5:24" ht="12.75">
      <c r="E786" s="155"/>
      <c r="F786" s="248"/>
      <c r="G786" s="205"/>
      <c r="H786" s="332"/>
      <c r="I786" s="2"/>
      <c r="J786" s="155"/>
      <c r="K786" s="301"/>
      <c r="L786" s="205"/>
      <c r="M786" s="288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5:24" ht="12.75">
      <c r="E787" s="155"/>
      <c r="F787" s="248"/>
      <c r="G787" s="205"/>
      <c r="H787" s="332"/>
      <c r="I787" s="2"/>
      <c r="J787" s="155"/>
      <c r="K787" s="301"/>
      <c r="L787" s="205"/>
      <c r="M787" s="288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5:24" ht="12.75">
      <c r="E788" s="155"/>
      <c r="F788" s="248"/>
      <c r="G788" s="205"/>
      <c r="H788" s="332"/>
      <c r="I788" s="2"/>
      <c r="J788" s="155"/>
      <c r="K788" s="301"/>
      <c r="L788" s="205"/>
      <c r="M788" s="288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5:24" ht="12.75">
      <c r="E789" s="155"/>
      <c r="F789" s="248"/>
      <c r="G789" s="205"/>
      <c r="H789" s="332"/>
      <c r="I789" s="2"/>
      <c r="J789" s="155"/>
      <c r="K789" s="301"/>
      <c r="L789" s="205"/>
      <c r="M789" s="288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5:24" ht="12.75">
      <c r="E790" s="155"/>
      <c r="F790" s="248"/>
      <c r="G790" s="205"/>
      <c r="H790" s="332"/>
      <c r="I790" s="2"/>
      <c r="J790" s="155"/>
      <c r="K790" s="301"/>
      <c r="L790" s="205"/>
      <c r="M790" s="288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5:24" ht="12.75">
      <c r="E791" s="155"/>
      <c r="F791" s="248"/>
      <c r="G791" s="205"/>
      <c r="H791" s="332"/>
      <c r="I791" s="2"/>
      <c r="J791" s="155"/>
      <c r="K791" s="301"/>
      <c r="L791" s="205"/>
      <c r="M791" s="288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5:24" ht="12.75">
      <c r="E792" s="155"/>
      <c r="F792" s="248"/>
      <c r="G792" s="205"/>
      <c r="H792" s="332"/>
      <c r="I792" s="2"/>
      <c r="J792" s="155"/>
      <c r="K792" s="301"/>
      <c r="L792" s="205"/>
      <c r="M792" s="288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5:24" ht="12.75">
      <c r="E793" s="155"/>
      <c r="F793" s="248"/>
      <c r="G793" s="205"/>
      <c r="H793" s="332"/>
      <c r="I793" s="2"/>
      <c r="J793" s="155"/>
      <c r="K793" s="301"/>
      <c r="L793" s="205"/>
      <c r="M793" s="288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5:24" ht="12.75">
      <c r="E794" s="155"/>
      <c r="F794" s="248"/>
      <c r="G794" s="205"/>
      <c r="H794" s="332"/>
      <c r="I794" s="2"/>
      <c r="J794" s="155"/>
      <c r="K794" s="301"/>
      <c r="L794" s="205"/>
      <c r="M794" s="288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5:24" ht="12.75">
      <c r="E795" s="155"/>
      <c r="F795" s="248"/>
      <c r="G795" s="205"/>
      <c r="H795" s="332"/>
      <c r="I795" s="2"/>
      <c r="J795" s="155"/>
      <c r="K795" s="301"/>
      <c r="L795" s="205"/>
      <c r="M795" s="288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5:24" ht="12.75">
      <c r="E796" s="155"/>
      <c r="F796" s="248"/>
      <c r="G796" s="205"/>
      <c r="H796" s="332"/>
      <c r="I796" s="2"/>
      <c r="J796" s="155"/>
      <c r="K796" s="301"/>
      <c r="L796" s="205"/>
      <c r="M796" s="288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5:24" ht="12.75">
      <c r="E797" s="155"/>
      <c r="F797" s="248"/>
      <c r="G797" s="205"/>
      <c r="H797" s="332"/>
      <c r="I797" s="2"/>
      <c r="J797" s="155"/>
      <c r="K797" s="301"/>
      <c r="L797" s="205"/>
      <c r="M797" s="288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5:24" ht="12.75">
      <c r="E798" s="155"/>
      <c r="F798" s="248"/>
      <c r="G798" s="205"/>
      <c r="H798" s="332"/>
      <c r="I798" s="2"/>
      <c r="J798" s="155"/>
      <c r="K798" s="301"/>
      <c r="L798" s="205"/>
      <c r="M798" s="288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5:24" ht="12.75">
      <c r="E799" s="155"/>
      <c r="F799" s="248"/>
      <c r="G799" s="205"/>
      <c r="H799" s="332"/>
      <c r="I799" s="2"/>
      <c r="J799" s="155"/>
      <c r="K799" s="301"/>
      <c r="L799" s="205"/>
      <c r="M799" s="288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5:24" ht="12.75">
      <c r="E800" s="155"/>
      <c r="F800" s="248"/>
      <c r="G800" s="205"/>
      <c r="H800" s="332"/>
      <c r="I800" s="2"/>
      <c r="J800" s="155"/>
      <c r="K800" s="301"/>
      <c r="L800" s="205"/>
      <c r="M800" s="288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5:24" ht="12.75">
      <c r="E801" s="155"/>
      <c r="F801" s="248"/>
      <c r="G801" s="205"/>
      <c r="H801" s="332"/>
      <c r="I801" s="2"/>
      <c r="J801" s="155"/>
      <c r="K801" s="301"/>
      <c r="L801" s="205"/>
      <c r="M801" s="288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5:24" ht="12.75">
      <c r="E802" s="155"/>
      <c r="F802" s="248"/>
      <c r="G802" s="205"/>
      <c r="H802" s="332"/>
      <c r="I802" s="2"/>
      <c r="J802" s="155"/>
      <c r="K802" s="301"/>
      <c r="L802" s="205"/>
      <c r="M802" s="288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5:24" ht="12.75">
      <c r="E803" s="155"/>
      <c r="F803" s="248"/>
      <c r="G803" s="205"/>
      <c r="H803" s="332"/>
      <c r="I803" s="2"/>
      <c r="J803" s="155"/>
      <c r="K803" s="301"/>
      <c r="L803" s="205"/>
      <c r="M803" s="288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5:24" ht="12.75">
      <c r="E804" s="155"/>
      <c r="F804" s="248"/>
      <c r="G804" s="205"/>
      <c r="H804" s="332"/>
      <c r="I804" s="2"/>
      <c r="J804" s="155"/>
      <c r="K804" s="301"/>
      <c r="L804" s="205"/>
      <c r="M804" s="288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5:24" ht="12.75">
      <c r="E805" s="155"/>
      <c r="F805" s="248"/>
      <c r="G805" s="205"/>
      <c r="H805" s="332"/>
      <c r="I805" s="2"/>
      <c r="J805" s="155"/>
      <c r="K805" s="301"/>
      <c r="L805" s="205"/>
      <c r="M805" s="288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5:24" ht="12.75">
      <c r="E806" s="155"/>
      <c r="F806" s="248"/>
      <c r="G806" s="205"/>
      <c r="H806" s="332"/>
      <c r="I806" s="2"/>
      <c r="J806" s="155"/>
      <c r="K806" s="301"/>
      <c r="L806" s="205"/>
      <c r="M806" s="288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5:24" ht="12.75">
      <c r="E807" s="155"/>
      <c r="F807" s="248"/>
      <c r="G807" s="205"/>
      <c r="H807" s="332"/>
      <c r="I807" s="2"/>
      <c r="J807" s="155"/>
      <c r="K807" s="301"/>
      <c r="L807" s="205"/>
      <c r="M807" s="288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5:24" ht="12.75">
      <c r="E808" s="155"/>
      <c r="F808" s="248"/>
      <c r="G808" s="205"/>
      <c r="H808" s="332"/>
      <c r="I808" s="2"/>
      <c r="J808" s="155"/>
      <c r="K808" s="301"/>
      <c r="L808" s="205"/>
      <c r="M808" s="288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5:24" ht="12.75">
      <c r="E809" s="155"/>
      <c r="F809" s="248"/>
      <c r="G809" s="205"/>
      <c r="H809" s="332"/>
      <c r="I809" s="2"/>
      <c r="J809" s="155"/>
      <c r="K809" s="301"/>
      <c r="L809" s="205"/>
      <c r="M809" s="288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5:24" ht="12.75">
      <c r="E810" s="155"/>
      <c r="F810" s="248"/>
      <c r="G810" s="205"/>
      <c r="H810" s="332"/>
      <c r="I810" s="2"/>
      <c r="J810" s="155"/>
      <c r="K810" s="301"/>
      <c r="L810" s="205"/>
      <c r="M810" s="288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5:24" ht="12.75">
      <c r="E811" s="155"/>
      <c r="F811" s="248"/>
      <c r="G811" s="205"/>
      <c r="H811" s="332"/>
      <c r="I811" s="2"/>
      <c r="J811" s="155"/>
      <c r="K811" s="301"/>
      <c r="L811" s="205"/>
      <c r="M811" s="288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5:24" ht="12.75">
      <c r="E812" s="155"/>
      <c r="F812" s="248"/>
      <c r="G812" s="205"/>
      <c r="H812" s="332"/>
      <c r="I812" s="2"/>
      <c r="J812" s="155"/>
      <c r="K812" s="301"/>
      <c r="L812" s="205"/>
      <c r="M812" s="288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5:24" ht="12.75">
      <c r="E813" s="155"/>
      <c r="F813" s="248"/>
      <c r="G813" s="205"/>
      <c r="H813" s="332"/>
      <c r="I813" s="2"/>
      <c r="J813" s="155"/>
      <c r="K813" s="301"/>
      <c r="L813" s="205"/>
      <c r="M813" s="288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5:24" ht="12.75">
      <c r="E814" s="155"/>
      <c r="F814" s="248"/>
      <c r="G814" s="205"/>
      <c r="H814" s="332"/>
      <c r="I814" s="2"/>
      <c r="J814" s="155"/>
      <c r="K814" s="301"/>
      <c r="L814" s="205"/>
      <c r="M814" s="288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5:24" ht="12.75">
      <c r="E815" s="155"/>
      <c r="F815" s="248"/>
      <c r="G815" s="205"/>
      <c r="H815" s="332"/>
      <c r="I815" s="2"/>
      <c r="J815" s="155"/>
      <c r="K815" s="301"/>
      <c r="L815" s="205"/>
      <c r="M815" s="288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5:24" ht="12.75">
      <c r="E816" s="155"/>
      <c r="F816" s="248"/>
      <c r="G816" s="205"/>
      <c r="H816" s="332"/>
      <c r="I816" s="2"/>
      <c r="J816" s="155"/>
      <c r="K816" s="301"/>
      <c r="L816" s="205"/>
      <c r="M816" s="288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5:24" ht="12.75">
      <c r="E817" s="155"/>
      <c r="F817" s="248"/>
      <c r="G817" s="205"/>
      <c r="H817" s="332"/>
      <c r="I817" s="2"/>
      <c r="J817" s="155"/>
      <c r="K817" s="301"/>
      <c r="L817" s="205"/>
      <c r="M817" s="288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5:24" ht="12.75">
      <c r="E818" s="155"/>
      <c r="F818" s="248"/>
      <c r="G818" s="205"/>
      <c r="H818" s="332"/>
      <c r="I818" s="2"/>
      <c r="J818" s="155"/>
      <c r="K818" s="301"/>
      <c r="L818" s="205"/>
      <c r="M818" s="288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5:24" ht="12.75">
      <c r="E819" s="155"/>
      <c r="F819" s="248"/>
      <c r="G819" s="205"/>
      <c r="H819" s="332"/>
      <c r="I819" s="2"/>
      <c r="J819" s="155"/>
      <c r="K819" s="301"/>
      <c r="L819" s="205"/>
      <c r="M819" s="288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5:24" ht="12.75">
      <c r="E820" s="155"/>
      <c r="F820" s="248"/>
      <c r="G820" s="205"/>
      <c r="H820" s="332"/>
      <c r="I820" s="2"/>
      <c r="J820" s="155"/>
      <c r="K820" s="301"/>
      <c r="L820" s="205"/>
      <c r="M820" s="288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5:24" ht="12.75">
      <c r="E821" s="155"/>
      <c r="F821" s="248"/>
      <c r="G821" s="205"/>
      <c r="H821" s="332"/>
      <c r="I821" s="2"/>
      <c r="J821" s="155"/>
      <c r="K821" s="301"/>
      <c r="L821" s="205"/>
      <c r="M821" s="288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5:24" ht="12.75">
      <c r="E822" s="155"/>
      <c r="F822" s="248"/>
      <c r="G822" s="205"/>
      <c r="H822" s="332"/>
      <c r="I822" s="2"/>
      <c r="J822" s="155"/>
      <c r="K822" s="301"/>
      <c r="L822" s="205"/>
      <c r="M822" s="288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5:24" ht="12.75">
      <c r="E823" s="155"/>
      <c r="F823" s="248"/>
      <c r="G823" s="205"/>
      <c r="H823" s="332"/>
      <c r="I823" s="2"/>
      <c r="J823" s="155"/>
      <c r="K823" s="301"/>
      <c r="L823" s="205"/>
      <c r="M823" s="288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5:24" ht="12.75">
      <c r="E824" s="155"/>
      <c r="F824" s="248"/>
      <c r="G824" s="205"/>
      <c r="H824" s="332"/>
      <c r="I824" s="2"/>
      <c r="J824" s="155"/>
      <c r="K824" s="301"/>
      <c r="L824" s="205"/>
      <c r="M824" s="288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5:24" ht="12.75">
      <c r="E825" s="155"/>
      <c r="F825" s="248"/>
      <c r="G825" s="205"/>
      <c r="H825" s="332"/>
      <c r="I825" s="2"/>
      <c r="J825" s="155"/>
      <c r="K825" s="301"/>
      <c r="L825" s="205"/>
      <c r="M825" s="288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5:24" ht="12.75">
      <c r="E826" s="155"/>
      <c r="F826" s="248"/>
      <c r="G826" s="205"/>
      <c r="H826" s="332"/>
      <c r="I826" s="2"/>
      <c r="J826" s="155"/>
      <c r="K826" s="301"/>
      <c r="L826" s="205"/>
      <c r="M826" s="288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5:24" ht="12.75">
      <c r="E827" s="155"/>
      <c r="F827" s="248"/>
      <c r="G827" s="205"/>
      <c r="H827" s="332"/>
      <c r="I827" s="2"/>
      <c r="J827" s="155"/>
      <c r="K827" s="301"/>
      <c r="L827" s="205"/>
      <c r="M827" s="288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5:24" ht="12.75">
      <c r="E828" s="155"/>
      <c r="F828" s="248"/>
      <c r="G828" s="205"/>
      <c r="H828" s="332"/>
      <c r="I828" s="2"/>
      <c r="J828" s="155"/>
      <c r="K828" s="301"/>
      <c r="L828" s="205"/>
      <c r="M828" s="288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5:24" ht="12.75">
      <c r="E829" s="155"/>
      <c r="F829" s="248"/>
      <c r="G829" s="205"/>
      <c r="H829" s="332"/>
      <c r="I829" s="2"/>
      <c r="J829" s="155"/>
      <c r="K829" s="301"/>
      <c r="L829" s="205"/>
      <c r="M829" s="288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5:24" ht="12.75">
      <c r="E830" s="155"/>
      <c r="F830" s="248"/>
      <c r="G830" s="205"/>
      <c r="H830" s="332"/>
      <c r="I830" s="2"/>
      <c r="J830" s="155"/>
      <c r="K830" s="301"/>
      <c r="L830" s="205"/>
      <c r="M830" s="288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5:24" ht="12.75">
      <c r="E831" s="155"/>
      <c r="F831" s="248"/>
      <c r="G831" s="205"/>
      <c r="H831" s="332"/>
      <c r="I831" s="2"/>
      <c r="J831" s="155"/>
      <c r="K831" s="301"/>
      <c r="L831" s="205"/>
      <c r="M831" s="288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5:24" ht="12.75">
      <c r="E832" s="155"/>
      <c r="F832" s="248"/>
      <c r="G832" s="205"/>
      <c r="H832" s="332"/>
      <c r="I832" s="2"/>
      <c r="J832" s="155"/>
      <c r="K832" s="301"/>
      <c r="L832" s="205"/>
      <c r="M832" s="288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5:24" ht="12.75">
      <c r="E833" s="155"/>
      <c r="F833" s="248"/>
      <c r="G833" s="205"/>
      <c r="H833" s="332"/>
      <c r="I833" s="2"/>
      <c r="J833" s="155"/>
      <c r="K833" s="301"/>
      <c r="L833" s="205"/>
      <c r="M833" s="288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5:24" ht="12.75">
      <c r="E834" s="155"/>
      <c r="F834" s="248"/>
      <c r="G834" s="205"/>
      <c r="H834" s="332"/>
      <c r="I834" s="2"/>
      <c r="J834" s="155"/>
      <c r="K834" s="301"/>
      <c r="L834" s="205"/>
      <c r="M834" s="288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5:24" ht="12.75">
      <c r="E835" s="155"/>
      <c r="F835" s="248"/>
      <c r="G835" s="205"/>
      <c r="H835" s="332"/>
      <c r="I835" s="2"/>
      <c r="J835" s="155"/>
      <c r="K835" s="301"/>
      <c r="L835" s="205"/>
      <c r="M835" s="288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5:24" ht="12.75">
      <c r="E836" s="155"/>
      <c r="F836" s="248"/>
      <c r="G836" s="205"/>
      <c r="H836" s="332"/>
      <c r="I836" s="2"/>
      <c r="J836" s="155"/>
      <c r="K836" s="301"/>
      <c r="L836" s="205"/>
      <c r="M836" s="288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5:24" ht="12.75">
      <c r="E837" s="155"/>
      <c r="F837" s="248"/>
      <c r="G837" s="205"/>
      <c r="H837" s="332"/>
      <c r="I837" s="2"/>
      <c r="J837" s="155"/>
      <c r="K837" s="301"/>
      <c r="L837" s="205"/>
      <c r="M837" s="288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5:24" ht="12.75">
      <c r="E838" s="155"/>
      <c r="F838" s="248"/>
      <c r="G838" s="205"/>
      <c r="H838" s="332"/>
      <c r="I838" s="2"/>
      <c r="J838" s="155"/>
      <c r="K838" s="301"/>
      <c r="L838" s="205"/>
      <c r="M838" s="288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5:24" ht="12.75">
      <c r="E839" s="155"/>
      <c r="F839" s="248"/>
      <c r="G839" s="205"/>
      <c r="H839" s="332"/>
      <c r="I839" s="2"/>
      <c r="J839" s="155"/>
      <c r="K839" s="301"/>
      <c r="L839" s="205"/>
      <c r="M839" s="288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5:24" ht="12.75">
      <c r="E840" s="155"/>
      <c r="F840" s="248"/>
      <c r="G840" s="205"/>
      <c r="H840" s="332"/>
      <c r="I840" s="2"/>
      <c r="J840" s="155"/>
      <c r="K840" s="301"/>
      <c r="L840" s="205"/>
      <c r="M840" s="288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5:24" ht="12.75">
      <c r="E841" s="155"/>
      <c r="F841" s="248"/>
      <c r="G841" s="205"/>
      <c r="H841" s="332"/>
      <c r="I841" s="2"/>
      <c r="J841" s="155"/>
      <c r="K841" s="301"/>
      <c r="L841" s="205"/>
      <c r="M841" s="288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5:24" ht="12.75">
      <c r="E842" s="155"/>
      <c r="F842" s="248"/>
      <c r="G842" s="205"/>
      <c r="H842" s="332"/>
      <c r="I842" s="2"/>
      <c r="J842" s="155"/>
      <c r="K842" s="301"/>
      <c r="L842" s="205"/>
      <c r="M842" s="288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5:24" ht="12.75">
      <c r="E843" s="155"/>
      <c r="F843" s="248"/>
      <c r="G843" s="205"/>
      <c r="H843" s="332"/>
      <c r="I843" s="2"/>
      <c r="J843" s="155"/>
      <c r="K843" s="301"/>
      <c r="L843" s="205"/>
      <c r="M843" s="288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5:24" ht="12.75">
      <c r="E844" s="155"/>
      <c r="F844" s="248"/>
      <c r="G844" s="205"/>
      <c r="H844" s="332"/>
      <c r="I844" s="2"/>
      <c r="J844" s="155"/>
      <c r="K844" s="301"/>
      <c r="L844" s="205"/>
      <c r="M844" s="288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5:24" ht="12.75">
      <c r="E845" s="155"/>
      <c r="F845" s="248"/>
      <c r="G845" s="205"/>
      <c r="H845" s="332"/>
      <c r="I845" s="2"/>
      <c r="J845" s="155"/>
      <c r="K845" s="301"/>
      <c r="L845" s="205"/>
      <c r="M845" s="288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5:24" ht="12.75">
      <c r="E846" s="155"/>
      <c r="F846" s="248"/>
      <c r="G846" s="205"/>
      <c r="H846" s="332"/>
      <c r="I846" s="2"/>
      <c r="J846" s="155"/>
      <c r="K846" s="301"/>
      <c r="L846" s="205"/>
      <c r="M846" s="288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5:24" ht="12.75">
      <c r="E847" s="155"/>
      <c r="F847" s="248"/>
      <c r="G847" s="205"/>
      <c r="H847" s="332"/>
      <c r="I847" s="2"/>
      <c r="J847" s="155"/>
      <c r="K847" s="301"/>
      <c r="L847" s="205"/>
      <c r="M847" s="288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5:24" ht="12.75">
      <c r="E848" s="155"/>
      <c r="F848" s="248"/>
      <c r="G848" s="205"/>
      <c r="H848" s="332"/>
      <c r="I848" s="2"/>
      <c r="J848" s="155"/>
      <c r="K848" s="301"/>
      <c r="L848" s="205"/>
      <c r="M848" s="288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5:24" ht="12.75">
      <c r="E849" s="155"/>
      <c r="F849" s="248"/>
      <c r="G849" s="205"/>
      <c r="H849" s="332"/>
      <c r="I849" s="2"/>
      <c r="J849" s="155"/>
      <c r="K849" s="301"/>
      <c r="L849" s="205"/>
      <c r="M849" s="288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5:24" ht="12.75">
      <c r="E850" s="155"/>
      <c r="F850" s="248"/>
      <c r="G850" s="205"/>
      <c r="H850" s="332"/>
      <c r="I850" s="2"/>
      <c r="J850" s="155"/>
      <c r="K850" s="301"/>
      <c r="L850" s="205"/>
      <c r="M850" s="288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5:24" ht="12.75">
      <c r="E851" s="155"/>
      <c r="F851" s="248"/>
      <c r="G851" s="205"/>
      <c r="H851" s="332"/>
      <c r="I851" s="2"/>
      <c r="J851" s="155"/>
      <c r="K851" s="301"/>
      <c r="L851" s="205"/>
      <c r="M851" s="288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5:24" ht="12.75">
      <c r="E852" s="155"/>
      <c r="F852" s="248"/>
      <c r="G852" s="205"/>
      <c r="H852" s="332"/>
      <c r="I852" s="2"/>
      <c r="J852" s="155"/>
      <c r="K852" s="301"/>
      <c r="L852" s="205"/>
      <c r="M852" s="288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5:24" ht="12.75">
      <c r="E853" s="155"/>
      <c r="F853" s="248"/>
      <c r="G853" s="205"/>
      <c r="H853" s="332"/>
      <c r="I853" s="2"/>
      <c r="J853" s="155"/>
      <c r="K853" s="301"/>
      <c r="L853" s="205"/>
      <c r="M853" s="288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5:24" ht="12.75">
      <c r="E854" s="155"/>
      <c r="F854" s="248"/>
      <c r="G854" s="205"/>
      <c r="H854" s="332"/>
      <c r="I854" s="2"/>
      <c r="J854" s="155"/>
      <c r="K854" s="301"/>
      <c r="L854" s="205"/>
      <c r="M854" s="288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5:24" ht="12.75">
      <c r="E855" s="155"/>
      <c r="F855" s="248"/>
      <c r="G855" s="205"/>
      <c r="H855" s="332"/>
      <c r="I855" s="2"/>
      <c r="J855" s="155"/>
      <c r="K855" s="301"/>
      <c r="L855" s="205"/>
      <c r="M855" s="288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5:24" ht="12.75">
      <c r="E856" s="155"/>
      <c r="F856" s="248"/>
      <c r="G856" s="205"/>
      <c r="H856" s="332"/>
      <c r="I856" s="2"/>
      <c r="J856" s="155"/>
      <c r="K856" s="301"/>
      <c r="L856" s="205"/>
      <c r="M856" s="288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5:24" ht="12.75">
      <c r="E857" s="155"/>
      <c r="F857" s="248"/>
      <c r="G857" s="205"/>
      <c r="H857" s="332"/>
      <c r="I857" s="2"/>
      <c r="J857" s="155"/>
      <c r="K857" s="301"/>
      <c r="L857" s="205"/>
      <c r="M857" s="288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5:24" ht="12.75">
      <c r="E858" s="155"/>
      <c r="F858" s="248"/>
      <c r="G858" s="205"/>
      <c r="H858" s="332"/>
      <c r="I858" s="2"/>
      <c r="J858" s="155"/>
      <c r="K858" s="301"/>
      <c r="L858" s="205"/>
      <c r="M858" s="288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5:24" ht="12.75">
      <c r="E859" s="155"/>
      <c r="F859" s="248"/>
      <c r="G859" s="205"/>
      <c r="H859" s="332"/>
      <c r="I859" s="2"/>
      <c r="J859" s="155"/>
      <c r="K859" s="301"/>
      <c r="L859" s="205"/>
      <c r="M859" s="288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5:24" ht="12.75">
      <c r="E860" s="155"/>
      <c r="F860" s="248"/>
      <c r="G860" s="205"/>
      <c r="H860" s="332"/>
      <c r="I860" s="2"/>
      <c r="J860" s="155"/>
      <c r="K860" s="301"/>
      <c r="L860" s="205"/>
      <c r="M860" s="288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5:24" ht="12.75">
      <c r="E861" s="155"/>
      <c r="F861" s="248"/>
      <c r="G861" s="205"/>
      <c r="H861" s="332"/>
      <c r="I861" s="2"/>
      <c r="J861" s="155"/>
      <c r="K861" s="301"/>
      <c r="L861" s="205"/>
      <c r="M861" s="288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5:24" ht="12.75">
      <c r="E862" s="155"/>
      <c r="F862" s="248"/>
      <c r="G862" s="205"/>
      <c r="H862" s="332"/>
      <c r="I862" s="2"/>
      <c r="J862" s="155"/>
      <c r="K862" s="301"/>
      <c r="L862" s="205"/>
      <c r="M862" s="288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5:24" ht="12.75">
      <c r="E863" s="155"/>
      <c r="F863" s="248"/>
      <c r="G863" s="205"/>
      <c r="H863" s="332"/>
      <c r="I863" s="2"/>
      <c r="J863" s="155"/>
      <c r="K863" s="301"/>
      <c r="L863" s="205"/>
      <c r="M863" s="288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5:24" ht="12.75">
      <c r="E864" s="155"/>
      <c r="F864" s="248"/>
      <c r="G864" s="205"/>
      <c r="H864" s="332"/>
      <c r="I864" s="2"/>
      <c r="J864" s="155"/>
      <c r="K864" s="301"/>
      <c r="L864" s="205"/>
      <c r="M864" s="288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5:24" ht="12.75">
      <c r="E865" s="155"/>
      <c r="F865" s="248"/>
      <c r="G865" s="205"/>
      <c r="H865" s="332"/>
      <c r="I865" s="2"/>
      <c r="J865" s="155"/>
      <c r="K865" s="301"/>
      <c r="L865" s="205"/>
      <c r="M865" s="288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5:24" ht="12.75">
      <c r="E866" s="155"/>
      <c r="F866" s="248"/>
      <c r="G866" s="205"/>
      <c r="H866" s="332"/>
      <c r="I866" s="2"/>
      <c r="J866" s="155"/>
      <c r="K866" s="301"/>
      <c r="L866" s="205"/>
      <c r="M866" s="288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5:24" ht="12.75">
      <c r="E867" s="155"/>
      <c r="F867" s="248"/>
      <c r="G867" s="205"/>
      <c r="H867" s="332"/>
      <c r="I867" s="2"/>
      <c r="J867" s="155"/>
      <c r="K867" s="301"/>
      <c r="L867" s="205"/>
      <c r="M867" s="288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5:24" ht="12.75">
      <c r="E868" s="155"/>
      <c r="F868" s="248"/>
      <c r="G868" s="205"/>
      <c r="H868" s="332"/>
      <c r="I868" s="2"/>
      <c r="J868" s="155"/>
      <c r="K868" s="301"/>
      <c r="L868" s="205"/>
      <c r="M868" s="288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5:24" ht="12.75">
      <c r="E869" s="155"/>
      <c r="F869" s="248"/>
      <c r="G869" s="205"/>
      <c r="H869" s="332"/>
      <c r="I869" s="2"/>
      <c r="J869" s="155"/>
      <c r="K869" s="301"/>
      <c r="L869" s="205"/>
      <c r="M869" s="288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5:24" ht="12.75">
      <c r="E870" s="155"/>
      <c r="F870" s="248"/>
      <c r="G870" s="205"/>
      <c r="H870" s="332"/>
      <c r="I870" s="2"/>
      <c r="J870" s="155"/>
      <c r="K870" s="301"/>
      <c r="L870" s="205"/>
      <c r="M870" s="288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5:24" ht="12.75">
      <c r="E871" s="155"/>
      <c r="F871" s="248"/>
      <c r="G871" s="205"/>
      <c r="H871" s="332"/>
      <c r="I871" s="2"/>
      <c r="J871" s="155"/>
      <c r="K871" s="301"/>
      <c r="L871" s="205"/>
      <c r="M871" s="288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5:24" ht="12.75">
      <c r="E872" s="155"/>
      <c r="F872" s="248"/>
      <c r="G872" s="205"/>
      <c r="H872" s="332"/>
      <c r="I872" s="2"/>
      <c r="J872" s="155"/>
      <c r="K872" s="301"/>
      <c r="L872" s="205"/>
      <c r="M872" s="288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5:24" ht="12.75">
      <c r="E873" s="155"/>
      <c r="F873" s="248"/>
      <c r="G873" s="205"/>
      <c r="H873" s="332"/>
      <c r="I873" s="2"/>
      <c r="J873" s="155"/>
      <c r="K873" s="301"/>
      <c r="L873" s="205"/>
      <c r="M873" s="288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5:24" ht="12.75">
      <c r="E874" s="155"/>
      <c r="F874" s="248"/>
      <c r="G874" s="205"/>
      <c r="H874" s="332"/>
      <c r="I874" s="2"/>
      <c r="J874" s="155"/>
      <c r="K874" s="301"/>
      <c r="L874" s="205"/>
      <c r="M874" s="288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5:24" ht="12.75">
      <c r="E875" s="155"/>
      <c r="F875" s="248"/>
      <c r="G875" s="205"/>
      <c r="H875" s="332"/>
      <c r="I875" s="2"/>
      <c r="J875" s="155"/>
      <c r="K875" s="301"/>
      <c r="L875" s="205"/>
      <c r="M875" s="288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5:24" ht="12.75">
      <c r="E876" s="155"/>
      <c r="F876" s="248"/>
      <c r="G876" s="205"/>
      <c r="H876" s="332"/>
      <c r="I876" s="2"/>
      <c r="J876" s="155"/>
      <c r="K876" s="301"/>
      <c r="L876" s="205"/>
      <c r="M876" s="288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5:24" ht="12.75">
      <c r="E877" s="155"/>
      <c r="F877" s="248"/>
      <c r="G877" s="205"/>
      <c r="H877" s="332"/>
      <c r="I877" s="2"/>
      <c r="J877" s="155"/>
      <c r="K877" s="301"/>
      <c r="L877" s="205"/>
      <c r="M877" s="288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5:24" ht="12.75">
      <c r="E878" s="155"/>
      <c r="F878" s="248"/>
      <c r="G878" s="205"/>
      <c r="H878" s="332"/>
      <c r="I878" s="2"/>
      <c r="J878" s="155"/>
      <c r="K878" s="301"/>
      <c r="L878" s="205"/>
      <c r="M878" s="288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5:24" ht="12.75">
      <c r="E879" s="155"/>
      <c r="F879" s="248"/>
      <c r="G879" s="205"/>
      <c r="H879" s="332"/>
      <c r="I879" s="2"/>
      <c r="J879" s="155"/>
      <c r="K879" s="301"/>
      <c r="L879" s="205"/>
      <c r="M879" s="288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5:24" ht="12.75">
      <c r="E880" s="155"/>
      <c r="F880" s="248"/>
      <c r="G880" s="205"/>
      <c r="H880" s="332"/>
      <c r="I880" s="2"/>
      <c r="J880" s="155"/>
      <c r="K880" s="301"/>
      <c r="L880" s="205"/>
      <c r="M880" s="288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5:24" ht="12.75">
      <c r="E881" s="155"/>
      <c r="F881" s="248"/>
      <c r="G881" s="205"/>
      <c r="H881" s="332"/>
      <c r="I881" s="2"/>
      <c r="J881" s="155"/>
      <c r="K881" s="301"/>
      <c r="L881" s="205"/>
      <c r="M881" s="288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5:24" ht="12.75">
      <c r="E882" s="155"/>
      <c r="F882" s="248"/>
      <c r="G882" s="205"/>
      <c r="H882" s="332"/>
      <c r="I882" s="2"/>
      <c r="J882" s="155"/>
      <c r="K882" s="301"/>
      <c r="L882" s="205"/>
      <c r="M882" s="288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5:24" ht="12.75">
      <c r="E883" s="155"/>
      <c r="F883" s="248"/>
      <c r="G883" s="205"/>
      <c r="H883" s="332"/>
      <c r="I883" s="2"/>
      <c r="J883" s="155"/>
      <c r="K883" s="301"/>
      <c r="L883" s="205"/>
      <c r="M883" s="288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5:24" ht="12.75">
      <c r="E884" s="155"/>
      <c r="F884" s="248"/>
      <c r="G884" s="205"/>
      <c r="H884" s="332"/>
      <c r="I884" s="2"/>
      <c r="J884" s="155"/>
      <c r="K884" s="301"/>
      <c r="L884" s="205"/>
      <c r="M884" s="288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5:24" ht="12.75">
      <c r="E885" s="155"/>
      <c r="F885" s="248"/>
      <c r="G885" s="205"/>
      <c r="H885" s="332"/>
      <c r="I885" s="2"/>
      <c r="J885" s="155"/>
      <c r="K885" s="301"/>
      <c r="L885" s="205"/>
      <c r="M885" s="288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5:24" ht="12.75">
      <c r="E886" s="155"/>
      <c r="F886" s="248"/>
      <c r="G886" s="205"/>
      <c r="H886" s="332"/>
      <c r="I886" s="2"/>
      <c r="J886" s="155"/>
      <c r="K886" s="301"/>
      <c r="L886" s="205"/>
      <c r="M886" s="288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5:24" ht="12.75">
      <c r="E887" s="155"/>
      <c r="F887" s="248"/>
      <c r="G887" s="205"/>
      <c r="H887" s="332"/>
      <c r="I887" s="2"/>
      <c r="J887" s="155"/>
      <c r="K887" s="301"/>
      <c r="L887" s="205"/>
      <c r="M887" s="288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5:24" ht="12.75">
      <c r="E888" s="155"/>
      <c r="F888" s="248"/>
      <c r="G888" s="205"/>
      <c r="H888" s="332"/>
      <c r="I888" s="2"/>
      <c r="J888" s="155"/>
      <c r="K888" s="301"/>
      <c r="L888" s="205"/>
      <c r="M888" s="288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5:24" ht="12.75">
      <c r="E889" s="155"/>
      <c r="F889" s="248"/>
      <c r="G889" s="205"/>
      <c r="H889" s="332"/>
      <c r="I889" s="2"/>
      <c r="J889" s="155"/>
      <c r="K889" s="301"/>
      <c r="L889" s="205"/>
      <c r="M889" s="288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5:24" ht="12.75">
      <c r="E890" s="155"/>
      <c r="F890" s="248"/>
      <c r="G890" s="205"/>
      <c r="H890" s="332"/>
      <c r="I890" s="2"/>
      <c r="J890" s="155"/>
      <c r="K890" s="301"/>
      <c r="L890" s="205"/>
      <c r="M890" s="288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5:24" ht="12.75">
      <c r="E891" s="155"/>
      <c r="F891" s="248"/>
      <c r="G891" s="205"/>
      <c r="H891" s="332"/>
      <c r="I891" s="2"/>
      <c r="J891" s="155"/>
      <c r="K891" s="301"/>
      <c r="L891" s="205"/>
      <c r="M891" s="288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5:24" ht="12.75">
      <c r="E892" s="155"/>
      <c r="F892" s="248"/>
      <c r="G892" s="205"/>
      <c r="H892" s="332"/>
      <c r="I892" s="2"/>
      <c r="J892" s="155"/>
      <c r="K892" s="301"/>
      <c r="L892" s="205"/>
      <c r="M892" s="288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5:24" ht="12.75">
      <c r="E893" s="155"/>
      <c r="F893" s="248"/>
      <c r="G893" s="205"/>
      <c r="H893" s="332"/>
      <c r="I893" s="2"/>
      <c r="J893" s="155"/>
      <c r="K893" s="301"/>
      <c r="L893" s="205"/>
      <c r="M893" s="288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5:24" ht="12.75">
      <c r="E894" s="155"/>
      <c r="F894" s="248"/>
      <c r="G894" s="205"/>
      <c r="H894" s="332"/>
      <c r="I894" s="2"/>
      <c r="J894" s="155"/>
      <c r="K894" s="301"/>
      <c r="L894" s="205"/>
      <c r="M894" s="288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5:24" ht="12.75">
      <c r="E895" s="155"/>
      <c r="F895" s="248"/>
      <c r="G895" s="205"/>
      <c r="H895" s="332"/>
      <c r="I895" s="2"/>
      <c r="J895" s="155"/>
      <c r="K895" s="301"/>
      <c r="L895" s="205"/>
      <c r="M895" s="288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5:24" ht="12.75">
      <c r="E896" s="155"/>
      <c r="F896" s="248"/>
      <c r="G896" s="205"/>
      <c r="H896" s="332"/>
      <c r="I896" s="2"/>
      <c r="J896" s="155"/>
      <c r="K896" s="301"/>
      <c r="L896" s="205"/>
      <c r="M896" s="288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5:24" ht="12.75">
      <c r="E897" s="155"/>
      <c r="F897" s="248"/>
      <c r="G897" s="205"/>
      <c r="H897" s="332"/>
      <c r="I897" s="2"/>
      <c r="J897" s="155"/>
      <c r="K897" s="301"/>
      <c r="L897" s="205"/>
      <c r="M897" s="288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5:24" ht="12.75">
      <c r="E898" s="155"/>
      <c r="F898" s="248"/>
      <c r="G898" s="205"/>
      <c r="H898" s="332"/>
      <c r="I898" s="2"/>
      <c r="J898" s="155"/>
      <c r="K898" s="301"/>
      <c r="L898" s="205"/>
      <c r="M898" s="288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5:24" ht="12.75">
      <c r="E899" s="155"/>
      <c r="F899" s="248"/>
      <c r="G899" s="205"/>
      <c r="H899" s="332"/>
      <c r="I899" s="2"/>
      <c r="J899" s="155"/>
      <c r="K899" s="301"/>
      <c r="L899" s="205"/>
      <c r="M899" s="288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5:24" ht="12.75">
      <c r="E900" s="155"/>
      <c r="F900" s="248"/>
      <c r="G900" s="205"/>
      <c r="H900" s="332"/>
      <c r="I900" s="2"/>
      <c r="J900" s="155"/>
      <c r="K900" s="301"/>
      <c r="L900" s="205"/>
      <c r="M900" s="288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5:24" ht="12.75">
      <c r="E901" s="155"/>
      <c r="F901" s="248"/>
      <c r="G901" s="205"/>
      <c r="H901" s="332"/>
      <c r="I901" s="2"/>
      <c r="J901" s="155"/>
      <c r="K901" s="301"/>
      <c r="L901" s="205"/>
      <c r="M901" s="288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5:24" ht="12.75">
      <c r="E902" s="155"/>
      <c r="F902" s="248"/>
      <c r="G902" s="205"/>
      <c r="H902" s="332"/>
      <c r="I902" s="2"/>
      <c r="J902" s="155"/>
      <c r="K902" s="301"/>
      <c r="L902" s="205"/>
      <c r="M902" s="288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5:24" ht="12.75">
      <c r="E903" s="155"/>
      <c r="F903" s="248"/>
      <c r="G903" s="205"/>
      <c r="H903" s="332"/>
      <c r="I903" s="2"/>
      <c r="J903" s="155"/>
      <c r="K903" s="301"/>
      <c r="L903" s="205"/>
      <c r="M903" s="288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5:24" ht="12.75">
      <c r="E904" s="155"/>
      <c r="F904" s="248"/>
      <c r="G904" s="205"/>
      <c r="H904" s="332"/>
      <c r="I904" s="2"/>
      <c r="J904" s="155"/>
      <c r="K904" s="301"/>
      <c r="L904" s="205"/>
      <c r="M904" s="288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5:24" ht="12.75">
      <c r="E905" s="155"/>
      <c r="F905" s="248"/>
      <c r="G905" s="205"/>
      <c r="H905" s="332"/>
      <c r="I905" s="2"/>
      <c r="J905" s="155"/>
      <c r="K905" s="301"/>
      <c r="L905" s="205"/>
      <c r="M905" s="288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5:24" ht="12.75">
      <c r="E906" s="155"/>
      <c r="F906" s="248"/>
      <c r="G906" s="205"/>
      <c r="H906" s="332"/>
      <c r="I906" s="2"/>
      <c r="J906" s="155"/>
      <c r="K906" s="301"/>
      <c r="L906" s="205"/>
      <c r="M906" s="288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5:24" ht="12.75">
      <c r="E907" s="155"/>
      <c r="F907" s="248"/>
      <c r="G907" s="205"/>
      <c r="H907" s="332"/>
      <c r="I907" s="2"/>
      <c r="J907" s="155"/>
      <c r="K907" s="301"/>
      <c r="L907" s="205"/>
      <c r="M907" s="288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5:24" ht="12.75">
      <c r="E908" s="155"/>
      <c r="F908" s="248"/>
      <c r="G908" s="205"/>
      <c r="H908" s="332"/>
      <c r="I908" s="2"/>
      <c r="J908" s="155"/>
      <c r="K908" s="301"/>
      <c r="L908" s="205"/>
      <c r="M908" s="288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5:24" ht="12.75">
      <c r="E909" s="155"/>
      <c r="F909" s="248"/>
      <c r="G909" s="205"/>
      <c r="H909" s="332"/>
      <c r="I909" s="2"/>
      <c r="J909" s="155"/>
      <c r="K909" s="301"/>
      <c r="L909" s="205"/>
      <c r="M909" s="288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5:24" ht="12.75">
      <c r="E910" s="155"/>
      <c r="F910" s="248"/>
      <c r="G910" s="205"/>
      <c r="H910" s="332"/>
      <c r="I910" s="2"/>
      <c r="J910" s="155"/>
      <c r="K910" s="301"/>
      <c r="L910" s="205"/>
      <c r="M910" s="288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5:24" ht="12.75">
      <c r="E911" s="155"/>
      <c r="F911" s="248"/>
      <c r="G911" s="205"/>
      <c r="H911" s="332"/>
      <c r="I911" s="2"/>
      <c r="J911" s="155"/>
      <c r="K911" s="301"/>
      <c r="L911" s="205"/>
      <c r="M911" s="288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5:24" ht="12.75">
      <c r="E912" s="155"/>
      <c r="F912" s="248"/>
      <c r="G912" s="205"/>
      <c r="H912" s="332"/>
      <c r="I912" s="2"/>
      <c r="J912" s="155"/>
      <c r="K912" s="301"/>
      <c r="L912" s="205"/>
      <c r="M912" s="288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5:24" ht="12.75">
      <c r="E913" s="155"/>
      <c r="F913" s="248"/>
      <c r="G913" s="205"/>
      <c r="H913" s="332"/>
      <c r="I913" s="2"/>
      <c r="J913" s="155"/>
      <c r="K913" s="301"/>
      <c r="L913" s="205"/>
      <c r="M913" s="288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5:24" ht="12.75">
      <c r="E914" s="155"/>
      <c r="F914" s="248"/>
      <c r="G914" s="205"/>
      <c r="H914" s="332"/>
      <c r="I914" s="2"/>
      <c r="J914" s="155"/>
      <c r="K914" s="301"/>
      <c r="L914" s="205"/>
      <c r="M914" s="288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5:24" ht="12.75">
      <c r="E915" s="155"/>
      <c r="F915" s="248"/>
      <c r="G915" s="205"/>
      <c r="H915" s="332"/>
      <c r="I915" s="2"/>
      <c r="J915" s="155"/>
      <c r="K915" s="301"/>
      <c r="L915" s="205"/>
      <c r="M915" s="288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5:24" ht="12.75">
      <c r="E916" s="155"/>
      <c r="F916" s="248"/>
      <c r="G916" s="205"/>
      <c r="H916" s="332"/>
      <c r="I916" s="2"/>
      <c r="J916" s="155"/>
      <c r="K916" s="301"/>
      <c r="L916" s="205"/>
      <c r="M916" s="288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5:24" ht="12.75">
      <c r="E917" s="155"/>
      <c r="F917" s="248"/>
      <c r="G917" s="205"/>
      <c r="H917" s="332"/>
      <c r="I917" s="2"/>
      <c r="J917" s="155"/>
      <c r="K917" s="301"/>
      <c r="L917" s="205"/>
      <c r="M917" s="288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5:24" ht="12.75">
      <c r="E918" s="155"/>
      <c r="F918" s="248"/>
      <c r="G918" s="205"/>
      <c r="H918" s="332"/>
      <c r="I918" s="2"/>
      <c r="J918" s="155"/>
      <c r="K918" s="301"/>
      <c r="L918" s="205"/>
      <c r="M918" s="288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5:24" ht="12.75">
      <c r="E919" s="155"/>
      <c r="F919" s="248"/>
      <c r="G919" s="205"/>
      <c r="H919" s="332"/>
      <c r="I919" s="2"/>
      <c r="J919" s="155"/>
      <c r="K919" s="301"/>
      <c r="L919" s="205"/>
      <c r="M919" s="288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5:24" ht="12.75">
      <c r="E920" s="155"/>
      <c r="F920" s="248"/>
      <c r="G920" s="205"/>
      <c r="H920" s="332"/>
      <c r="I920" s="2"/>
      <c r="J920" s="155"/>
      <c r="K920" s="301"/>
      <c r="L920" s="205"/>
      <c r="M920" s="288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5:24" ht="12.75">
      <c r="E921" s="155"/>
      <c r="F921" s="248"/>
      <c r="G921" s="205"/>
      <c r="H921" s="332"/>
      <c r="I921" s="2"/>
      <c r="J921" s="155"/>
      <c r="K921" s="301"/>
      <c r="L921" s="205"/>
      <c r="M921" s="288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5:24" ht="12.75">
      <c r="E922" s="155"/>
      <c r="F922" s="248"/>
      <c r="G922" s="205"/>
      <c r="H922" s="332"/>
      <c r="I922" s="2"/>
      <c r="J922" s="155"/>
      <c r="K922" s="301"/>
      <c r="L922" s="205"/>
      <c r="M922" s="288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5:24" ht="12.75">
      <c r="E923" s="155"/>
      <c r="F923" s="248"/>
      <c r="G923" s="205"/>
      <c r="H923" s="332"/>
      <c r="I923" s="2"/>
      <c r="J923" s="155"/>
      <c r="K923" s="301"/>
      <c r="L923" s="205"/>
      <c r="M923" s="288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5:24" ht="12.75">
      <c r="E924" s="155"/>
      <c r="F924" s="248"/>
      <c r="G924" s="205"/>
      <c r="H924" s="332"/>
      <c r="I924" s="2"/>
      <c r="J924" s="155"/>
      <c r="K924" s="301"/>
      <c r="L924" s="205"/>
      <c r="M924" s="288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5:24" ht="12.75">
      <c r="E925" s="155"/>
      <c r="F925" s="248"/>
      <c r="G925" s="205"/>
      <c r="H925" s="332"/>
      <c r="I925" s="2"/>
      <c r="J925" s="155"/>
      <c r="K925" s="301"/>
      <c r="L925" s="205"/>
      <c r="M925" s="288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5:24" ht="12.75">
      <c r="E926" s="155"/>
      <c r="F926" s="248"/>
      <c r="G926" s="205"/>
      <c r="H926" s="332"/>
      <c r="I926" s="2"/>
      <c r="J926" s="155"/>
      <c r="K926" s="301"/>
      <c r="L926" s="205"/>
      <c r="M926" s="288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5:24" ht="12.75">
      <c r="E927" s="155"/>
      <c r="F927" s="248"/>
      <c r="G927" s="205"/>
      <c r="H927" s="332"/>
      <c r="I927" s="2"/>
      <c r="J927" s="155"/>
      <c r="K927" s="301"/>
      <c r="L927" s="205"/>
      <c r="M927" s="288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5:24" ht="12.75">
      <c r="E928" s="155"/>
      <c r="F928" s="248"/>
      <c r="G928" s="205"/>
      <c r="H928" s="332"/>
      <c r="I928" s="2"/>
      <c r="J928" s="155"/>
      <c r="K928" s="301"/>
      <c r="L928" s="205"/>
      <c r="M928" s="288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5:24" ht="12.75">
      <c r="E929" s="155"/>
      <c r="F929" s="248"/>
      <c r="G929" s="205"/>
      <c r="H929" s="332"/>
      <c r="I929" s="2"/>
      <c r="J929" s="155"/>
      <c r="K929" s="301"/>
      <c r="L929" s="205"/>
      <c r="M929" s="288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5:24" ht="12.75">
      <c r="E930" s="155"/>
      <c r="F930" s="248"/>
      <c r="G930" s="205"/>
      <c r="H930" s="332"/>
      <c r="I930" s="2"/>
      <c r="J930" s="155"/>
      <c r="K930" s="301"/>
      <c r="L930" s="205"/>
      <c r="M930" s="288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5:24" ht="12.75">
      <c r="E931" s="155"/>
      <c r="F931" s="248"/>
      <c r="G931" s="205"/>
      <c r="H931" s="332"/>
      <c r="I931" s="2"/>
      <c r="J931" s="155"/>
      <c r="K931" s="301"/>
      <c r="L931" s="205"/>
      <c r="M931" s="288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5:24" ht="12.75">
      <c r="E932" s="155"/>
      <c r="F932" s="248"/>
      <c r="G932" s="205"/>
      <c r="H932" s="332"/>
      <c r="I932" s="2"/>
      <c r="J932" s="155"/>
      <c r="K932" s="301"/>
      <c r="L932" s="205"/>
      <c r="M932" s="288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5:24" ht="12.75">
      <c r="E933" s="155"/>
      <c r="F933" s="248"/>
      <c r="G933" s="205"/>
      <c r="H933" s="332"/>
      <c r="I933" s="2"/>
      <c r="J933" s="155"/>
      <c r="K933" s="301"/>
      <c r="L933" s="205"/>
      <c r="M933" s="288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5:24" ht="12.75">
      <c r="E934" s="155"/>
      <c r="F934" s="248"/>
      <c r="G934" s="205"/>
      <c r="H934" s="332"/>
      <c r="I934" s="2"/>
      <c r="J934" s="155"/>
      <c r="K934" s="301"/>
      <c r="L934" s="205"/>
      <c r="M934" s="288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5:24" ht="12.75">
      <c r="E935" s="155"/>
      <c r="F935" s="248"/>
      <c r="G935" s="205"/>
      <c r="H935" s="332"/>
      <c r="I935" s="2"/>
      <c r="J935" s="155"/>
      <c r="K935" s="301"/>
      <c r="L935" s="205"/>
      <c r="M935" s="288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5:24" ht="12.75">
      <c r="E936" s="155"/>
      <c r="F936" s="248"/>
      <c r="G936" s="205"/>
      <c r="H936" s="332"/>
      <c r="I936" s="2"/>
      <c r="J936" s="155"/>
      <c r="K936" s="301"/>
      <c r="L936" s="205"/>
      <c r="M936" s="288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5:24" ht="12.75">
      <c r="E937" s="155"/>
      <c r="F937" s="248"/>
      <c r="G937" s="205"/>
      <c r="H937" s="332"/>
      <c r="I937" s="2"/>
      <c r="J937" s="155"/>
      <c r="K937" s="301"/>
      <c r="L937" s="205"/>
      <c r="M937" s="288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5:24" ht="12.75">
      <c r="E938" s="155"/>
      <c r="F938" s="248"/>
      <c r="G938" s="205"/>
      <c r="H938" s="332"/>
      <c r="I938" s="2"/>
      <c r="J938" s="155"/>
      <c r="K938" s="301"/>
      <c r="L938" s="205"/>
      <c r="M938" s="288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5:24" ht="12.75">
      <c r="E939" s="155"/>
      <c r="F939" s="248"/>
      <c r="G939" s="205"/>
      <c r="H939" s="332"/>
      <c r="I939" s="2"/>
      <c r="J939" s="155"/>
      <c r="K939" s="301"/>
      <c r="L939" s="205"/>
      <c r="M939" s="288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5:24" ht="12.75">
      <c r="E940" s="155"/>
      <c r="F940" s="248"/>
      <c r="G940" s="205"/>
      <c r="H940" s="332"/>
      <c r="I940" s="2"/>
      <c r="J940" s="155"/>
      <c r="K940" s="301"/>
      <c r="L940" s="205"/>
      <c r="M940" s="288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5:24" ht="12.75">
      <c r="E941" s="155"/>
      <c r="F941" s="248"/>
      <c r="G941" s="205"/>
      <c r="H941" s="332"/>
      <c r="I941" s="2"/>
      <c r="J941" s="155"/>
      <c r="K941" s="301"/>
      <c r="L941" s="205"/>
      <c r="M941" s="288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5:24" ht="12.75">
      <c r="E942" s="155"/>
      <c r="F942" s="248"/>
      <c r="G942" s="205"/>
      <c r="H942" s="332"/>
      <c r="I942" s="2"/>
      <c r="J942" s="155"/>
      <c r="K942" s="301"/>
      <c r="L942" s="205"/>
      <c r="M942" s="288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5:24" ht="12.75">
      <c r="E943" s="155"/>
      <c r="F943" s="248"/>
      <c r="G943" s="205"/>
      <c r="H943" s="332"/>
      <c r="I943" s="2"/>
      <c r="J943" s="155"/>
      <c r="K943" s="301"/>
      <c r="L943" s="205"/>
      <c r="M943" s="288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5:24" ht="12.75">
      <c r="E944" s="155"/>
      <c r="F944" s="248"/>
      <c r="G944" s="205"/>
      <c r="H944" s="332"/>
      <c r="I944" s="2"/>
      <c r="J944" s="155"/>
      <c r="K944" s="301"/>
      <c r="L944" s="205"/>
      <c r="M944" s="288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5:24" ht="12.75">
      <c r="E945" s="155"/>
      <c r="F945" s="248"/>
      <c r="G945" s="205"/>
      <c r="H945" s="332"/>
      <c r="I945" s="2"/>
      <c r="J945" s="155"/>
      <c r="K945" s="301"/>
      <c r="L945" s="205"/>
      <c r="M945" s="288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5:24" ht="12.75">
      <c r="E946" s="155"/>
      <c r="F946" s="248"/>
      <c r="G946" s="205"/>
      <c r="H946" s="332"/>
      <c r="I946" s="2"/>
      <c r="J946" s="155"/>
      <c r="K946" s="301"/>
      <c r="L946" s="205"/>
      <c r="M946" s="288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5:24" ht="12.75">
      <c r="E947" s="155"/>
      <c r="F947" s="248"/>
      <c r="G947" s="205"/>
      <c r="H947" s="332"/>
      <c r="I947" s="2"/>
      <c r="J947" s="155"/>
      <c r="K947" s="301"/>
      <c r="L947" s="205"/>
      <c r="M947" s="288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5:24" ht="12.75">
      <c r="E948" s="155"/>
      <c r="F948" s="248"/>
      <c r="G948" s="205"/>
      <c r="H948" s="332"/>
      <c r="I948" s="2"/>
      <c r="J948" s="155"/>
      <c r="K948" s="301"/>
      <c r="L948" s="205"/>
      <c r="M948" s="288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5:24" ht="12.75">
      <c r="E949" s="155"/>
      <c r="F949" s="248"/>
      <c r="G949" s="205"/>
      <c r="H949" s="332"/>
      <c r="I949" s="2"/>
      <c r="J949" s="155"/>
      <c r="K949" s="301"/>
      <c r="L949" s="205"/>
      <c r="M949" s="288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5:24" ht="12.75">
      <c r="E950" s="155"/>
      <c r="F950" s="248"/>
      <c r="G950" s="205"/>
      <c r="H950" s="332"/>
      <c r="I950" s="2"/>
      <c r="J950" s="155"/>
      <c r="K950" s="301"/>
      <c r="L950" s="205"/>
      <c r="M950" s="288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5:24" ht="12.75">
      <c r="E951" s="155"/>
      <c r="F951" s="248"/>
      <c r="G951" s="205"/>
      <c r="H951" s="332"/>
      <c r="I951" s="2"/>
      <c r="J951" s="155"/>
      <c r="K951" s="301"/>
      <c r="L951" s="205"/>
      <c r="M951" s="288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5:24" ht="12.75">
      <c r="E952" s="155"/>
      <c r="F952" s="248"/>
      <c r="G952" s="205"/>
      <c r="H952" s="332"/>
      <c r="I952" s="2"/>
      <c r="J952" s="155"/>
      <c r="K952" s="301"/>
      <c r="L952" s="205"/>
      <c r="M952" s="288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5:24" ht="12.75">
      <c r="E953" s="155"/>
      <c r="F953" s="248"/>
      <c r="G953" s="205"/>
      <c r="H953" s="332"/>
      <c r="I953" s="2"/>
      <c r="J953" s="155"/>
      <c r="K953" s="301"/>
      <c r="L953" s="205"/>
      <c r="M953" s="288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5:24" ht="12.75">
      <c r="E954" s="155"/>
      <c r="F954" s="248"/>
      <c r="G954" s="205"/>
      <c r="H954" s="332"/>
      <c r="I954" s="2"/>
      <c r="J954" s="155"/>
      <c r="K954" s="301"/>
      <c r="L954" s="205"/>
      <c r="M954" s="288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5:24" ht="12.75">
      <c r="E955" s="155"/>
      <c r="F955" s="248"/>
      <c r="G955" s="205"/>
      <c r="H955" s="332"/>
      <c r="I955" s="2"/>
      <c r="J955" s="155"/>
      <c r="K955" s="301"/>
      <c r="L955" s="205"/>
      <c r="M955" s="288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5:24" ht="12.75">
      <c r="E956" s="155"/>
      <c r="F956" s="248"/>
      <c r="G956" s="205"/>
      <c r="H956" s="332"/>
      <c r="I956" s="2"/>
      <c r="J956" s="155"/>
      <c r="K956" s="301"/>
      <c r="L956" s="205"/>
      <c r="M956" s="288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5:24" ht="12.75">
      <c r="E957" s="155"/>
      <c r="F957" s="248"/>
      <c r="G957" s="205"/>
      <c r="H957" s="332"/>
      <c r="I957" s="2"/>
      <c r="J957" s="155"/>
      <c r="K957" s="301"/>
      <c r="L957" s="205"/>
      <c r="M957" s="288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5:24" ht="12.75">
      <c r="E958" s="155"/>
      <c r="F958" s="248"/>
      <c r="G958" s="205"/>
      <c r="H958" s="332"/>
      <c r="I958" s="2"/>
      <c r="J958" s="155"/>
      <c r="K958" s="301"/>
      <c r="L958" s="205"/>
      <c r="M958" s="288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5:24" ht="12.75">
      <c r="E959" s="155"/>
      <c r="F959" s="248"/>
      <c r="G959" s="205"/>
      <c r="H959" s="332"/>
      <c r="I959" s="2"/>
      <c r="J959" s="155"/>
      <c r="K959" s="301"/>
      <c r="L959" s="205"/>
      <c r="M959" s="288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5:24" ht="12.75">
      <c r="E960" s="155"/>
      <c r="F960" s="248"/>
      <c r="G960" s="205"/>
      <c r="H960" s="332"/>
      <c r="I960" s="2"/>
      <c r="J960" s="155"/>
      <c r="K960" s="301"/>
      <c r="L960" s="205"/>
      <c r="M960" s="288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5:24" ht="12.75">
      <c r="E961" s="155"/>
      <c r="F961" s="248"/>
      <c r="G961" s="205"/>
      <c r="H961" s="332"/>
      <c r="I961" s="2"/>
      <c r="J961" s="155"/>
      <c r="K961" s="301"/>
      <c r="L961" s="205"/>
      <c r="M961" s="288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5:24" ht="12.75">
      <c r="E962" s="155"/>
      <c r="F962" s="248"/>
      <c r="G962" s="205"/>
      <c r="H962" s="332"/>
      <c r="I962" s="2"/>
      <c r="J962" s="155"/>
      <c r="K962" s="301"/>
      <c r="L962" s="205"/>
      <c r="M962" s="288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5:24" ht="12.75">
      <c r="E963" s="155"/>
      <c r="F963" s="248"/>
      <c r="G963" s="205"/>
      <c r="H963" s="332"/>
      <c r="I963" s="2"/>
      <c r="J963" s="155"/>
      <c r="K963" s="301"/>
      <c r="L963" s="205"/>
      <c r="M963" s="288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5:24" ht="12.75">
      <c r="E964" s="155"/>
      <c r="F964" s="248"/>
      <c r="G964" s="205"/>
      <c r="H964" s="332"/>
      <c r="I964" s="2"/>
      <c r="J964" s="155"/>
      <c r="K964" s="301"/>
      <c r="L964" s="205"/>
      <c r="M964" s="288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5:24" ht="15.75" customHeight="1">
      <c r="E965" s="155"/>
      <c r="F965" s="248"/>
      <c r="G965" s="205"/>
      <c r="H965" s="332"/>
      <c r="I965" s="2"/>
      <c r="J965" s="155"/>
      <c r="K965" s="301"/>
      <c r="L965" s="205"/>
      <c r="M965" s="288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</sheetData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38C63-E942-4FC7-92DE-68EA143A9495}">
  <sheetPr>
    <tabColor rgb="FFFFFF00"/>
  </sheetPr>
  <dimension ref="A1:V917"/>
  <sheetViews>
    <sheetView workbookViewId="0">
      <selection activeCell="F4" sqref="F4"/>
    </sheetView>
  </sheetViews>
  <sheetFormatPr defaultColWidth="12.5703125" defaultRowHeight="15.75" customHeight="1"/>
  <cols>
    <col min="1" max="2" width="5.7109375" customWidth="1"/>
    <col min="3" max="3" width="32.85546875" customWidth="1"/>
    <col min="4" max="4" width="14.7109375" style="107" customWidth="1"/>
    <col min="5" max="6" width="14.7109375" style="294" customWidth="1"/>
  </cols>
  <sheetData>
    <row r="1" spans="1:22" ht="27" customHeight="1">
      <c r="A1" s="1"/>
      <c r="B1" s="1"/>
      <c r="C1" s="549" t="s">
        <v>80</v>
      </c>
      <c r="D1" s="549"/>
      <c r="E1" s="549"/>
      <c r="F1" s="549"/>
      <c r="G1" s="549"/>
      <c r="H1" s="549"/>
    </row>
    <row r="2" spans="1:22" ht="27" customHeight="1">
      <c r="C2" s="550" t="s">
        <v>490</v>
      </c>
      <c r="D2" s="550"/>
      <c r="E2" s="550"/>
      <c r="F2" s="550"/>
      <c r="G2" s="550"/>
      <c r="H2" s="550"/>
    </row>
    <row r="3" spans="1:22" ht="42" customHeight="1">
      <c r="A3" s="4"/>
      <c r="B3" s="4"/>
      <c r="C3" s="542" t="s">
        <v>2</v>
      </c>
      <c r="D3" s="543" t="s">
        <v>288</v>
      </c>
      <c r="E3" s="544" t="s">
        <v>287</v>
      </c>
      <c r="F3" s="551" t="s">
        <v>4</v>
      </c>
      <c r="G3" s="545" t="s">
        <v>5</v>
      </c>
      <c r="H3" s="546">
        <f t="shared" ref="H3" si="0">G3-1</f>
        <v>2023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2.75">
      <c r="A4" s="1"/>
      <c r="B4" s="1"/>
      <c r="C4" s="547" t="s">
        <v>6</v>
      </c>
      <c r="D4" s="224"/>
      <c r="E4" s="528"/>
      <c r="F4" s="528"/>
      <c r="G4" s="529"/>
      <c r="H4" s="247"/>
    </row>
    <row r="5" spans="1:22" ht="12.75">
      <c r="A5" s="1"/>
      <c r="B5" s="1"/>
      <c r="C5" s="548" t="s">
        <v>7</v>
      </c>
      <c r="D5" s="530">
        <f>IFERROR(+E5/H5,0)</f>
        <v>-3.1902819226617564E-2</v>
      </c>
      <c r="E5" s="528">
        <f>+G5-H5</f>
        <v>-24117</v>
      </c>
      <c r="F5" s="528"/>
      <c r="G5" s="529">
        <v>731835</v>
      </c>
      <c r="H5" s="247">
        <v>755952</v>
      </c>
    </row>
    <row r="6" spans="1:22" ht="12.75">
      <c r="A6" s="1"/>
      <c r="B6" s="1"/>
      <c r="C6" s="548" t="s">
        <v>8</v>
      </c>
      <c r="D6" s="530">
        <f t="shared" ref="D6:D36" si="1">IFERROR(+E6/H6,0)</f>
        <v>5.8679670123704987E-2</v>
      </c>
      <c r="E6" s="528">
        <f t="shared" ref="E6:E8" si="2">+G6-H6</f>
        <v>3197619</v>
      </c>
      <c r="F6" s="528"/>
      <c r="G6" s="529">
        <v>57690410</v>
      </c>
      <c r="H6" s="247">
        <v>54492791</v>
      </c>
    </row>
    <row r="7" spans="1:22" ht="12.75">
      <c r="A7" s="1"/>
      <c r="B7" s="1"/>
      <c r="C7" s="548" t="s">
        <v>9</v>
      </c>
      <c r="D7" s="530">
        <f t="shared" si="1"/>
        <v>0</v>
      </c>
      <c r="E7" s="528">
        <f t="shared" si="2"/>
        <v>0</v>
      </c>
      <c r="F7" s="528"/>
      <c r="G7" s="529"/>
      <c r="H7" s="247"/>
    </row>
    <row r="8" spans="1:22" ht="12.75">
      <c r="A8" s="1"/>
      <c r="B8" s="1"/>
      <c r="C8" s="548" t="s">
        <v>10</v>
      </c>
      <c r="D8" s="531">
        <f t="shared" si="1"/>
        <v>-1.479408436620089</v>
      </c>
      <c r="E8" s="532">
        <f t="shared" si="2"/>
        <v>-56219</v>
      </c>
      <c r="F8" s="528"/>
      <c r="G8" s="480">
        <f>-21657+3439</f>
        <v>-18218</v>
      </c>
      <c r="H8" s="533">
        <f>18915+19086</f>
        <v>38001</v>
      </c>
    </row>
    <row r="9" spans="1:22" ht="20.25" customHeight="1">
      <c r="A9" s="1"/>
      <c r="B9" s="1"/>
      <c r="C9" s="468" t="s">
        <v>11</v>
      </c>
      <c r="D9" s="530">
        <f t="shared" si="1"/>
        <v>5.6383913655685708E-2</v>
      </c>
      <c r="E9" s="528">
        <f>+G9-H9</f>
        <v>3117283</v>
      </c>
      <c r="F9" s="528"/>
      <c r="G9" s="529">
        <f t="shared" ref="G9:H9" si="3">SUM(G4:G8)</f>
        <v>58404027</v>
      </c>
      <c r="H9" s="247">
        <f t="shared" si="3"/>
        <v>55286744</v>
      </c>
    </row>
    <row r="10" spans="1:22" ht="12.75">
      <c r="C10" s="534"/>
      <c r="D10" s="530"/>
      <c r="E10" s="528"/>
      <c r="F10" s="528"/>
      <c r="G10" s="529"/>
      <c r="H10" s="247"/>
    </row>
    <row r="11" spans="1:22" ht="12.75">
      <c r="A11" s="1" t="s">
        <v>82</v>
      </c>
      <c r="B11" s="1" t="s">
        <v>83</v>
      </c>
      <c r="C11" s="547" t="s">
        <v>12</v>
      </c>
      <c r="D11" s="530"/>
      <c r="E11" s="528"/>
      <c r="F11" s="528"/>
      <c r="G11" s="529"/>
      <c r="H11" s="247"/>
    </row>
    <row r="12" spans="1:22" ht="12.75">
      <c r="A12" s="1">
        <v>100</v>
      </c>
      <c r="B12" s="1">
        <v>1000</v>
      </c>
      <c r="C12" s="548" t="s">
        <v>13</v>
      </c>
      <c r="D12" s="530">
        <f t="shared" si="1"/>
        <v>0.11106351857565454</v>
      </c>
      <c r="E12" s="528">
        <f t="shared" ref="E12:E29" si="4">+G12-H12</f>
        <v>2635709</v>
      </c>
      <c r="F12" s="528"/>
      <c r="G12" s="529">
        <v>26367255</v>
      </c>
      <c r="H12" s="247">
        <v>23731546</v>
      </c>
      <c r="I12" s="110"/>
    </row>
    <row r="13" spans="1:22" ht="12.75">
      <c r="A13" s="1">
        <v>200</v>
      </c>
      <c r="B13" s="1">
        <v>1000</v>
      </c>
      <c r="C13" s="548" t="s">
        <v>14</v>
      </c>
      <c r="D13" s="530">
        <f t="shared" si="1"/>
        <v>0</v>
      </c>
      <c r="E13" s="528">
        <f t="shared" si="4"/>
        <v>0</v>
      </c>
      <c r="F13" s="528"/>
      <c r="G13" s="529">
        <v>0</v>
      </c>
      <c r="H13" s="247">
        <v>0</v>
      </c>
    </row>
    <row r="14" spans="1:22" ht="12.75">
      <c r="A14" s="1">
        <v>300</v>
      </c>
      <c r="B14" s="1">
        <v>1000</v>
      </c>
      <c r="C14" s="548" t="s">
        <v>15</v>
      </c>
      <c r="D14" s="530">
        <f t="shared" si="1"/>
        <v>0.18857922069340446</v>
      </c>
      <c r="E14" s="528">
        <f t="shared" si="4"/>
        <v>125570</v>
      </c>
      <c r="F14" s="528"/>
      <c r="G14" s="529">
        <v>791444</v>
      </c>
      <c r="H14" s="247">
        <v>665874</v>
      </c>
    </row>
    <row r="15" spans="1:22" ht="12.75">
      <c r="A15" s="1">
        <v>600</v>
      </c>
      <c r="B15" s="1">
        <v>1000</v>
      </c>
      <c r="C15" s="548" t="s">
        <v>16</v>
      </c>
      <c r="D15" s="530">
        <f t="shared" si="1"/>
        <v>0</v>
      </c>
      <c r="E15" s="528">
        <f t="shared" si="4"/>
        <v>0</v>
      </c>
      <c r="F15" s="528"/>
      <c r="G15" s="529"/>
      <c r="H15" s="247">
        <v>0</v>
      </c>
    </row>
    <row r="16" spans="1:22" ht="12.75">
      <c r="A16" s="1">
        <v>900</v>
      </c>
      <c r="B16" s="1">
        <v>1000</v>
      </c>
      <c r="C16" s="548" t="s">
        <v>17</v>
      </c>
      <c r="D16" s="530">
        <f t="shared" si="1"/>
        <v>0.10935508845010208</v>
      </c>
      <c r="E16" s="528">
        <f t="shared" si="4"/>
        <v>63845</v>
      </c>
      <c r="F16" s="528"/>
      <c r="G16" s="529">
        <v>647677</v>
      </c>
      <c r="H16" s="247">
        <v>583832</v>
      </c>
    </row>
    <row r="17" spans="1:8" ht="12.75">
      <c r="A17" s="1">
        <v>400</v>
      </c>
      <c r="B17" s="1">
        <v>1000</v>
      </c>
      <c r="C17" s="548" t="s">
        <v>18</v>
      </c>
      <c r="D17" s="530">
        <f t="shared" si="1"/>
        <v>-0.22161204541491486</v>
      </c>
      <c r="E17" s="528">
        <f t="shared" si="4"/>
        <v>-366018</v>
      </c>
      <c r="F17" s="528"/>
      <c r="G17" s="529">
        <v>1285598</v>
      </c>
      <c r="H17" s="247">
        <v>1651616</v>
      </c>
    </row>
    <row r="18" spans="1:8" ht="12.75">
      <c r="A18" s="1"/>
      <c r="B18" s="1">
        <v>3000</v>
      </c>
      <c r="C18" s="548" t="s">
        <v>19</v>
      </c>
      <c r="D18" s="530">
        <f t="shared" si="1"/>
        <v>0</v>
      </c>
      <c r="E18" s="528">
        <f t="shared" si="4"/>
        <v>0</v>
      </c>
      <c r="F18" s="528"/>
      <c r="G18" s="529"/>
      <c r="H18" s="247"/>
    </row>
    <row r="19" spans="1:8" ht="12.75">
      <c r="A19" s="1"/>
      <c r="B19" s="1">
        <v>2100</v>
      </c>
      <c r="C19" s="548" t="s">
        <v>20</v>
      </c>
      <c r="D19" s="530">
        <f t="shared" si="1"/>
        <v>0.25419582208888158</v>
      </c>
      <c r="E19" s="528">
        <f t="shared" si="4"/>
        <v>824566</v>
      </c>
      <c r="F19" s="528"/>
      <c r="G19" s="529">
        <v>4068388</v>
      </c>
      <c r="H19" s="247">
        <v>3243822</v>
      </c>
    </row>
    <row r="20" spans="1:8" ht="12.75">
      <c r="B20" s="1">
        <v>2200</v>
      </c>
      <c r="C20" s="548" t="s">
        <v>21</v>
      </c>
      <c r="D20" s="530">
        <f t="shared" si="1"/>
        <v>8.2196042330477712E-2</v>
      </c>
      <c r="E20" s="528">
        <f t="shared" si="4"/>
        <v>103574</v>
      </c>
      <c r="F20" s="528"/>
      <c r="G20" s="529">
        <v>1363659</v>
      </c>
      <c r="H20" s="247">
        <v>1260085</v>
      </c>
    </row>
    <row r="21" spans="1:8" ht="12.75">
      <c r="B21" s="1">
        <v>2300</v>
      </c>
      <c r="C21" s="548" t="s">
        <v>22</v>
      </c>
      <c r="D21" s="530">
        <f t="shared" si="1"/>
        <v>0.42210576578443176</v>
      </c>
      <c r="E21" s="528">
        <f t="shared" si="4"/>
        <v>354484</v>
      </c>
      <c r="F21" s="528"/>
      <c r="G21" s="529">
        <v>1194283</v>
      </c>
      <c r="H21" s="247">
        <v>839799</v>
      </c>
    </row>
    <row r="22" spans="1:8" ht="12.75">
      <c r="B22" s="1">
        <v>2400</v>
      </c>
      <c r="C22" s="548" t="s">
        <v>23</v>
      </c>
      <c r="D22" s="530">
        <f t="shared" si="1"/>
        <v>0.18149643647685534</v>
      </c>
      <c r="E22" s="528">
        <f t="shared" si="4"/>
        <v>850611</v>
      </c>
      <c r="F22" s="528"/>
      <c r="G22" s="529">
        <v>5537265</v>
      </c>
      <c r="H22" s="247">
        <v>4686654</v>
      </c>
    </row>
    <row r="23" spans="1:8" ht="12.75">
      <c r="B23" s="1">
        <v>2500</v>
      </c>
      <c r="C23" s="548" t="s">
        <v>24</v>
      </c>
      <c r="D23" s="530">
        <f t="shared" si="1"/>
        <v>0.10445764569377855</v>
      </c>
      <c r="E23" s="528">
        <f t="shared" si="4"/>
        <v>220747</v>
      </c>
      <c r="F23" s="528"/>
      <c r="G23" s="529">
        <v>2334015</v>
      </c>
      <c r="H23" s="247">
        <v>2113268</v>
      </c>
    </row>
    <row r="24" spans="1:8" ht="12.75">
      <c r="B24" s="1">
        <v>2600</v>
      </c>
      <c r="C24" s="548" t="s">
        <v>25</v>
      </c>
      <c r="D24" s="530">
        <f t="shared" si="1"/>
        <v>0.13297967344252196</v>
      </c>
      <c r="E24" s="528">
        <f t="shared" si="4"/>
        <v>1055009</v>
      </c>
      <c r="F24" s="528"/>
      <c r="G24" s="529">
        <v>8988620</v>
      </c>
      <c r="H24" s="247">
        <v>7933611</v>
      </c>
    </row>
    <row r="25" spans="1:8" ht="12.75">
      <c r="B25" s="1">
        <v>2700</v>
      </c>
      <c r="C25" s="548" t="s">
        <v>26</v>
      </c>
      <c r="D25" s="530">
        <f t="shared" si="1"/>
        <v>0.40575789591346623</v>
      </c>
      <c r="E25" s="528">
        <f t="shared" si="4"/>
        <v>1317687</v>
      </c>
      <c r="F25" s="528"/>
      <c r="G25" s="529">
        <v>4565158</v>
      </c>
      <c r="H25" s="247">
        <v>3247471</v>
      </c>
    </row>
    <row r="26" spans="1:8" ht="12.75">
      <c r="B26" s="1">
        <v>2900</v>
      </c>
      <c r="C26" s="548" t="s">
        <v>27</v>
      </c>
      <c r="D26" s="530">
        <f t="shared" si="1"/>
        <v>2.1049055138493398E-2</v>
      </c>
      <c r="E26" s="528">
        <f t="shared" si="4"/>
        <v>5204</v>
      </c>
      <c r="F26" s="528"/>
      <c r="G26" s="529">
        <v>252436</v>
      </c>
      <c r="H26" s="247">
        <v>247232</v>
      </c>
    </row>
    <row r="27" spans="1:8" ht="14.25">
      <c r="B27" s="1">
        <v>4000</v>
      </c>
      <c r="C27" s="548" t="s">
        <v>28</v>
      </c>
      <c r="D27" s="530">
        <f t="shared" si="1"/>
        <v>0.45386076626712329</v>
      </c>
      <c r="E27" s="528">
        <f t="shared" si="4"/>
        <v>135708</v>
      </c>
      <c r="F27" s="528"/>
      <c r="G27" s="535">
        <f>159731+274985</f>
        <v>434716</v>
      </c>
      <c r="H27" s="536">
        <v>299008</v>
      </c>
    </row>
    <row r="28" spans="1:8" ht="12.75">
      <c r="B28" s="1">
        <v>8000</v>
      </c>
      <c r="C28" s="548" t="s">
        <v>29</v>
      </c>
      <c r="D28" s="530">
        <f t="shared" si="1"/>
        <v>-0.38290004782400766</v>
      </c>
      <c r="E28" s="528">
        <f t="shared" si="4"/>
        <v>-200161</v>
      </c>
      <c r="F28" s="528"/>
      <c r="G28" s="529">
        <v>322589</v>
      </c>
      <c r="H28" s="247">
        <f>507000+15750</f>
        <v>522750</v>
      </c>
    </row>
    <row r="29" spans="1:8" ht="12.75">
      <c r="B29" s="1">
        <v>9000</v>
      </c>
      <c r="C29" s="548" t="s">
        <v>30</v>
      </c>
      <c r="D29" s="530">
        <f t="shared" si="1"/>
        <v>0.28846153846153844</v>
      </c>
      <c r="E29" s="528">
        <f t="shared" si="4"/>
        <v>1500000</v>
      </c>
      <c r="F29" s="528"/>
      <c r="G29" s="529">
        <v>6700000</v>
      </c>
      <c r="H29" s="247">
        <v>5200000</v>
      </c>
    </row>
    <row r="30" spans="1:8" ht="12.75">
      <c r="C30" s="474"/>
      <c r="D30" s="531"/>
      <c r="E30" s="532"/>
      <c r="F30" s="528"/>
      <c r="G30" s="480"/>
      <c r="H30" s="533"/>
    </row>
    <row r="31" spans="1:8" ht="12.75">
      <c r="C31" s="474"/>
      <c r="D31" s="530"/>
      <c r="E31" s="528"/>
      <c r="F31" s="528"/>
      <c r="G31" s="529"/>
      <c r="H31" s="247"/>
    </row>
    <row r="32" spans="1:8" ht="12.75">
      <c r="C32" s="468" t="s">
        <v>268</v>
      </c>
      <c r="D32" s="530">
        <f t="shared" si="1"/>
        <v>0.15342453410992468</v>
      </c>
      <c r="E32" s="528">
        <f t="shared" ref="E32" si="5">+G32-H32</f>
        <v>8626535</v>
      </c>
      <c r="F32" s="528"/>
      <c r="G32" s="529">
        <f t="shared" ref="G32:H32" si="6">SUM(G11:G31)</f>
        <v>64853103</v>
      </c>
      <c r="H32" s="247">
        <f t="shared" si="6"/>
        <v>56226568</v>
      </c>
    </row>
    <row r="33" spans="1:22" ht="12.75">
      <c r="C33" s="474"/>
      <c r="D33" s="530"/>
      <c r="E33" s="528"/>
      <c r="F33" s="528"/>
      <c r="G33" s="529"/>
      <c r="H33" s="247"/>
    </row>
    <row r="34" spans="1:22" ht="12.75">
      <c r="C34" s="468" t="s">
        <v>32</v>
      </c>
      <c r="D34" s="530">
        <f t="shared" si="1"/>
        <v>5.8620039496756844</v>
      </c>
      <c r="E34" s="528">
        <f t="shared" ref="E34" si="7">+G34-H34</f>
        <v>-5509252</v>
      </c>
      <c r="F34" s="528"/>
      <c r="G34" s="529">
        <f t="shared" ref="G34:H34" si="8">G9-G32</f>
        <v>-6449076</v>
      </c>
      <c r="H34" s="247">
        <f t="shared" si="8"/>
        <v>-939824</v>
      </c>
    </row>
    <row r="35" spans="1:22" ht="12.75">
      <c r="C35" s="474"/>
      <c r="D35" s="530"/>
      <c r="E35" s="528"/>
      <c r="F35" s="528"/>
      <c r="G35" s="529"/>
      <c r="H35" s="247"/>
    </row>
    <row r="36" spans="1:22" ht="14.25">
      <c r="A36" s="6"/>
      <c r="B36" s="6"/>
      <c r="C36" s="537" t="s">
        <v>234</v>
      </c>
      <c r="D36" s="530">
        <f t="shared" si="1"/>
        <v>-0.60731315452665213</v>
      </c>
      <c r="E36" s="528">
        <f t="shared" ref="E36" si="9">+G36-H36</f>
        <v>-6449076</v>
      </c>
      <c r="F36" s="528"/>
      <c r="G36" s="538">
        <f t="shared" ref="G36" si="10">H36+G34</f>
        <v>4169953</v>
      </c>
      <c r="H36" s="539">
        <f>+'FY2026-FY2015'!O36</f>
        <v>10619029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5.75" customHeight="1">
      <c r="A37" s="7"/>
      <c r="B37" s="7"/>
      <c r="C37" s="540"/>
      <c r="D37" s="531"/>
      <c r="E37" s="532"/>
      <c r="F37" s="532"/>
      <c r="G37" s="477"/>
      <c r="H37" s="541"/>
    </row>
    <row r="38" spans="1:22" ht="12.75">
      <c r="D38" s="206"/>
      <c r="E38" s="295"/>
      <c r="F38" s="295"/>
      <c r="G38" s="2"/>
      <c r="H38" s="2"/>
    </row>
    <row r="39" spans="1:22" ht="28.5" customHeight="1">
      <c r="B39" s="1" t="s">
        <v>37</v>
      </c>
      <c r="D39" s="497" t="s">
        <v>288</v>
      </c>
      <c r="E39" s="498" t="s">
        <v>287</v>
      </c>
      <c r="F39" s="330"/>
      <c r="G39" s="8" t="s">
        <v>5</v>
      </c>
      <c r="H39" s="8">
        <f t="shared" ref="H39" si="11">G39-1</f>
        <v>2023</v>
      </c>
    </row>
    <row r="40" spans="1:22" ht="12.75">
      <c r="C40" s="1" t="s">
        <v>38</v>
      </c>
      <c r="D40" s="222">
        <f t="shared" ref="D40:D41" si="12">IFERROR(+E40/H40,0)</f>
        <v>-4.5592705167173252E-2</v>
      </c>
      <c r="E40" s="290">
        <f t="shared" ref="E40:E41" si="13">+G40-H40</f>
        <v>-240</v>
      </c>
      <c r="F40" s="290"/>
      <c r="G40" s="2">
        <v>5024</v>
      </c>
      <c r="H40" s="2">
        <v>5264</v>
      </c>
      <c r="I40" s="110"/>
    </row>
    <row r="41" spans="1:22" ht="12.75">
      <c r="C41" s="1" t="s">
        <v>39</v>
      </c>
      <c r="D41" s="222">
        <f t="shared" si="12"/>
        <v>-3.7120098986930632E-2</v>
      </c>
      <c r="E41" s="290">
        <f t="shared" si="13"/>
        <v>-192</v>
      </c>
      <c r="F41" s="290"/>
      <c r="G41" s="2">
        <v>4980.3999999999996</v>
      </c>
      <c r="H41" s="2">
        <v>5172.3999999999996</v>
      </c>
      <c r="I41" s="110"/>
    </row>
    <row r="42" spans="1:22" ht="12.75">
      <c r="D42" s="222"/>
      <c r="E42" s="288"/>
      <c r="F42" s="288"/>
      <c r="G42" s="2"/>
      <c r="H42" s="2"/>
    </row>
    <row r="43" spans="1:22" ht="21.75" customHeight="1">
      <c r="A43" s="9" t="s">
        <v>40</v>
      </c>
      <c r="D43" s="497" t="s">
        <v>288</v>
      </c>
      <c r="E43" s="498" t="s">
        <v>287</v>
      </c>
      <c r="F43" s="330"/>
      <c r="G43" s="8" t="s">
        <v>5</v>
      </c>
      <c r="H43" s="8">
        <f t="shared" ref="H43" si="14">G43-1</f>
        <v>2023</v>
      </c>
    </row>
    <row r="44" spans="1:22" ht="12.75">
      <c r="D44" s="222">
        <f t="shared" ref="D44:D48" si="15">IFERROR(+E44/H44,0)</f>
        <v>0</v>
      </c>
      <c r="E44" s="290">
        <f t="shared" ref="E44:E48" si="16">+G44-H44</f>
        <v>0</v>
      </c>
      <c r="F44" s="290"/>
      <c r="G44" s="2"/>
      <c r="H44" s="2"/>
    </row>
    <row r="45" spans="1:22" ht="12.75">
      <c r="A45" s="1"/>
      <c r="B45" s="1"/>
      <c r="C45" s="1" t="s">
        <v>7</v>
      </c>
      <c r="D45" s="222">
        <f t="shared" si="15"/>
        <v>5.4184117404712604E-3</v>
      </c>
      <c r="E45" s="290">
        <f t="shared" si="16"/>
        <v>0.79190688887803162</v>
      </c>
      <c r="F45" s="290"/>
      <c r="G45" s="10">
        <f t="shared" ref="G45:H49" si="17">G5/G$41</f>
        <v>146.94301662517069</v>
      </c>
      <c r="H45" s="10">
        <f t="shared" si="17"/>
        <v>146.15110973629265</v>
      </c>
    </row>
    <row r="46" spans="1:22" ht="12.75">
      <c r="A46" s="1"/>
      <c r="B46" s="1"/>
      <c r="C46" s="1" t="s">
        <v>8</v>
      </c>
      <c r="D46" s="222">
        <f t="shared" si="15"/>
        <v>9.9492957543139485E-2</v>
      </c>
      <c r="E46" s="290">
        <f t="shared" si="16"/>
        <v>1048.1882571669194</v>
      </c>
      <c r="F46" s="290"/>
      <c r="G46" s="2">
        <f t="shared" si="17"/>
        <v>11583.489277969642</v>
      </c>
      <c r="H46" s="2">
        <f t="shared" si="17"/>
        <v>10535.301020802723</v>
      </c>
    </row>
    <row r="47" spans="1:22" ht="12.75">
      <c r="A47" s="1"/>
      <c r="B47" s="1"/>
      <c r="C47" s="1" t="s">
        <v>9</v>
      </c>
      <c r="D47" s="222">
        <f t="shared" si="15"/>
        <v>0</v>
      </c>
      <c r="E47" s="290">
        <f t="shared" si="16"/>
        <v>0</v>
      </c>
      <c r="F47" s="290"/>
      <c r="G47" s="2">
        <f t="shared" si="17"/>
        <v>0</v>
      </c>
      <c r="H47" s="2">
        <f t="shared" si="17"/>
        <v>0</v>
      </c>
    </row>
    <row r="48" spans="1:22" ht="12.75">
      <c r="A48" s="1"/>
      <c r="B48" s="1"/>
      <c r="C48" s="1" t="s">
        <v>10</v>
      </c>
      <c r="D48" s="327">
        <f t="shared" si="15"/>
        <v>-1.4978901689771402</v>
      </c>
      <c r="E48" s="291">
        <f t="shared" si="16"/>
        <v>-11.004818713034627</v>
      </c>
      <c r="F48" s="290"/>
      <c r="G48" s="5">
        <f t="shared" si="17"/>
        <v>-3.6579391213557146</v>
      </c>
      <c r="H48" s="5">
        <f t="shared" si="17"/>
        <v>7.3468795916789116</v>
      </c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9" ht="12.75">
      <c r="A49" s="9"/>
      <c r="B49" s="9"/>
      <c r="C49" s="9" t="s">
        <v>11</v>
      </c>
      <c r="D49" s="499">
        <f t="shared" ref="D49" si="18">IFERROR(+E49/H49,0)</f>
        <v>9.7108697091130958E-2</v>
      </c>
      <c r="E49" s="500">
        <f t="shared" ref="E49" si="19">+G49-H49</f>
        <v>1037.975345342762</v>
      </c>
      <c r="F49" s="500"/>
      <c r="G49" s="11">
        <f t="shared" si="17"/>
        <v>11726.774355473457</v>
      </c>
      <c r="H49" s="11">
        <f t="shared" si="17"/>
        <v>10688.799010130695</v>
      </c>
      <c r="I49" s="9"/>
    </row>
    <row r="50" spans="1:9" ht="12.75">
      <c r="C50" s="12"/>
      <c r="D50" s="215"/>
      <c r="E50" s="298"/>
      <c r="F50" s="298"/>
      <c r="G50" s="13"/>
      <c r="H50" s="13"/>
    </row>
    <row r="51" spans="1:9" ht="12.75">
      <c r="A51" s="7"/>
      <c r="B51" s="7"/>
      <c r="C51" s="14"/>
      <c r="D51" s="216"/>
      <c r="E51" s="299"/>
      <c r="F51" s="299"/>
      <c r="G51" s="15"/>
      <c r="H51" s="15"/>
    </row>
    <row r="52" spans="1:9" ht="12.75">
      <c r="A52" s="1"/>
      <c r="B52" s="1"/>
      <c r="C52" s="1"/>
      <c r="D52" s="325"/>
      <c r="E52" s="288"/>
      <c r="F52" s="288"/>
      <c r="G52" s="16"/>
      <c r="H52" s="16"/>
    </row>
    <row r="53" spans="1:9" ht="12.75">
      <c r="A53" s="1"/>
      <c r="B53" s="1"/>
      <c r="C53" s="1" t="s">
        <v>12</v>
      </c>
      <c r="D53" s="205"/>
      <c r="E53" s="288"/>
      <c r="F53" s="288"/>
      <c r="G53" s="2"/>
      <c r="H53" s="2"/>
    </row>
    <row r="54" spans="1:9" ht="12.75">
      <c r="A54" s="1">
        <v>100</v>
      </c>
      <c r="B54" s="1">
        <v>1000</v>
      </c>
      <c r="C54" s="1" t="s">
        <v>13</v>
      </c>
      <c r="D54" s="222">
        <f t="shared" ref="D54:D70" si="20">IFERROR(+E54/H54,0)</f>
        <v>0.15389626204335305</v>
      </c>
      <c r="E54" s="290">
        <f t="shared" ref="E54:E70" si="21">+G54-H54</f>
        <v>706.09315248431813</v>
      </c>
      <c r="F54" s="290"/>
      <c r="G54" s="2">
        <f t="shared" ref="G54:H59" si="22">G12/G$41</f>
        <v>5294.2042807806602</v>
      </c>
      <c r="H54" s="2">
        <f t="shared" si="22"/>
        <v>4588.111128296342</v>
      </c>
    </row>
    <row r="55" spans="1:9" ht="12.75">
      <c r="A55" s="1">
        <v>200</v>
      </c>
      <c r="B55" s="1">
        <v>1000</v>
      </c>
      <c r="C55" s="1" t="s">
        <v>14</v>
      </c>
      <c r="D55" s="222">
        <f t="shared" si="20"/>
        <v>0</v>
      </c>
      <c r="E55" s="290">
        <f t="shared" si="21"/>
        <v>0</v>
      </c>
      <c r="F55" s="290"/>
      <c r="G55" s="2">
        <f t="shared" si="22"/>
        <v>0</v>
      </c>
      <c r="H55" s="2">
        <f t="shared" si="22"/>
        <v>0</v>
      </c>
    </row>
    <row r="56" spans="1:9" ht="12.75">
      <c r="A56" s="1">
        <v>300</v>
      </c>
      <c r="B56" s="1">
        <v>1000</v>
      </c>
      <c r="C56" s="1" t="s">
        <v>15</v>
      </c>
      <c r="D56" s="222">
        <f t="shared" si="20"/>
        <v>0.23440028132570975</v>
      </c>
      <c r="E56" s="290">
        <f t="shared" si="21"/>
        <v>30.175750701313831</v>
      </c>
      <c r="F56" s="290"/>
      <c r="G56" s="2">
        <f t="shared" si="22"/>
        <v>158.91173399726929</v>
      </c>
      <c r="H56" s="2">
        <f t="shared" si="22"/>
        <v>128.73598329595546</v>
      </c>
    </row>
    <row r="57" spans="1:9" ht="12.75">
      <c r="A57" s="1">
        <v>600</v>
      </c>
      <c r="B57" s="1">
        <v>1000</v>
      </c>
      <c r="C57" s="1" t="s">
        <v>16</v>
      </c>
      <c r="D57" s="222">
        <f t="shared" si="20"/>
        <v>0</v>
      </c>
      <c r="E57" s="290">
        <f t="shared" si="21"/>
        <v>0</v>
      </c>
      <c r="F57" s="290"/>
      <c r="G57" s="2">
        <f t="shared" si="22"/>
        <v>0</v>
      </c>
      <c r="H57" s="2">
        <f t="shared" si="22"/>
        <v>0</v>
      </c>
    </row>
    <row r="58" spans="1:9" ht="12.75">
      <c r="A58" s="1">
        <v>900</v>
      </c>
      <c r="B58" s="1">
        <v>1000</v>
      </c>
      <c r="C58" s="1" t="s">
        <v>17</v>
      </c>
      <c r="D58" s="222">
        <f t="shared" si="20"/>
        <v>0.15212197002234931</v>
      </c>
      <c r="E58" s="290">
        <f t="shared" si="21"/>
        <v>17.170689428908872</v>
      </c>
      <c r="F58" s="290"/>
      <c r="G58" s="2">
        <f t="shared" si="22"/>
        <v>130.04517709420932</v>
      </c>
      <c r="H58" s="2">
        <f t="shared" si="22"/>
        <v>112.87448766530045</v>
      </c>
    </row>
    <row r="59" spans="1:9" ht="12.75">
      <c r="A59" s="1">
        <v>400</v>
      </c>
      <c r="B59" s="1">
        <v>1000</v>
      </c>
      <c r="C59" s="1" t="s">
        <v>18</v>
      </c>
      <c r="D59" s="222">
        <f t="shared" si="20"/>
        <v>-0.19160431766607214</v>
      </c>
      <c r="E59" s="290">
        <f t="shared" si="21"/>
        <v>-61.18180278523846</v>
      </c>
      <c r="F59" s="290"/>
      <c r="G59" s="2">
        <f t="shared" si="22"/>
        <v>258.13147538350336</v>
      </c>
      <c r="H59" s="2">
        <f t="shared" si="22"/>
        <v>319.31327816874182</v>
      </c>
    </row>
    <row r="60" spans="1:9" ht="12.75">
      <c r="A60" s="1"/>
      <c r="B60" s="1">
        <v>2100</v>
      </c>
      <c r="C60" s="1" t="s">
        <v>20</v>
      </c>
      <c r="D60" s="222">
        <f t="shared" si="20"/>
        <v>0.30254647622129371</v>
      </c>
      <c r="E60" s="290">
        <f t="shared" si="21"/>
        <v>189.73917631836468</v>
      </c>
      <c r="F60" s="290"/>
      <c r="G60" s="2">
        <f t="shared" ref="G60:H70" si="23">G19/G$41</f>
        <v>816.8797686932777</v>
      </c>
      <c r="H60" s="2">
        <f t="shared" si="23"/>
        <v>627.14059237491301</v>
      </c>
    </row>
    <row r="61" spans="1:9" ht="12.75">
      <c r="B61" s="1">
        <v>2200</v>
      </c>
      <c r="C61" s="1" t="s">
        <v>21</v>
      </c>
      <c r="D61" s="222">
        <f t="shared" si="20"/>
        <v>0.12391591224603697</v>
      </c>
      <c r="E61" s="290">
        <f t="shared" si="21"/>
        <v>30.18803307604739</v>
      </c>
      <c r="F61" s="290"/>
      <c r="G61" s="2">
        <f t="shared" si="23"/>
        <v>273.80511605493535</v>
      </c>
      <c r="H61" s="2">
        <f t="shared" si="23"/>
        <v>243.61708297888796</v>
      </c>
    </row>
    <row r="62" spans="1:9" ht="12.75">
      <c r="B62" s="1">
        <v>2300</v>
      </c>
      <c r="C62" s="1" t="s">
        <v>22</v>
      </c>
      <c r="D62" s="222">
        <f t="shared" si="20"/>
        <v>0.47692953637125424</v>
      </c>
      <c r="E62" s="290">
        <f t="shared" si="21"/>
        <v>77.435029718320891</v>
      </c>
      <c r="F62" s="290"/>
      <c r="G62" s="2">
        <f t="shared" si="23"/>
        <v>239.79660268251547</v>
      </c>
      <c r="H62" s="2">
        <f t="shared" si="23"/>
        <v>162.36157296419458</v>
      </c>
    </row>
    <row r="63" spans="1:9" ht="12.75">
      <c r="B63" s="1">
        <v>2400</v>
      </c>
      <c r="C63" s="1" t="s">
        <v>23</v>
      </c>
      <c r="D63" s="222">
        <f t="shared" si="20"/>
        <v>0.22704444784211839</v>
      </c>
      <c r="E63" s="290">
        <f t="shared" si="21"/>
        <v>205.72244406021491</v>
      </c>
      <c r="F63" s="290"/>
      <c r="G63" s="2">
        <f t="shared" si="23"/>
        <v>1111.811300297165</v>
      </c>
      <c r="H63" s="2">
        <f t="shared" si="23"/>
        <v>906.08885623695005</v>
      </c>
    </row>
    <row r="64" spans="1:9" ht="12.75">
      <c r="B64" s="1">
        <v>2500</v>
      </c>
      <c r="C64" s="1" t="s">
        <v>24</v>
      </c>
      <c r="D64" s="222">
        <f t="shared" si="20"/>
        <v>0.14703572536071405</v>
      </c>
      <c r="E64" s="290">
        <f t="shared" si="21"/>
        <v>60.073832894127577</v>
      </c>
      <c r="F64" s="290"/>
      <c r="G64" s="2">
        <f t="shared" si="23"/>
        <v>468.64006907075742</v>
      </c>
      <c r="H64" s="2">
        <f t="shared" si="23"/>
        <v>408.56623617662984</v>
      </c>
    </row>
    <row r="65" spans="1:22" ht="12.75">
      <c r="B65" s="1">
        <v>2600</v>
      </c>
      <c r="C65" s="1" t="s">
        <v>25</v>
      </c>
      <c r="D65" s="222">
        <f t="shared" si="20"/>
        <v>0.17665730923502138</v>
      </c>
      <c r="E65" s="290">
        <f t="shared" si="21"/>
        <v>270.96326111232065</v>
      </c>
      <c r="F65" s="290"/>
      <c r="G65" s="2">
        <f t="shared" si="23"/>
        <v>1804.7988113404547</v>
      </c>
      <c r="H65" s="2">
        <f t="shared" si="23"/>
        <v>1533.835550228134</v>
      </c>
    </row>
    <row r="66" spans="1:22" ht="12.75">
      <c r="B66" s="1">
        <v>2700</v>
      </c>
      <c r="C66" s="1" t="s">
        <v>26</v>
      </c>
      <c r="D66" s="222">
        <f t="shared" si="20"/>
        <v>0.45995143780074149</v>
      </c>
      <c r="E66" s="290">
        <f t="shared" si="21"/>
        <v>288.77870150533829</v>
      </c>
      <c r="F66" s="290"/>
      <c r="G66" s="2">
        <f t="shared" si="23"/>
        <v>916.6247690948519</v>
      </c>
      <c r="H66" s="2">
        <f t="shared" si="23"/>
        <v>627.84606758951361</v>
      </c>
    </row>
    <row r="67" spans="1:22" ht="12.75">
      <c r="B67" s="1">
        <v>2900</v>
      </c>
      <c r="C67" s="1" t="s">
        <v>27</v>
      </c>
      <c r="D67" s="222">
        <f t="shared" si="20"/>
        <v>6.0411640189210372E-2</v>
      </c>
      <c r="E67" s="290">
        <f t="shared" si="21"/>
        <v>2.8875745548021925</v>
      </c>
      <c r="F67" s="290"/>
      <c r="G67" s="2">
        <f t="shared" si="23"/>
        <v>50.685888683639874</v>
      </c>
      <c r="H67" s="2">
        <f t="shared" si="23"/>
        <v>47.798314128837681</v>
      </c>
    </row>
    <row r="68" spans="1:22" ht="12.75">
      <c r="B68" s="1">
        <v>4000</v>
      </c>
      <c r="C68" s="1" t="s">
        <v>28</v>
      </c>
      <c r="D68" s="222">
        <f t="shared" si="20"/>
        <v>0.50990872770060003</v>
      </c>
      <c r="E68" s="290">
        <f t="shared" si="21"/>
        <v>29.476991116754512</v>
      </c>
      <c r="F68" s="290"/>
      <c r="G68" s="2">
        <f t="shared" si="23"/>
        <v>87.285358605734487</v>
      </c>
      <c r="H68" s="2">
        <f t="shared" si="23"/>
        <v>57.808367488979975</v>
      </c>
    </row>
    <row r="69" spans="1:22" ht="12.75">
      <c r="B69" s="1">
        <v>8000</v>
      </c>
      <c r="C69" s="1" t="s">
        <v>29</v>
      </c>
      <c r="D69" s="222">
        <f t="shared" si="20"/>
        <v>-0.35911015327381279</v>
      </c>
      <c r="E69" s="290">
        <f t="shared" si="21"/>
        <v>-36.29356442345636</v>
      </c>
      <c r="F69" s="290"/>
      <c r="G69" s="2">
        <f t="shared" si="23"/>
        <v>64.771705083929007</v>
      </c>
      <c r="H69" s="2">
        <f t="shared" si="23"/>
        <v>101.06526950738537</v>
      </c>
    </row>
    <row r="70" spans="1:22" ht="12.75">
      <c r="B70" s="1">
        <v>9000</v>
      </c>
      <c r="C70" s="1" t="s">
        <v>30</v>
      </c>
      <c r="D70" s="222">
        <f t="shared" si="20"/>
        <v>0.33813317435114876</v>
      </c>
      <c r="E70" s="290">
        <f t="shared" si="21"/>
        <v>339.93745778090897</v>
      </c>
      <c r="F70" s="290"/>
      <c r="G70" s="2">
        <f t="shared" si="23"/>
        <v>1345.2734720102803</v>
      </c>
      <c r="H70" s="2">
        <f t="shared" si="23"/>
        <v>1005.3360142293714</v>
      </c>
    </row>
    <row r="71" spans="1:22" ht="12.75">
      <c r="D71" s="209"/>
      <c r="E71" s="293"/>
      <c r="F71" s="293"/>
      <c r="G71" s="5"/>
      <c r="H71" s="5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12.75">
      <c r="A72" s="9"/>
      <c r="B72" s="9"/>
      <c r="C72" s="9" t="s">
        <v>31</v>
      </c>
      <c r="D72" s="214"/>
      <c r="E72" s="297"/>
      <c r="F72" s="297"/>
      <c r="G72" s="11">
        <f>G32/G$41</f>
        <v>13021.665528873184</v>
      </c>
      <c r="H72" s="11">
        <f>H32/H$41</f>
        <v>10870.498801330137</v>
      </c>
      <c r="I72" s="9"/>
    </row>
    <row r="73" spans="1:22" ht="12.75">
      <c r="D73" s="325"/>
      <c r="E73" s="288"/>
      <c r="F73" s="288"/>
      <c r="G73" s="16"/>
      <c r="H73" s="16"/>
    </row>
    <row r="74" spans="1:22" ht="14.25">
      <c r="C74" s="1" t="s">
        <v>32</v>
      </c>
      <c r="D74" s="326"/>
      <c r="E74" s="292"/>
      <c r="F74" s="292"/>
      <c r="G74" s="199">
        <f>G34/G$41</f>
        <v>-1294.891173399727</v>
      </c>
      <c r="H74" s="199">
        <f>H34/H$41</f>
        <v>-181.69979119944321</v>
      </c>
    </row>
    <row r="75" spans="1:22" ht="12.75">
      <c r="D75" s="205"/>
      <c r="E75" s="288"/>
      <c r="F75" s="288"/>
      <c r="G75" s="2"/>
      <c r="H75" s="2"/>
    </row>
    <row r="76" spans="1:22" ht="12.75">
      <c r="A76" s="6"/>
      <c r="B76" s="6"/>
      <c r="C76" s="6" t="s">
        <v>33</v>
      </c>
      <c r="D76" s="213"/>
      <c r="E76" s="288"/>
      <c r="F76" s="288"/>
      <c r="G76" s="10">
        <f>G36/G$41</f>
        <v>837.27270901935594</v>
      </c>
      <c r="H76" s="10">
        <f>H36/H$41</f>
        <v>2053.0177480473285</v>
      </c>
    </row>
    <row r="77" spans="1:22" ht="12.75">
      <c r="C77" s="1"/>
      <c r="D77" s="205"/>
      <c r="E77" s="288"/>
      <c r="F77" s="288"/>
      <c r="G77" s="2"/>
      <c r="H77" s="2"/>
    </row>
    <row r="78" spans="1:22" ht="12.75">
      <c r="D78" s="205"/>
      <c r="E78" s="288"/>
      <c r="F78" s="288"/>
      <c r="G78" s="2"/>
      <c r="H78" s="2"/>
    </row>
    <row r="79" spans="1:22" ht="12.75">
      <c r="D79" s="205"/>
      <c r="E79" s="288"/>
      <c r="F79" s="288"/>
      <c r="G79" s="2"/>
      <c r="H79" s="2"/>
    </row>
    <row r="80" spans="1:22" ht="12.75">
      <c r="A80" t="s">
        <v>269</v>
      </c>
      <c r="D80" s="205"/>
      <c r="E80" s="288"/>
      <c r="F80" s="288"/>
      <c r="G80" s="2"/>
      <c r="H80" s="2"/>
    </row>
    <row r="81" spans="3:8" ht="12.75">
      <c r="C81" t="s">
        <v>92</v>
      </c>
      <c r="D81" s="222">
        <f t="shared" ref="D81:D94" si="24">IFERROR(+E81/H81,0)</f>
        <v>9.233350309850219E-2</v>
      </c>
      <c r="E81" s="290">
        <f t="shared" ref="E81:E94" si="25">+G81-H81</f>
        <v>2459106</v>
      </c>
      <c r="F81" s="290"/>
      <c r="G81" s="2">
        <f>SUM(G12:G17)</f>
        <v>29091974</v>
      </c>
      <c r="H81" s="2">
        <f>SUM(H12:H17)</f>
        <v>26632868</v>
      </c>
    </row>
    <row r="82" spans="3:8" ht="12.75">
      <c r="C82" s="1" t="s">
        <v>20</v>
      </c>
      <c r="D82" s="222">
        <f t="shared" si="24"/>
        <v>0.25419582208888158</v>
      </c>
      <c r="E82" s="290">
        <f t="shared" si="25"/>
        <v>824566</v>
      </c>
      <c r="F82" s="290"/>
      <c r="G82" s="2">
        <f t="shared" ref="G82:H92" si="26">+G19</f>
        <v>4068388</v>
      </c>
      <c r="H82" s="2">
        <f t="shared" si="26"/>
        <v>3243822</v>
      </c>
    </row>
    <row r="83" spans="3:8" ht="12.75">
      <c r="C83" s="1" t="s">
        <v>21</v>
      </c>
      <c r="D83" s="222">
        <f t="shared" si="24"/>
        <v>8.2196042330477712E-2</v>
      </c>
      <c r="E83" s="290">
        <f t="shared" si="25"/>
        <v>103574</v>
      </c>
      <c r="F83" s="290"/>
      <c r="G83" s="2">
        <f t="shared" si="26"/>
        <v>1363659</v>
      </c>
      <c r="H83" s="2">
        <f t="shared" si="26"/>
        <v>1260085</v>
      </c>
    </row>
    <row r="84" spans="3:8" ht="12.75">
      <c r="C84" s="1" t="s">
        <v>22</v>
      </c>
      <c r="D84" s="222">
        <f t="shared" si="24"/>
        <v>0.42210576578443176</v>
      </c>
      <c r="E84" s="290">
        <f t="shared" si="25"/>
        <v>354484</v>
      </c>
      <c r="F84" s="290"/>
      <c r="G84" s="2">
        <f t="shared" si="26"/>
        <v>1194283</v>
      </c>
      <c r="H84" s="2">
        <f t="shared" si="26"/>
        <v>839799</v>
      </c>
    </row>
    <row r="85" spans="3:8" ht="12.75">
      <c r="C85" s="1" t="s">
        <v>23</v>
      </c>
      <c r="D85" s="222">
        <f t="shared" si="24"/>
        <v>0.18149643647685534</v>
      </c>
      <c r="E85" s="290">
        <f t="shared" si="25"/>
        <v>850611</v>
      </c>
      <c r="F85" s="290"/>
      <c r="G85" s="2">
        <f t="shared" si="26"/>
        <v>5537265</v>
      </c>
      <c r="H85" s="2">
        <f t="shared" si="26"/>
        <v>4686654</v>
      </c>
    </row>
    <row r="86" spans="3:8" ht="12.75">
      <c r="C86" s="1" t="s">
        <v>24</v>
      </c>
      <c r="D86" s="222">
        <f t="shared" si="24"/>
        <v>0.10445764569377855</v>
      </c>
      <c r="E86" s="290">
        <f t="shared" si="25"/>
        <v>220747</v>
      </c>
      <c r="F86" s="290"/>
      <c r="G86" s="2">
        <f t="shared" si="26"/>
        <v>2334015</v>
      </c>
      <c r="H86" s="2">
        <f t="shared" si="26"/>
        <v>2113268</v>
      </c>
    </row>
    <row r="87" spans="3:8" ht="12.75">
      <c r="C87" s="1" t="s">
        <v>25</v>
      </c>
      <c r="D87" s="222">
        <f t="shared" si="24"/>
        <v>0.13297967344252196</v>
      </c>
      <c r="E87" s="290">
        <f t="shared" si="25"/>
        <v>1055009</v>
      </c>
      <c r="F87" s="290"/>
      <c r="G87" s="2">
        <f t="shared" si="26"/>
        <v>8988620</v>
      </c>
      <c r="H87" s="2">
        <f t="shared" si="26"/>
        <v>7933611</v>
      </c>
    </row>
    <row r="88" spans="3:8" ht="12.75">
      <c r="C88" s="1" t="s">
        <v>26</v>
      </c>
      <c r="D88" s="222">
        <f t="shared" si="24"/>
        <v>0.40575789591346623</v>
      </c>
      <c r="E88" s="290">
        <f t="shared" si="25"/>
        <v>1317687</v>
      </c>
      <c r="F88" s="290"/>
      <c r="G88" s="2">
        <f t="shared" si="26"/>
        <v>4565158</v>
      </c>
      <c r="H88" s="2">
        <f t="shared" si="26"/>
        <v>3247471</v>
      </c>
    </row>
    <row r="89" spans="3:8" ht="12.75">
      <c r="C89" s="1" t="s">
        <v>27</v>
      </c>
      <c r="D89" s="222">
        <f t="shared" si="24"/>
        <v>2.1049055138493398E-2</v>
      </c>
      <c r="E89" s="290">
        <f t="shared" si="25"/>
        <v>5204</v>
      </c>
      <c r="F89" s="290"/>
      <c r="G89" s="2">
        <f t="shared" si="26"/>
        <v>252436</v>
      </c>
      <c r="H89" s="2">
        <f t="shared" si="26"/>
        <v>247232</v>
      </c>
    </row>
    <row r="90" spans="3:8" ht="12.75">
      <c r="C90" s="1" t="s">
        <v>28</v>
      </c>
      <c r="D90" s="222">
        <f t="shared" si="24"/>
        <v>0.45386076626712329</v>
      </c>
      <c r="E90" s="290">
        <f t="shared" si="25"/>
        <v>135708</v>
      </c>
      <c r="F90" s="290"/>
      <c r="G90" s="2">
        <f t="shared" si="26"/>
        <v>434716</v>
      </c>
      <c r="H90" s="2">
        <f t="shared" si="26"/>
        <v>299008</v>
      </c>
    </row>
    <row r="91" spans="3:8" ht="12.75">
      <c r="C91" s="1" t="s">
        <v>29</v>
      </c>
      <c r="D91" s="222">
        <f t="shared" si="24"/>
        <v>-0.38290004782400766</v>
      </c>
      <c r="E91" s="290">
        <f t="shared" si="25"/>
        <v>-200161</v>
      </c>
      <c r="F91" s="290"/>
      <c r="G91" s="2">
        <f t="shared" si="26"/>
        <v>322589</v>
      </c>
      <c r="H91" s="2">
        <f t="shared" si="26"/>
        <v>522750</v>
      </c>
    </row>
    <row r="92" spans="3:8" ht="12.75">
      <c r="C92" s="1" t="s">
        <v>30</v>
      </c>
      <c r="D92" s="327">
        <f t="shared" si="24"/>
        <v>0.28846153846153844</v>
      </c>
      <c r="E92" s="291">
        <f t="shared" si="25"/>
        <v>1500000</v>
      </c>
      <c r="F92" s="291"/>
      <c r="G92" s="128">
        <f t="shared" si="26"/>
        <v>6700000</v>
      </c>
      <c r="H92" s="128">
        <f t="shared" si="26"/>
        <v>5200000</v>
      </c>
    </row>
    <row r="93" spans="3:8" ht="12.75">
      <c r="D93" s="222"/>
      <c r="E93" s="290"/>
      <c r="F93" s="290"/>
      <c r="G93" s="2"/>
      <c r="H93" s="2"/>
    </row>
    <row r="94" spans="3:8" ht="12.75">
      <c r="C94" s="1" t="s">
        <v>268</v>
      </c>
      <c r="D94" s="222">
        <f t="shared" si="24"/>
        <v>0.15342453410992468</v>
      </c>
      <c r="E94" s="290">
        <f t="shared" si="25"/>
        <v>8626535</v>
      </c>
      <c r="F94" s="290"/>
      <c r="G94" s="2">
        <f t="shared" ref="G94:H94" si="27">SUM(G80:G93)</f>
        <v>64853103</v>
      </c>
      <c r="H94" s="2">
        <f t="shared" si="27"/>
        <v>56226568</v>
      </c>
    </row>
    <row r="95" spans="3:8" ht="12.75">
      <c r="D95" s="205"/>
      <c r="E95" s="288"/>
      <c r="F95" s="288"/>
      <c r="G95" s="2"/>
      <c r="H95" s="2"/>
    </row>
    <row r="96" spans="3:8" ht="12.75">
      <c r="D96" s="205"/>
      <c r="E96" s="288"/>
      <c r="F96" s="288"/>
      <c r="G96" s="2"/>
      <c r="H96" s="2"/>
    </row>
    <row r="97" spans="1:8" ht="12.75">
      <c r="A97" t="s">
        <v>270</v>
      </c>
      <c r="D97" s="205"/>
      <c r="E97" s="288"/>
      <c r="F97" s="288"/>
      <c r="G97" s="2"/>
      <c r="H97" s="2"/>
    </row>
    <row r="98" spans="1:8" ht="12.75">
      <c r="C98" t="s">
        <v>92</v>
      </c>
      <c r="D98" s="222">
        <f t="shared" ref="D98:D111" si="28">IFERROR(+E98/H98,0)</f>
        <v>-5.2964913789149817E-2</v>
      </c>
      <c r="E98" s="501">
        <f t="shared" ref="E98:E111" si="29">+G98-H98</f>
        <v>-2.5087918536621456E-2</v>
      </c>
      <c r="F98" s="501"/>
      <c r="G98" s="103">
        <f t="shared" ref="G98:H109" si="30">+G81/G$94</f>
        <v>0.44858260675668826</v>
      </c>
      <c r="H98" s="103">
        <f t="shared" si="30"/>
        <v>0.47367052529330972</v>
      </c>
    </row>
    <row r="99" spans="1:8" ht="12.75">
      <c r="C99" s="1" t="s">
        <v>20</v>
      </c>
      <c r="D99" s="222">
        <f t="shared" si="28"/>
        <v>8.7367040494522097E-2</v>
      </c>
      <c r="E99" s="501">
        <f t="shared" si="29"/>
        <v>5.0403774961157444E-3</v>
      </c>
      <c r="F99" s="501"/>
      <c r="G99" s="103">
        <f t="shared" si="30"/>
        <v>6.2732356846518206E-2</v>
      </c>
      <c r="H99" s="103">
        <f t="shared" si="30"/>
        <v>5.7691979350402461E-2</v>
      </c>
    </row>
    <row r="100" spans="1:8" ht="12.75">
      <c r="C100" s="1" t="s">
        <v>21</v>
      </c>
      <c r="D100" s="222">
        <f t="shared" si="28"/>
        <v>-6.1753924659156613E-2</v>
      </c>
      <c r="E100" s="501">
        <f t="shared" si="29"/>
        <v>-1.3839577431461469E-3</v>
      </c>
      <c r="F100" s="501"/>
      <c r="G100" s="103">
        <f t="shared" si="30"/>
        <v>2.1026889029504107E-2</v>
      </c>
      <c r="H100" s="103">
        <f t="shared" si="30"/>
        <v>2.2410846772650254E-2</v>
      </c>
    </row>
    <row r="101" spans="1:8" ht="12.75">
      <c r="C101" s="1" t="s">
        <v>22</v>
      </c>
      <c r="D101" s="222">
        <f t="shared" si="28"/>
        <v>0.232942185404304</v>
      </c>
      <c r="E101" s="501">
        <f t="shared" si="29"/>
        <v>3.4792202568783692E-3</v>
      </c>
      <c r="F101" s="501"/>
      <c r="G101" s="103">
        <f t="shared" si="30"/>
        <v>1.8415202122248491E-2</v>
      </c>
      <c r="H101" s="103">
        <f t="shared" si="30"/>
        <v>1.4935981865370122E-2</v>
      </c>
    </row>
    <row r="102" spans="1:8" ht="12.75">
      <c r="C102" s="1" t="s">
        <v>23</v>
      </c>
      <c r="D102" s="222">
        <f t="shared" si="28"/>
        <v>2.4337875202726764E-2</v>
      </c>
      <c r="E102" s="501">
        <f t="shared" si="29"/>
        <v>2.0286352916002309E-3</v>
      </c>
      <c r="F102" s="501"/>
      <c r="G102" s="103">
        <f t="shared" si="30"/>
        <v>8.5381650898030279E-2</v>
      </c>
      <c r="H102" s="103">
        <f t="shared" si="30"/>
        <v>8.3353015606430048E-2</v>
      </c>
    </row>
    <row r="103" spans="1:8" ht="12.75">
      <c r="C103" s="1" t="s">
        <v>24</v>
      </c>
      <c r="D103" s="222">
        <f t="shared" si="28"/>
        <v>-4.2453482623319605E-2</v>
      </c>
      <c r="E103" s="501">
        <f t="shared" si="29"/>
        <v>-1.5956084375702492E-3</v>
      </c>
      <c r="F103" s="501"/>
      <c r="G103" s="103">
        <f t="shared" si="30"/>
        <v>3.5989257137010081E-2</v>
      </c>
      <c r="H103" s="103">
        <f t="shared" si="30"/>
        <v>3.758486557458033E-2</v>
      </c>
    </row>
    <row r="104" spans="1:8" ht="12.75">
      <c r="C104" s="1" t="s">
        <v>25</v>
      </c>
      <c r="D104" s="222">
        <f t="shared" si="28"/>
        <v>-1.7725356157071586E-2</v>
      </c>
      <c r="E104" s="501">
        <f t="shared" si="29"/>
        <v>-2.5010610746624418E-3</v>
      </c>
      <c r="F104" s="501"/>
      <c r="G104" s="103">
        <f t="shared" si="30"/>
        <v>0.13859969044195156</v>
      </c>
      <c r="H104" s="103">
        <f t="shared" si="30"/>
        <v>0.141100751516614</v>
      </c>
    </row>
    <row r="105" spans="1:8" ht="12.75">
      <c r="C105" s="1" t="s">
        <v>26</v>
      </c>
      <c r="D105" s="222">
        <f t="shared" si="28"/>
        <v>0.2187688525268473</v>
      </c>
      <c r="E105" s="501">
        <f t="shared" si="29"/>
        <v>1.2635405815347174E-2</v>
      </c>
      <c r="F105" s="501"/>
      <c r="G105" s="103">
        <f t="shared" si="30"/>
        <v>7.0392283311409176E-2</v>
      </c>
      <c r="H105" s="103">
        <f t="shared" si="30"/>
        <v>5.7756877496062002E-2</v>
      </c>
    </row>
    <row r="106" spans="1:8" ht="12.75">
      <c r="C106" s="1" t="s">
        <v>27</v>
      </c>
      <c r="D106" s="222">
        <f t="shared" si="28"/>
        <v>-0.11476735153165687</v>
      </c>
      <c r="E106" s="501">
        <f t="shared" si="29"/>
        <v>-5.0463976129353286E-4</v>
      </c>
      <c r="F106" s="501"/>
      <c r="G106" s="103">
        <f t="shared" si="30"/>
        <v>3.8924274756752964E-3</v>
      </c>
      <c r="H106" s="103">
        <f t="shared" si="30"/>
        <v>4.3970672369688293E-3</v>
      </c>
    </row>
    <row r="107" spans="1:8" ht="12.75">
      <c r="C107" s="1" t="s">
        <v>28</v>
      </c>
      <c r="D107" s="222">
        <f t="shared" si="28"/>
        <v>0.26047324577592712</v>
      </c>
      <c r="E107" s="501">
        <f t="shared" si="29"/>
        <v>1.385174074166654E-3</v>
      </c>
      <c r="F107" s="501"/>
      <c r="G107" s="103">
        <f t="shared" si="30"/>
        <v>6.7030871290769236E-3</v>
      </c>
      <c r="H107" s="103">
        <f t="shared" si="30"/>
        <v>5.3179130549102695E-3</v>
      </c>
    </row>
    <row r="108" spans="1:8" ht="12.75">
      <c r="C108" s="1" t="s">
        <v>29</v>
      </c>
      <c r="D108" s="222">
        <f t="shared" si="28"/>
        <v>-0.46498454478238022</v>
      </c>
      <c r="E108" s="501">
        <f t="shared" si="29"/>
        <v>-4.3230572206539308E-3</v>
      </c>
      <c r="F108" s="501"/>
      <c r="G108" s="103">
        <f t="shared" si="30"/>
        <v>4.9741490395609905E-3</v>
      </c>
      <c r="H108" s="103">
        <f t="shared" si="30"/>
        <v>9.2972062602149214E-3</v>
      </c>
    </row>
    <row r="109" spans="1:8" ht="12.75">
      <c r="C109" s="1" t="s">
        <v>30</v>
      </c>
      <c r="D109" s="327">
        <f t="shared" si="28"/>
        <v>0.11707485002980199</v>
      </c>
      <c r="E109" s="502">
        <f t="shared" si="29"/>
        <v>1.08274298398396E-2</v>
      </c>
      <c r="F109" s="502"/>
      <c r="G109" s="147">
        <f t="shared" si="30"/>
        <v>0.10331039981232663</v>
      </c>
      <c r="H109" s="147">
        <f t="shared" si="30"/>
        <v>9.2482969972487034E-2</v>
      </c>
    </row>
    <row r="110" spans="1:8" ht="12.75">
      <c r="D110" s="222"/>
      <c r="E110" s="501"/>
      <c r="F110" s="501"/>
      <c r="G110" s="103"/>
      <c r="H110" s="103"/>
    </row>
    <row r="111" spans="1:8" ht="12.75">
      <c r="C111" s="1" t="s">
        <v>268</v>
      </c>
      <c r="D111" s="222">
        <f t="shared" si="28"/>
        <v>0</v>
      </c>
      <c r="E111" s="501">
        <f t="shared" si="29"/>
        <v>0</v>
      </c>
      <c r="F111" s="501"/>
      <c r="G111" s="103">
        <f>+G94/G$94</f>
        <v>1</v>
      </c>
      <c r="H111" s="103">
        <f>+H94/H$94</f>
        <v>1</v>
      </c>
    </row>
    <row r="112" spans="1:8" ht="12.75">
      <c r="B112" s="166"/>
      <c r="C112" s="166"/>
      <c r="D112" s="205"/>
      <c r="E112" s="288"/>
      <c r="F112" s="288"/>
      <c r="G112" s="167"/>
      <c r="H112" s="167"/>
    </row>
    <row r="113" spans="2:8" ht="12.75">
      <c r="B113" s="166"/>
      <c r="C113" s="118" t="s">
        <v>272</v>
      </c>
      <c r="D113" s="225"/>
      <c r="E113" s="300"/>
      <c r="F113" s="300"/>
      <c r="G113" s="160" t="s">
        <v>5</v>
      </c>
      <c r="H113" s="160">
        <f t="shared" ref="H113" si="31">G113-1</f>
        <v>2023</v>
      </c>
    </row>
    <row r="114" spans="2:8" ht="12.75">
      <c r="B114" s="166"/>
      <c r="C114" s="107" t="s">
        <v>92</v>
      </c>
      <c r="D114" s="222">
        <f t="shared" ref="D114:D127" si="32">IFERROR(+E114/H114,0)</f>
        <v>0.13444418348459794</v>
      </c>
      <c r="E114" s="501">
        <f t="shared" ref="E114:E127" si="33">+G114-H114</f>
        <v>692.25778982930115</v>
      </c>
      <c r="F114" s="501"/>
      <c r="G114" s="162">
        <f>SUM(G54:G59)</f>
        <v>5841.2926672556414</v>
      </c>
      <c r="H114" s="162">
        <f>SUM(H54:H59)</f>
        <v>5149.0348774263402</v>
      </c>
    </row>
    <row r="115" spans="2:8" ht="12.75">
      <c r="B115" s="166"/>
      <c r="C115" s="156" t="s">
        <v>20</v>
      </c>
      <c r="D115" s="222">
        <f t="shared" si="32"/>
        <v>0.30254647622129371</v>
      </c>
      <c r="E115" s="501">
        <f t="shared" si="33"/>
        <v>189.73917631836468</v>
      </c>
      <c r="F115" s="501"/>
      <c r="G115" s="2">
        <f t="shared" ref="G115:H125" si="34">+G60</f>
        <v>816.8797686932777</v>
      </c>
      <c r="H115" s="2">
        <f t="shared" si="34"/>
        <v>627.14059237491301</v>
      </c>
    </row>
    <row r="116" spans="2:8" ht="12.75">
      <c r="B116" s="166"/>
      <c r="C116" s="156" t="s">
        <v>21</v>
      </c>
      <c r="D116" s="222">
        <f t="shared" si="32"/>
        <v>0.12391591224603697</v>
      </c>
      <c r="E116" s="501">
        <f t="shared" si="33"/>
        <v>30.18803307604739</v>
      </c>
      <c r="F116" s="501"/>
      <c r="G116" s="2">
        <f t="shared" si="34"/>
        <v>273.80511605493535</v>
      </c>
      <c r="H116" s="2">
        <f t="shared" si="34"/>
        <v>243.61708297888796</v>
      </c>
    </row>
    <row r="117" spans="2:8" ht="12.75">
      <c r="B117" s="166"/>
      <c r="C117" s="156" t="s">
        <v>22</v>
      </c>
      <c r="D117" s="222">
        <f t="shared" si="32"/>
        <v>0.47692953637125424</v>
      </c>
      <c r="E117" s="501">
        <f t="shared" si="33"/>
        <v>77.435029718320891</v>
      </c>
      <c r="F117" s="501"/>
      <c r="G117" s="2">
        <f t="shared" si="34"/>
        <v>239.79660268251547</v>
      </c>
      <c r="H117" s="2">
        <f t="shared" si="34"/>
        <v>162.36157296419458</v>
      </c>
    </row>
    <row r="118" spans="2:8" ht="12.75">
      <c r="B118" s="166"/>
      <c r="C118" s="156" t="s">
        <v>23</v>
      </c>
      <c r="D118" s="222">
        <f t="shared" si="32"/>
        <v>0.22704444784211839</v>
      </c>
      <c r="E118" s="501">
        <f t="shared" si="33"/>
        <v>205.72244406021491</v>
      </c>
      <c r="F118" s="501"/>
      <c r="G118" s="2">
        <f t="shared" si="34"/>
        <v>1111.811300297165</v>
      </c>
      <c r="H118" s="2">
        <f t="shared" si="34"/>
        <v>906.08885623695005</v>
      </c>
    </row>
    <row r="119" spans="2:8" ht="12.75">
      <c r="B119" s="166"/>
      <c r="C119" s="156" t="s">
        <v>24</v>
      </c>
      <c r="D119" s="222">
        <f t="shared" si="32"/>
        <v>0.14703572536071405</v>
      </c>
      <c r="E119" s="501">
        <f t="shared" si="33"/>
        <v>60.073832894127577</v>
      </c>
      <c r="F119" s="501"/>
      <c r="G119" s="2">
        <f t="shared" si="34"/>
        <v>468.64006907075742</v>
      </c>
      <c r="H119" s="2">
        <f t="shared" si="34"/>
        <v>408.56623617662984</v>
      </c>
    </row>
    <row r="120" spans="2:8" ht="12.75">
      <c r="B120" s="166"/>
      <c r="C120" s="156" t="s">
        <v>25</v>
      </c>
      <c r="D120" s="222">
        <f t="shared" si="32"/>
        <v>0.17665730923502138</v>
      </c>
      <c r="E120" s="501">
        <f t="shared" si="33"/>
        <v>270.96326111232065</v>
      </c>
      <c r="F120" s="501"/>
      <c r="G120" s="2">
        <f t="shared" si="34"/>
        <v>1804.7988113404547</v>
      </c>
      <c r="H120" s="2">
        <f t="shared" si="34"/>
        <v>1533.835550228134</v>
      </c>
    </row>
    <row r="121" spans="2:8" ht="12.75">
      <c r="B121" s="166"/>
      <c r="C121" s="156" t="s">
        <v>26</v>
      </c>
      <c r="D121" s="222">
        <f t="shared" si="32"/>
        <v>0.45995143780074149</v>
      </c>
      <c r="E121" s="501">
        <f t="shared" si="33"/>
        <v>288.77870150533829</v>
      </c>
      <c r="F121" s="501"/>
      <c r="G121" s="2">
        <f t="shared" si="34"/>
        <v>916.6247690948519</v>
      </c>
      <c r="H121" s="2">
        <f t="shared" si="34"/>
        <v>627.84606758951361</v>
      </c>
    </row>
    <row r="122" spans="2:8" ht="12.75">
      <c r="B122" s="166"/>
      <c r="C122" s="156" t="s">
        <v>27</v>
      </c>
      <c r="D122" s="222">
        <f t="shared" si="32"/>
        <v>6.0411640189210372E-2</v>
      </c>
      <c r="E122" s="501">
        <f t="shared" si="33"/>
        <v>2.8875745548021925</v>
      </c>
      <c r="F122" s="501"/>
      <c r="G122" s="2">
        <f t="shared" si="34"/>
        <v>50.685888683639874</v>
      </c>
      <c r="H122" s="2">
        <f t="shared" si="34"/>
        <v>47.798314128837681</v>
      </c>
    </row>
    <row r="123" spans="2:8" ht="12.75">
      <c r="B123" s="166"/>
      <c r="C123" s="156" t="s">
        <v>28</v>
      </c>
      <c r="D123" s="222">
        <f t="shared" si="32"/>
        <v>0.50990872770060003</v>
      </c>
      <c r="E123" s="501">
        <f t="shared" si="33"/>
        <v>29.476991116754512</v>
      </c>
      <c r="F123" s="501"/>
      <c r="G123" s="2">
        <f t="shared" si="34"/>
        <v>87.285358605734487</v>
      </c>
      <c r="H123" s="2">
        <f t="shared" si="34"/>
        <v>57.808367488979975</v>
      </c>
    </row>
    <row r="124" spans="2:8" ht="12.75">
      <c r="B124" s="166"/>
      <c r="C124" s="156" t="s">
        <v>29</v>
      </c>
      <c r="D124" s="222">
        <f t="shared" si="32"/>
        <v>-0.35911015327381279</v>
      </c>
      <c r="E124" s="501">
        <f t="shared" si="33"/>
        <v>-36.29356442345636</v>
      </c>
      <c r="F124" s="501"/>
      <c r="G124" s="2">
        <f t="shared" si="34"/>
        <v>64.771705083929007</v>
      </c>
      <c r="H124" s="2">
        <f t="shared" si="34"/>
        <v>101.06526950738537</v>
      </c>
    </row>
    <row r="125" spans="2:8" ht="12.75">
      <c r="B125" s="166"/>
      <c r="C125" s="156" t="s">
        <v>30</v>
      </c>
      <c r="D125" s="327">
        <f t="shared" si="32"/>
        <v>0.33813317435114876</v>
      </c>
      <c r="E125" s="502">
        <f t="shared" si="33"/>
        <v>339.93745778090897</v>
      </c>
      <c r="F125" s="502"/>
      <c r="G125" s="128">
        <f t="shared" si="34"/>
        <v>1345.2734720102803</v>
      </c>
      <c r="H125" s="128">
        <f t="shared" si="34"/>
        <v>1005.3360142293714</v>
      </c>
    </row>
    <row r="126" spans="2:8" ht="12.75">
      <c r="B126" s="166"/>
      <c r="C126" s="107"/>
      <c r="D126" s="222"/>
      <c r="E126" s="501"/>
      <c r="F126" s="501"/>
      <c r="G126" s="2"/>
      <c r="H126" s="2"/>
    </row>
    <row r="127" spans="2:8" ht="12.75">
      <c r="B127" s="166"/>
      <c r="C127" s="158" t="s">
        <v>268</v>
      </c>
      <c r="D127" s="327">
        <f t="shared" si="32"/>
        <v>9.9404148957476339E-3</v>
      </c>
      <c r="E127" s="502">
        <f t="shared" si="33"/>
        <v>128.16672754304636</v>
      </c>
      <c r="F127" s="502"/>
      <c r="G127" s="164">
        <f t="shared" ref="G127:H127" si="35">SUM(G113:G126)</f>
        <v>13021.665528873184</v>
      </c>
      <c r="H127" s="164">
        <f t="shared" si="35"/>
        <v>12893.498801330137</v>
      </c>
    </row>
    <row r="128" spans="2:8" ht="12.75">
      <c r="B128" s="166"/>
      <c r="C128" s="166"/>
      <c r="D128" s="205"/>
      <c r="E128" s="288"/>
      <c r="F128" s="288"/>
      <c r="G128" s="167"/>
      <c r="H128" s="167"/>
    </row>
    <row r="129" spans="4:8" ht="12.75">
      <c r="D129" s="205"/>
      <c r="E129" s="288"/>
      <c r="F129" s="288"/>
      <c r="G129" s="2"/>
      <c r="H129" s="2"/>
    </row>
    <row r="130" spans="4:8" ht="12.75">
      <c r="D130" s="205"/>
      <c r="E130" s="288"/>
      <c r="F130" s="288"/>
      <c r="G130" s="2"/>
      <c r="H130" s="2"/>
    </row>
    <row r="131" spans="4:8" ht="12.75">
      <c r="D131" s="205"/>
      <c r="E131" s="288"/>
      <c r="F131" s="288"/>
      <c r="G131" s="2"/>
      <c r="H131" s="2"/>
    </row>
    <row r="132" spans="4:8" ht="12.75">
      <c r="D132" s="205"/>
      <c r="E132" s="288"/>
      <c r="F132" s="288"/>
      <c r="G132" s="2"/>
      <c r="H132" s="2"/>
    </row>
    <row r="133" spans="4:8" ht="12.75">
      <c r="D133" s="205"/>
      <c r="E133" s="288"/>
      <c r="F133" s="288"/>
      <c r="G133" s="2"/>
      <c r="H133" s="2"/>
    </row>
    <row r="134" spans="4:8" ht="12.75">
      <c r="D134" s="205"/>
      <c r="E134" s="288"/>
      <c r="F134" s="288"/>
      <c r="G134" s="2"/>
      <c r="H134" s="2"/>
    </row>
    <row r="135" spans="4:8" ht="12.75">
      <c r="D135" s="205"/>
      <c r="E135" s="288"/>
      <c r="F135" s="288"/>
      <c r="G135" s="2"/>
      <c r="H135" s="2"/>
    </row>
    <row r="136" spans="4:8" ht="12.75">
      <c r="D136" s="205"/>
      <c r="E136" s="288"/>
      <c r="F136" s="288"/>
      <c r="G136" s="2"/>
      <c r="H136" s="2"/>
    </row>
    <row r="137" spans="4:8" ht="12.75">
      <c r="D137" s="205"/>
      <c r="E137" s="288"/>
      <c r="F137" s="288"/>
      <c r="G137" s="2"/>
      <c r="H137" s="2"/>
    </row>
    <row r="138" spans="4:8" ht="12.75">
      <c r="D138" s="205"/>
      <c r="E138" s="288"/>
      <c r="F138" s="288"/>
      <c r="G138" s="2"/>
      <c r="H138" s="2"/>
    </row>
    <row r="139" spans="4:8" ht="12.75">
      <c r="D139" s="205"/>
      <c r="E139" s="288"/>
      <c r="F139" s="288"/>
      <c r="G139" s="2"/>
      <c r="H139" s="2"/>
    </row>
    <row r="140" spans="4:8" ht="12.75">
      <c r="D140" s="205"/>
      <c r="E140" s="288"/>
      <c r="F140" s="288"/>
      <c r="G140" s="2"/>
      <c r="H140" s="2"/>
    </row>
    <row r="141" spans="4:8" ht="12.75">
      <c r="D141" s="205"/>
      <c r="E141" s="288"/>
      <c r="F141" s="288"/>
      <c r="G141" s="2"/>
      <c r="H141" s="2"/>
    </row>
    <row r="142" spans="4:8" ht="12.75">
      <c r="D142" s="205"/>
      <c r="E142" s="288"/>
      <c r="F142" s="288"/>
      <c r="G142" s="2"/>
      <c r="H142" s="2"/>
    </row>
    <row r="143" spans="4:8" ht="12.75">
      <c r="D143" s="205"/>
      <c r="E143" s="288"/>
      <c r="F143" s="288"/>
      <c r="G143" s="2"/>
      <c r="H143" s="2"/>
    </row>
    <row r="144" spans="4:8" ht="12.75">
      <c r="D144" s="205"/>
      <c r="E144" s="288"/>
      <c r="F144" s="288"/>
      <c r="G144" s="2"/>
      <c r="H144" s="2"/>
    </row>
    <row r="145" spans="4:8" ht="12.75">
      <c r="D145" s="205"/>
      <c r="E145" s="288"/>
      <c r="F145" s="288"/>
      <c r="G145" s="2"/>
      <c r="H145" s="2"/>
    </row>
    <row r="146" spans="4:8" ht="12.75">
      <c r="D146" s="205"/>
      <c r="E146" s="288"/>
      <c r="F146" s="288"/>
      <c r="G146" s="2"/>
      <c r="H146" s="2"/>
    </row>
    <row r="147" spans="4:8" ht="12.75">
      <c r="D147" s="205"/>
      <c r="E147" s="288"/>
      <c r="F147" s="288"/>
      <c r="G147" s="2"/>
      <c r="H147" s="2"/>
    </row>
    <row r="148" spans="4:8" ht="12.75">
      <c r="D148" s="205"/>
      <c r="E148" s="288"/>
      <c r="F148" s="288"/>
      <c r="G148" s="2"/>
      <c r="H148" s="2"/>
    </row>
    <row r="149" spans="4:8" ht="12.75">
      <c r="D149" s="205"/>
      <c r="E149" s="288"/>
      <c r="F149" s="288"/>
      <c r="G149" s="2"/>
      <c r="H149" s="2"/>
    </row>
    <row r="150" spans="4:8" ht="12.75">
      <c r="D150" s="205"/>
      <c r="E150" s="288"/>
      <c r="F150" s="288"/>
      <c r="G150" s="2"/>
      <c r="H150" s="2"/>
    </row>
    <row r="151" spans="4:8" ht="12.75">
      <c r="D151" s="205"/>
      <c r="E151" s="288"/>
      <c r="F151" s="288"/>
      <c r="G151" s="2"/>
      <c r="H151" s="2"/>
    </row>
    <row r="152" spans="4:8" ht="12.75">
      <c r="D152" s="205"/>
      <c r="E152" s="288"/>
      <c r="F152" s="288"/>
      <c r="G152" s="2"/>
      <c r="H152" s="2"/>
    </row>
    <row r="153" spans="4:8" ht="12.75">
      <c r="D153" s="205"/>
      <c r="E153" s="288"/>
      <c r="F153" s="288"/>
      <c r="G153" s="2"/>
      <c r="H153" s="2"/>
    </row>
    <row r="154" spans="4:8" ht="12.75">
      <c r="D154" s="205"/>
      <c r="E154" s="288"/>
      <c r="F154" s="288"/>
      <c r="G154" s="2"/>
      <c r="H154" s="2"/>
    </row>
    <row r="155" spans="4:8" ht="12.75">
      <c r="D155" s="205"/>
      <c r="E155" s="288"/>
      <c r="F155" s="288"/>
      <c r="G155" s="2"/>
      <c r="H155" s="2"/>
    </row>
    <row r="156" spans="4:8" ht="12.75">
      <c r="D156" s="205"/>
      <c r="E156" s="288"/>
      <c r="F156" s="288"/>
      <c r="G156" s="2"/>
      <c r="H156" s="2"/>
    </row>
    <row r="157" spans="4:8" ht="12.75">
      <c r="D157" s="205"/>
      <c r="E157" s="288"/>
      <c r="F157" s="288"/>
      <c r="G157" s="2"/>
      <c r="H157" s="2"/>
    </row>
    <row r="158" spans="4:8" ht="12.75">
      <c r="D158" s="205"/>
      <c r="E158" s="288"/>
      <c r="F158" s="288"/>
      <c r="G158" s="2"/>
      <c r="H158" s="2"/>
    </row>
    <row r="159" spans="4:8" ht="12.75">
      <c r="D159" s="205"/>
      <c r="E159" s="288"/>
      <c r="F159" s="288"/>
      <c r="G159" s="2"/>
      <c r="H159" s="2"/>
    </row>
    <row r="160" spans="4:8" ht="12.75">
      <c r="D160" s="205"/>
      <c r="E160" s="288"/>
      <c r="F160" s="288"/>
      <c r="G160" s="2"/>
      <c r="H160" s="2"/>
    </row>
    <row r="161" spans="4:8" ht="12.75">
      <c r="D161" s="205"/>
      <c r="E161" s="288"/>
      <c r="F161" s="288"/>
      <c r="G161" s="2"/>
      <c r="H161" s="2"/>
    </row>
    <row r="162" spans="4:8" ht="12.75">
      <c r="D162" s="205"/>
      <c r="E162" s="288"/>
      <c r="F162" s="288"/>
      <c r="G162" s="2"/>
      <c r="H162" s="2"/>
    </row>
    <row r="163" spans="4:8" ht="12.75">
      <c r="D163" s="205"/>
      <c r="E163" s="288"/>
      <c r="F163" s="288"/>
      <c r="G163" s="2"/>
      <c r="H163" s="2"/>
    </row>
    <row r="164" spans="4:8" ht="12.75">
      <c r="D164" s="205"/>
      <c r="E164" s="288"/>
      <c r="F164" s="288"/>
      <c r="G164" s="2"/>
      <c r="H164" s="2"/>
    </row>
    <row r="165" spans="4:8" ht="12.75">
      <c r="D165" s="205"/>
      <c r="E165" s="288"/>
      <c r="F165" s="288"/>
      <c r="G165" s="2"/>
      <c r="H165" s="2"/>
    </row>
    <row r="166" spans="4:8" ht="12.75">
      <c r="D166" s="205"/>
      <c r="E166" s="288"/>
      <c r="F166" s="288"/>
      <c r="G166" s="2"/>
      <c r="H166" s="2"/>
    </row>
    <row r="167" spans="4:8" ht="12.75">
      <c r="D167" s="205"/>
      <c r="E167" s="288"/>
      <c r="F167" s="288"/>
      <c r="G167" s="2"/>
      <c r="H167" s="2"/>
    </row>
    <row r="168" spans="4:8" ht="12.75">
      <c r="D168" s="205"/>
      <c r="E168" s="288"/>
      <c r="F168" s="288"/>
      <c r="G168" s="2"/>
      <c r="H168" s="2"/>
    </row>
    <row r="169" spans="4:8" ht="12.75">
      <c r="D169" s="205"/>
      <c r="E169" s="288"/>
      <c r="F169" s="288"/>
      <c r="G169" s="2"/>
      <c r="H169" s="2"/>
    </row>
    <row r="170" spans="4:8" ht="12.75">
      <c r="D170" s="205"/>
      <c r="E170" s="288"/>
      <c r="F170" s="288"/>
      <c r="G170" s="2"/>
      <c r="H170" s="2"/>
    </row>
    <row r="171" spans="4:8" ht="12.75">
      <c r="D171" s="205"/>
      <c r="E171" s="288"/>
      <c r="F171" s="288"/>
      <c r="G171" s="2"/>
      <c r="H171" s="2"/>
    </row>
    <row r="172" spans="4:8" ht="12.75">
      <c r="D172" s="205"/>
      <c r="E172" s="288"/>
      <c r="F172" s="288"/>
      <c r="G172" s="2"/>
      <c r="H172" s="2"/>
    </row>
    <row r="173" spans="4:8" ht="12.75">
      <c r="D173" s="205"/>
      <c r="E173" s="288"/>
      <c r="F173" s="288"/>
      <c r="G173" s="2"/>
      <c r="H173" s="2"/>
    </row>
    <row r="174" spans="4:8" ht="12.75">
      <c r="D174" s="205"/>
      <c r="E174" s="288"/>
      <c r="F174" s="288"/>
      <c r="G174" s="2"/>
      <c r="H174" s="2"/>
    </row>
    <row r="175" spans="4:8" ht="12.75">
      <c r="D175" s="205"/>
      <c r="E175" s="288"/>
      <c r="F175" s="288"/>
      <c r="G175" s="2"/>
      <c r="H175" s="2"/>
    </row>
    <row r="176" spans="4:8" ht="12.75">
      <c r="D176" s="205"/>
      <c r="E176" s="288"/>
      <c r="F176" s="288"/>
      <c r="G176" s="2"/>
      <c r="H176" s="2"/>
    </row>
    <row r="177" spans="4:8" ht="12.75">
      <c r="D177" s="205"/>
      <c r="E177" s="288"/>
      <c r="F177" s="288"/>
      <c r="G177" s="2"/>
      <c r="H177" s="2"/>
    </row>
    <row r="178" spans="4:8" ht="12.75">
      <c r="D178" s="205"/>
      <c r="E178" s="288"/>
      <c r="F178" s="288"/>
      <c r="G178" s="2"/>
      <c r="H178" s="2"/>
    </row>
    <row r="179" spans="4:8" ht="12.75">
      <c r="D179" s="205"/>
      <c r="E179" s="288"/>
      <c r="F179" s="288"/>
      <c r="G179" s="2"/>
      <c r="H179" s="2"/>
    </row>
    <row r="180" spans="4:8" ht="12.75">
      <c r="D180" s="205"/>
      <c r="E180" s="288"/>
      <c r="F180" s="288"/>
      <c r="G180" s="2"/>
      <c r="H180" s="2"/>
    </row>
    <row r="181" spans="4:8" ht="12.75">
      <c r="D181" s="205"/>
      <c r="E181" s="288"/>
      <c r="F181" s="288"/>
      <c r="G181" s="2"/>
      <c r="H181" s="2"/>
    </row>
    <row r="182" spans="4:8" ht="12.75">
      <c r="D182" s="205"/>
      <c r="E182" s="288"/>
      <c r="F182" s="288"/>
      <c r="G182" s="2"/>
      <c r="H182" s="2"/>
    </row>
    <row r="183" spans="4:8" ht="12.75">
      <c r="D183" s="205"/>
      <c r="E183" s="288"/>
      <c r="F183" s="288"/>
      <c r="G183" s="2"/>
      <c r="H183" s="2"/>
    </row>
    <row r="184" spans="4:8" ht="12.75">
      <c r="D184" s="205"/>
      <c r="E184" s="288"/>
      <c r="F184" s="288"/>
      <c r="G184" s="2"/>
      <c r="H184" s="2"/>
    </row>
    <row r="185" spans="4:8" ht="12.75">
      <c r="D185" s="205"/>
      <c r="E185" s="288"/>
      <c r="F185" s="288"/>
      <c r="G185" s="2"/>
      <c r="H185" s="2"/>
    </row>
    <row r="186" spans="4:8" ht="12.75">
      <c r="D186" s="205"/>
      <c r="E186" s="288"/>
      <c r="F186" s="288"/>
      <c r="G186" s="2"/>
      <c r="H186" s="2"/>
    </row>
    <row r="187" spans="4:8" ht="12.75">
      <c r="D187" s="205"/>
      <c r="E187" s="288"/>
      <c r="F187" s="288"/>
      <c r="G187" s="2"/>
      <c r="H187" s="2"/>
    </row>
    <row r="188" spans="4:8" ht="12.75">
      <c r="D188" s="205"/>
      <c r="E188" s="288"/>
      <c r="F188" s="288"/>
      <c r="G188" s="2"/>
      <c r="H188" s="2"/>
    </row>
    <row r="189" spans="4:8" ht="12.75">
      <c r="D189" s="205"/>
      <c r="E189" s="288"/>
      <c r="F189" s="288"/>
      <c r="G189" s="2"/>
      <c r="H189" s="2"/>
    </row>
    <row r="190" spans="4:8" ht="12.75">
      <c r="D190" s="205"/>
      <c r="E190" s="288"/>
      <c r="F190" s="288"/>
      <c r="G190" s="2"/>
      <c r="H190" s="2"/>
    </row>
    <row r="191" spans="4:8" ht="12.75">
      <c r="D191" s="205"/>
      <c r="E191" s="288"/>
      <c r="F191" s="288"/>
      <c r="G191" s="2"/>
      <c r="H191" s="2"/>
    </row>
    <row r="192" spans="4:8" ht="12.75">
      <c r="D192" s="205"/>
      <c r="E192" s="288"/>
      <c r="F192" s="288"/>
      <c r="G192" s="2"/>
      <c r="H192" s="2"/>
    </row>
    <row r="193" spans="4:8" ht="12.75">
      <c r="D193" s="205"/>
      <c r="E193" s="288"/>
      <c r="F193" s="288"/>
      <c r="G193" s="2"/>
      <c r="H193" s="2"/>
    </row>
    <row r="194" spans="4:8" ht="12.75">
      <c r="D194" s="205"/>
      <c r="E194" s="288"/>
      <c r="F194" s="288"/>
      <c r="G194" s="2"/>
      <c r="H194" s="2"/>
    </row>
    <row r="195" spans="4:8" ht="12.75">
      <c r="D195" s="205"/>
      <c r="E195" s="288"/>
      <c r="F195" s="288"/>
      <c r="G195" s="2"/>
      <c r="H195" s="2"/>
    </row>
    <row r="196" spans="4:8" ht="12.75">
      <c r="D196" s="205"/>
      <c r="E196" s="288"/>
      <c r="F196" s="288"/>
      <c r="G196" s="2"/>
      <c r="H196" s="2"/>
    </row>
    <row r="197" spans="4:8" ht="12.75">
      <c r="D197" s="205"/>
      <c r="E197" s="288"/>
      <c r="F197" s="288"/>
      <c r="G197" s="2"/>
      <c r="H197" s="2"/>
    </row>
    <row r="198" spans="4:8" ht="12.75">
      <c r="D198" s="205"/>
      <c r="E198" s="288"/>
      <c r="F198" s="288"/>
      <c r="G198" s="2"/>
      <c r="H198" s="2"/>
    </row>
    <row r="199" spans="4:8" ht="12.75">
      <c r="D199" s="205"/>
      <c r="E199" s="288"/>
      <c r="F199" s="288"/>
      <c r="G199" s="2"/>
      <c r="H199" s="2"/>
    </row>
    <row r="200" spans="4:8" ht="12.75">
      <c r="D200" s="205"/>
      <c r="E200" s="288"/>
      <c r="F200" s="288"/>
      <c r="G200" s="2"/>
      <c r="H200" s="2"/>
    </row>
    <row r="201" spans="4:8" ht="12.75">
      <c r="D201" s="205"/>
      <c r="E201" s="288"/>
      <c r="F201" s="288"/>
      <c r="G201" s="2"/>
      <c r="H201" s="2"/>
    </row>
    <row r="202" spans="4:8" ht="12.75">
      <c r="D202" s="205"/>
      <c r="E202" s="288"/>
      <c r="F202" s="288"/>
      <c r="G202" s="2"/>
      <c r="H202" s="2"/>
    </row>
    <row r="203" spans="4:8" ht="12.75">
      <c r="D203" s="205"/>
      <c r="E203" s="288"/>
      <c r="F203" s="288"/>
      <c r="G203" s="2"/>
      <c r="H203" s="2"/>
    </row>
    <row r="204" spans="4:8" ht="12.75">
      <c r="D204" s="205"/>
      <c r="E204" s="288"/>
      <c r="F204" s="288"/>
      <c r="G204" s="2"/>
      <c r="H204" s="2"/>
    </row>
    <row r="205" spans="4:8" ht="12.75">
      <c r="D205" s="205"/>
      <c r="E205" s="288"/>
      <c r="F205" s="288"/>
      <c r="G205" s="2"/>
      <c r="H205" s="2"/>
    </row>
    <row r="206" spans="4:8" ht="12.75">
      <c r="D206" s="205"/>
      <c r="E206" s="288"/>
      <c r="F206" s="288"/>
      <c r="G206" s="2"/>
      <c r="H206" s="2"/>
    </row>
    <row r="207" spans="4:8" ht="12.75">
      <c r="D207" s="205"/>
      <c r="E207" s="288"/>
      <c r="F207" s="288"/>
      <c r="G207" s="2"/>
      <c r="H207" s="2"/>
    </row>
    <row r="208" spans="4:8" ht="12.75">
      <c r="D208" s="205"/>
      <c r="E208" s="288"/>
      <c r="F208" s="288"/>
      <c r="G208" s="2"/>
      <c r="H208" s="2"/>
    </row>
    <row r="209" spans="4:8" ht="12.75">
      <c r="D209" s="205"/>
      <c r="E209" s="288"/>
      <c r="F209" s="288"/>
      <c r="G209" s="2"/>
      <c r="H209" s="2"/>
    </row>
    <row r="210" spans="4:8" ht="12.75">
      <c r="D210" s="205"/>
      <c r="E210" s="288"/>
      <c r="F210" s="288"/>
      <c r="G210" s="2"/>
      <c r="H210" s="2"/>
    </row>
    <row r="211" spans="4:8" ht="12.75">
      <c r="D211" s="205"/>
      <c r="E211" s="288"/>
      <c r="F211" s="288"/>
      <c r="G211" s="2"/>
      <c r="H211" s="2"/>
    </row>
    <row r="212" spans="4:8" ht="12.75">
      <c r="D212" s="205"/>
      <c r="E212" s="288"/>
      <c r="F212" s="288"/>
      <c r="G212" s="2"/>
      <c r="H212" s="2"/>
    </row>
    <row r="213" spans="4:8" ht="12.75">
      <c r="D213" s="205"/>
      <c r="E213" s="288"/>
      <c r="F213" s="288"/>
      <c r="G213" s="2"/>
      <c r="H213" s="2"/>
    </row>
    <row r="214" spans="4:8" ht="12.75">
      <c r="D214" s="205"/>
      <c r="E214" s="288"/>
      <c r="F214" s="288"/>
      <c r="G214" s="2"/>
      <c r="H214" s="2"/>
    </row>
    <row r="215" spans="4:8" ht="12.75">
      <c r="D215" s="205"/>
      <c r="E215" s="288"/>
      <c r="F215" s="288"/>
      <c r="G215" s="2"/>
      <c r="H215" s="2"/>
    </row>
    <row r="216" spans="4:8" ht="12.75">
      <c r="D216" s="205"/>
      <c r="E216" s="288"/>
      <c r="F216" s="288"/>
      <c r="G216" s="2"/>
      <c r="H216" s="2"/>
    </row>
    <row r="217" spans="4:8" ht="12.75">
      <c r="D217" s="205"/>
      <c r="E217" s="288"/>
      <c r="F217" s="288"/>
      <c r="G217" s="2"/>
      <c r="H217" s="2"/>
    </row>
    <row r="218" spans="4:8" ht="12.75">
      <c r="D218" s="205"/>
      <c r="E218" s="288"/>
      <c r="F218" s="288"/>
      <c r="G218" s="2"/>
      <c r="H218" s="2"/>
    </row>
    <row r="219" spans="4:8" ht="12.75">
      <c r="D219" s="205"/>
      <c r="E219" s="288"/>
      <c r="F219" s="288"/>
      <c r="G219" s="2"/>
      <c r="H219" s="2"/>
    </row>
    <row r="220" spans="4:8" ht="12.75">
      <c r="D220" s="205"/>
      <c r="E220" s="288"/>
      <c r="F220" s="288"/>
      <c r="G220" s="2"/>
      <c r="H220" s="2"/>
    </row>
    <row r="221" spans="4:8" ht="12.75">
      <c r="D221" s="205"/>
      <c r="E221" s="288"/>
      <c r="F221" s="288"/>
      <c r="G221" s="2"/>
      <c r="H221" s="2"/>
    </row>
    <row r="222" spans="4:8" ht="12.75">
      <c r="D222" s="205"/>
      <c r="E222" s="288"/>
      <c r="F222" s="288"/>
      <c r="G222" s="2"/>
      <c r="H222" s="2"/>
    </row>
    <row r="223" spans="4:8" ht="12.75">
      <c r="D223" s="205"/>
      <c r="E223" s="288"/>
      <c r="F223" s="288"/>
      <c r="G223" s="2"/>
      <c r="H223" s="2"/>
    </row>
    <row r="224" spans="4:8" ht="12.75">
      <c r="D224" s="205"/>
      <c r="E224" s="288"/>
      <c r="F224" s="288"/>
      <c r="G224" s="2"/>
      <c r="H224" s="2"/>
    </row>
    <row r="225" spans="4:8" ht="12.75">
      <c r="D225" s="205"/>
      <c r="E225" s="288"/>
      <c r="F225" s="288"/>
      <c r="G225" s="2"/>
      <c r="H225" s="2"/>
    </row>
    <row r="226" spans="4:8" ht="12.75">
      <c r="D226" s="205"/>
      <c r="E226" s="288"/>
      <c r="F226" s="288"/>
      <c r="G226" s="2"/>
      <c r="H226" s="2"/>
    </row>
    <row r="227" spans="4:8" ht="12.75">
      <c r="D227" s="205"/>
      <c r="E227" s="288"/>
      <c r="F227" s="288"/>
      <c r="G227" s="2"/>
      <c r="H227" s="2"/>
    </row>
    <row r="228" spans="4:8" ht="12.75">
      <c r="D228" s="205"/>
      <c r="E228" s="288"/>
      <c r="F228" s="288"/>
      <c r="G228" s="2"/>
      <c r="H228" s="2"/>
    </row>
    <row r="229" spans="4:8" ht="12.75">
      <c r="D229" s="205"/>
      <c r="E229" s="288"/>
      <c r="F229" s="288"/>
      <c r="G229" s="2"/>
      <c r="H229" s="2"/>
    </row>
    <row r="230" spans="4:8" ht="12.75">
      <c r="D230" s="205"/>
      <c r="E230" s="288"/>
      <c r="F230" s="288"/>
      <c r="G230" s="2"/>
      <c r="H230" s="2"/>
    </row>
    <row r="231" spans="4:8" ht="12.75">
      <c r="D231" s="205"/>
      <c r="E231" s="288"/>
      <c r="F231" s="288"/>
      <c r="G231" s="2"/>
      <c r="H231" s="2"/>
    </row>
    <row r="232" spans="4:8" ht="12.75">
      <c r="D232" s="205"/>
      <c r="E232" s="288"/>
      <c r="F232" s="288"/>
      <c r="G232" s="2"/>
      <c r="H232" s="2"/>
    </row>
    <row r="233" spans="4:8" ht="12.75">
      <c r="D233" s="205"/>
      <c r="E233" s="288"/>
      <c r="F233" s="288"/>
      <c r="G233" s="2"/>
      <c r="H233" s="2"/>
    </row>
    <row r="234" spans="4:8" ht="12.75">
      <c r="D234" s="205"/>
      <c r="E234" s="288"/>
      <c r="F234" s="288"/>
      <c r="G234" s="2"/>
      <c r="H234" s="2"/>
    </row>
    <row r="235" spans="4:8" ht="12.75">
      <c r="D235" s="205"/>
      <c r="E235" s="288"/>
      <c r="F235" s="288"/>
      <c r="G235" s="2"/>
      <c r="H235" s="2"/>
    </row>
    <row r="236" spans="4:8" ht="12.75">
      <c r="D236" s="205"/>
      <c r="E236" s="288"/>
      <c r="F236" s="288"/>
      <c r="G236" s="2"/>
      <c r="H236" s="2"/>
    </row>
    <row r="237" spans="4:8" ht="12.75">
      <c r="D237" s="205"/>
      <c r="E237" s="288"/>
      <c r="F237" s="288"/>
      <c r="G237" s="2"/>
      <c r="H237" s="2"/>
    </row>
    <row r="238" spans="4:8" ht="12.75">
      <c r="D238" s="205"/>
      <c r="E238" s="288"/>
      <c r="F238" s="288"/>
      <c r="G238" s="2"/>
      <c r="H238" s="2"/>
    </row>
    <row r="239" spans="4:8" ht="12.75">
      <c r="D239" s="205"/>
      <c r="E239" s="288"/>
      <c r="F239" s="288"/>
      <c r="G239" s="2"/>
      <c r="H239" s="2"/>
    </row>
    <row r="240" spans="4:8" ht="12.75">
      <c r="D240" s="205"/>
      <c r="E240" s="288"/>
      <c r="F240" s="288"/>
      <c r="G240" s="2"/>
      <c r="H240" s="2"/>
    </row>
    <row r="241" spans="4:8" ht="12.75">
      <c r="D241" s="205"/>
      <c r="E241" s="288"/>
      <c r="F241" s="288"/>
      <c r="G241" s="2"/>
      <c r="H241" s="2"/>
    </row>
    <row r="242" spans="4:8" ht="12.75">
      <c r="D242" s="205"/>
      <c r="E242" s="288"/>
      <c r="F242" s="288"/>
      <c r="G242" s="2"/>
      <c r="H242" s="2"/>
    </row>
    <row r="243" spans="4:8" ht="12.75">
      <c r="D243" s="205"/>
      <c r="E243" s="288"/>
      <c r="F243" s="288"/>
      <c r="G243" s="2"/>
      <c r="H243" s="2"/>
    </row>
    <row r="244" spans="4:8" ht="12.75">
      <c r="D244" s="205"/>
      <c r="E244" s="288"/>
      <c r="F244" s="288"/>
      <c r="G244" s="2"/>
      <c r="H244" s="2"/>
    </row>
    <row r="245" spans="4:8" ht="12.75">
      <c r="D245" s="205"/>
      <c r="E245" s="288"/>
      <c r="F245" s="288"/>
      <c r="G245" s="2"/>
      <c r="H245" s="2"/>
    </row>
    <row r="246" spans="4:8" ht="12.75">
      <c r="D246" s="205"/>
      <c r="E246" s="288"/>
      <c r="F246" s="288"/>
      <c r="G246" s="2"/>
      <c r="H246" s="2"/>
    </row>
    <row r="247" spans="4:8" ht="12.75">
      <c r="D247" s="205"/>
      <c r="E247" s="288"/>
      <c r="F247" s="288"/>
      <c r="G247" s="2"/>
      <c r="H247" s="2"/>
    </row>
    <row r="248" spans="4:8" ht="12.75">
      <c r="D248" s="205"/>
      <c r="E248" s="288"/>
      <c r="F248" s="288"/>
      <c r="G248" s="2"/>
      <c r="H248" s="2"/>
    </row>
    <row r="249" spans="4:8" ht="12.75">
      <c r="D249" s="205"/>
      <c r="E249" s="288"/>
      <c r="F249" s="288"/>
      <c r="G249" s="2"/>
      <c r="H249" s="2"/>
    </row>
    <row r="250" spans="4:8" ht="12.75">
      <c r="D250" s="205"/>
      <c r="E250" s="288"/>
      <c r="F250" s="288"/>
      <c r="G250" s="2"/>
      <c r="H250" s="2"/>
    </row>
    <row r="251" spans="4:8" ht="12.75">
      <c r="D251" s="205"/>
      <c r="E251" s="288"/>
      <c r="F251" s="288"/>
      <c r="G251" s="2"/>
      <c r="H251" s="2"/>
    </row>
    <row r="252" spans="4:8" ht="12.75">
      <c r="D252" s="205"/>
      <c r="E252" s="288"/>
      <c r="F252" s="288"/>
      <c r="G252" s="2"/>
      <c r="H252" s="2"/>
    </row>
    <row r="253" spans="4:8" ht="12.75">
      <c r="D253" s="205"/>
      <c r="E253" s="288"/>
      <c r="F253" s="288"/>
      <c r="G253" s="2"/>
      <c r="H253" s="2"/>
    </row>
    <row r="254" spans="4:8" ht="12.75">
      <c r="D254" s="205"/>
      <c r="E254" s="288"/>
      <c r="F254" s="288"/>
      <c r="G254" s="2"/>
      <c r="H254" s="2"/>
    </row>
    <row r="255" spans="4:8" ht="12.75">
      <c r="D255" s="205"/>
      <c r="E255" s="288"/>
      <c r="F255" s="288"/>
      <c r="G255" s="2"/>
      <c r="H255" s="2"/>
    </row>
    <row r="256" spans="4:8" ht="12.75">
      <c r="D256" s="205"/>
      <c r="E256" s="288"/>
      <c r="F256" s="288"/>
      <c r="G256" s="2"/>
      <c r="H256" s="2"/>
    </row>
    <row r="257" spans="4:8" ht="12.75">
      <c r="D257" s="205"/>
      <c r="E257" s="288"/>
      <c r="F257" s="288"/>
      <c r="G257" s="2"/>
      <c r="H257" s="2"/>
    </row>
    <row r="258" spans="4:8" ht="12.75">
      <c r="D258" s="205"/>
      <c r="E258" s="288"/>
      <c r="F258" s="288"/>
      <c r="G258" s="2"/>
      <c r="H258" s="2"/>
    </row>
    <row r="259" spans="4:8" ht="12.75">
      <c r="D259" s="205"/>
      <c r="E259" s="288"/>
      <c r="F259" s="288"/>
      <c r="G259" s="2"/>
      <c r="H259" s="2"/>
    </row>
    <row r="260" spans="4:8" ht="12.75">
      <c r="D260" s="205"/>
      <c r="E260" s="288"/>
      <c r="F260" s="288"/>
      <c r="G260" s="2"/>
      <c r="H260" s="2"/>
    </row>
    <row r="261" spans="4:8" ht="12.75">
      <c r="D261" s="205"/>
      <c r="E261" s="288"/>
      <c r="F261" s="288"/>
      <c r="G261" s="2"/>
      <c r="H261" s="2"/>
    </row>
    <row r="262" spans="4:8" ht="12.75">
      <c r="D262" s="205"/>
      <c r="E262" s="288"/>
      <c r="F262" s="288"/>
      <c r="G262" s="2"/>
      <c r="H262" s="2"/>
    </row>
    <row r="263" spans="4:8" ht="12.75">
      <c r="D263" s="205"/>
      <c r="E263" s="288"/>
      <c r="F263" s="288"/>
      <c r="G263" s="2"/>
      <c r="H263" s="2"/>
    </row>
    <row r="264" spans="4:8" ht="12.75">
      <c r="D264" s="205"/>
      <c r="E264" s="288"/>
      <c r="F264" s="288"/>
      <c r="G264" s="2"/>
      <c r="H264" s="2"/>
    </row>
    <row r="265" spans="4:8" ht="12.75">
      <c r="D265" s="205"/>
      <c r="E265" s="288"/>
      <c r="F265" s="288"/>
      <c r="G265" s="2"/>
      <c r="H265" s="2"/>
    </row>
    <row r="266" spans="4:8" ht="12.75">
      <c r="D266" s="205"/>
      <c r="E266" s="288"/>
      <c r="F266" s="288"/>
      <c r="G266" s="2"/>
      <c r="H266" s="2"/>
    </row>
    <row r="267" spans="4:8" ht="12.75">
      <c r="D267" s="205"/>
      <c r="E267" s="288"/>
      <c r="F267" s="288"/>
      <c r="G267" s="2"/>
      <c r="H267" s="2"/>
    </row>
    <row r="268" spans="4:8" ht="12.75">
      <c r="D268" s="205"/>
      <c r="E268" s="288"/>
      <c r="F268" s="288"/>
      <c r="G268" s="2"/>
      <c r="H268" s="2"/>
    </row>
    <row r="269" spans="4:8" ht="12.75">
      <c r="D269" s="205"/>
      <c r="E269" s="288"/>
      <c r="F269" s="288"/>
      <c r="G269" s="2"/>
      <c r="H269" s="2"/>
    </row>
    <row r="270" spans="4:8" ht="12.75">
      <c r="D270" s="205"/>
      <c r="E270" s="288"/>
      <c r="F270" s="288"/>
      <c r="G270" s="2"/>
      <c r="H270" s="2"/>
    </row>
    <row r="271" spans="4:8" ht="12.75">
      <c r="D271" s="205"/>
      <c r="E271" s="288"/>
      <c r="F271" s="288"/>
      <c r="G271" s="2"/>
      <c r="H271" s="2"/>
    </row>
    <row r="272" spans="4:8" ht="12.75">
      <c r="D272" s="205"/>
      <c r="E272" s="288"/>
      <c r="F272" s="288"/>
      <c r="G272" s="2"/>
      <c r="H272" s="2"/>
    </row>
    <row r="273" spans="4:8" ht="12.75">
      <c r="D273" s="205"/>
      <c r="E273" s="288"/>
      <c r="F273" s="288"/>
      <c r="G273" s="2"/>
      <c r="H273" s="2"/>
    </row>
    <row r="274" spans="4:8" ht="12.75">
      <c r="D274" s="205"/>
      <c r="E274" s="288"/>
      <c r="F274" s="288"/>
      <c r="G274" s="2"/>
      <c r="H274" s="2"/>
    </row>
    <row r="275" spans="4:8" ht="12.75">
      <c r="D275" s="205"/>
      <c r="E275" s="288"/>
      <c r="F275" s="288"/>
      <c r="G275" s="2"/>
      <c r="H275" s="2"/>
    </row>
    <row r="276" spans="4:8" ht="12.75">
      <c r="D276" s="205"/>
      <c r="E276" s="288"/>
      <c r="F276" s="288"/>
      <c r="G276" s="2"/>
      <c r="H276" s="2"/>
    </row>
    <row r="277" spans="4:8" ht="12.75">
      <c r="D277" s="205"/>
      <c r="E277" s="288"/>
      <c r="F277" s="288"/>
      <c r="G277" s="2"/>
      <c r="H277" s="2"/>
    </row>
    <row r="278" spans="4:8" ht="12.75">
      <c r="D278" s="205"/>
      <c r="E278" s="288"/>
      <c r="F278" s="288"/>
      <c r="G278" s="2"/>
      <c r="H278" s="2"/>
    </row>
    <row r="279" spans="4:8" ht="12.75">
      <c r="D279" s="205"/>
      <c r="E279" s="288"/>
      <c r="F279" s="288"/>
      <c r="G279" s="2"/>
      <c r="H279" s="2"/>
    </row>
    <row r="280" spans="4:8" ht="12.75">
      <c r="D280" s="205"/>
      <c r="E280" s="288"/>
      <c r="F280" s="288"/>
      <c r="G280" s="2"/>
      <c r="H280" s="2"/>
    </row>
    <row r="281" spans="4:8" ht="12.75">
      <c r="D281" s="205"/>
      <c r="E281" s="288"/>
      <c r="F281" s="288"/>
      <c r="G281" s="2"/>
      <c r="H281" s="2"/>
    </row>
    <row r="282" spans="4:8" ht="12.75">
      <c r="D282" s="205"/>
      <c r="E282" s="288"/>
      <c r="F282" s="288"/>
      <c r="G282" s="2"/>
      <c r="H282" s="2"/>
    </row>
    <row r="283" spans="4:8" ht="12.75">
      <c r="D283" s="205"/>
      <c r="E283" s="288"/>
      <c r="F283" s="288"/>
      <c r="G283" s="2"/>
      <c r="H283" s="2"/>
    </row>
    <row r="284" spans="4:8" ht="12.75">
      <c r="D284" s="205"/>
      <c r="E284" s="288"/>
      <c r="F284" s="288"/>
      <c r="G284" s="2"/>
      <c r="H284" s="2"/>
    </row>
    <row r="285" spans="4:8" ht="12.75">
      <c r="D285" s="205"/>
      <c r="E285" s="288"/>
      <c r="F285" s="288"/>
      <c r="G285" s="2"/>
      <c r="H285" s="2"/>
    </row>
    <row r="286" spans="4:8" ht="12.75">
      <c r="D286" s="205"/>
      <c r="E286" s="288"/>
      <c r="F286" s="288"/>
      <c r="G286" s="2"/>
      <c r="H286" s="2"/>
    </row>
    <row r="287" spans="4:8" ht="12.75">
      <c r="D287" s="205"/>
      <c r="E287" s="288"/>
      <c r="F287" s="288"/>
      <c r="G287" s="2"/>
      <c r="H287" s="2"/>
    </row>
    <row r="288" spans="4:8" ht="12.75">
      <c r="D288" s="205"/>
      <c r="E288" s="288"/>
      <c r="F288" s="288"/>
      <c r="G288" s="2"/>
      <c r="H288" s="2"/>
    </row>
    <row r="289" spans="4:8" ht="12.75">
      <c r="D289" s="205"/>
      <c r="E289" s="288"/>
      <c r="F289" s="288"/>
      <c r="G289" s="2"/>
      <c r="H289" s="2"/>
    </row>
    <row r="290" spans="4:8" ht="12.75">
      <c r="D290" s="205"/>
      <c r="E290" s="288"/>
      <c r="F290" s="288"/>
      <c r="G290" s="2"/>
      <c r="H290" s="2"/>
    </row>
    <row r="291" spans="4:8" ht="12.75">
      <c r="D291" s="205"/>
      <c r="E291" s="288"/>
      <c r="F291" s="288"/>
      <c r="G291" s="2"/>
      <c r="H291" s="2"/>
    </row>
    <row r="292" spans="4:8" ht="12.75">
      <c r="D292" s="205"/>
      <c r="E292" s="288"/>
      <c r="F292" s="288"/>
      <c r="G292" s="2"/>
      <c r="H292" s="2"/>
    </row>
    <row r="293" spans="4:8" ht="12.75">
      <c r="D293" s="205"/>
      <c r="E293" s="288"/>
      <c r="F293" s="288"/>
      <c r="G293" s="2"/>
      <c r="H293" s="2"/>
    </row>
    <row r="294" spans="4:8" ht="12.75">
      <c r="D294" s="205"/>
      <c r="E294" s="288"/>
      <c r="F294" s="288"/>
      <c r="G294" s="2"/>
      <c r="H294" s="2"/>
    </row>
    <row r="295" spans="4:8" ht="12.75">
      <c r="D295" s="205"/>
      <c r="E295" s="288"/>
      <c r="F295" s="288"/>
      <c r="G295" s="2"/>
      <c r="H295" s="2"/>
    </row>
    <row r="296" spans="4:8" ht="12.75">
      <c r="D296" s="205"/>
      <c r="E296" s="288"/>
      <c r="F296" s="288"/>
      <c r="G296" s="2"/>
      <c r="H296" s="2"/>
    </row>
    <row r="297" spans="4:8" ht="12.75">
      <c r="D297" s="205"/>
      <c r="E297" s="288"/>
      <c r="F297" s="288"/>
      <c r="G297" s="2"/>
      <c r="H297" s="2"/>
    </row>
    <row r="298" spans="4:8" ht="12.75">
      <c r="D298" s="205"/>
      <c r="E298" s="288"/>
      <c r="F298" s="288"/>
      <c r="G298" s="2"/>
      <c r="H298" s="2"/>
    </row>
    <row r="299" spans="4:8" ht="12.75">
      <c r="D299" s="205"/>
      <c r="E299" s="288"/>
      <c r="F299" s="288"/>
      <c r="G299" s="2"/>
      <c r="H299" s="2"/>
    </row>
    <row r="300" spans="4:8" ht="12.75">
      <c r="D300" s="205"/>
      <c r="E300" s="288"/>
      <c r="F300" s="288"/>
      <c r="G300" s="2"/>
      <c r="H300" s="2"/>
    </row>
    <row r="301" spans="4:8" ht="12.75">
      <c r="D301" s="205"/>
      <c r="E301" s="288"/>
      <c r="F301" s="288"/>
      <c r="G301" s="2"/>
      <c r="H301" s="2"/>
    </row>
    <row r="302" spans="4:8" ht="12.75">
      <c r="D302" s="205"/>
      <c r="E302" s="288"/>
      <c r="F302" s="288"/>
      <c r="G302" s="2"/>
      <c r="H302" s="2"/>
    </row>
    <row r="303" spans="4:8" ht="12.75">
      <c r="D303" s="205"/>
      <c r="E303" s="288"/>
      <c r="F303" s="288"/>
      <c r="G303" s="2"/>
      <c r="H303" s="2"/>
    </row>
    <row r="304" spans="4:8" ht="12.75">
      <c r="D304" s="205"/>
      <c r="E304" s="288"/>
      <c r="F304" s="288"/>
      <c r="G304" s="2"/>
      <c r="H304" s="2"/>
    </row>
    <row r="305" spans="4:8" ht="12.75">
      <c r="D305" s="205"/>
      <c r="E305" s="288"/>
      <c r="F305" s="288"/>
      <c r="G305" s="2"/>
      <c r="H305" s="2"/>
    </row>
    <row r="306" spans="4:8" ht="12.75">
      <c r="D306" s="205"/>
      <c r="E306" s="288"/>
      <c r="F306" s="288"/>
      <c r="G306" s="2"/>
      <c r="H306" s="2"/>
    </row>
    <row r="307" spans="4:8" ht="12.75">
      <c r="D307" s="205"/>
      <c r="E307" s="288"/>
      <c r="F307" s="288"/>
      <c r="G307" s="2"/>
      <c r="H307" s="2"/>
    </row>
    <row r="308" spans="4:8" ht="12.75">
      <c r="D308" s="205"/>
      <c r="E308" s="288"/>
      <c r="F308" s="288"/>
      <c r="G308" s="2"/>
      <c r="H308" s="2"/>
    </row>
    <row r="309" spans="4:8" ht="12.75">
      <c r="D309" s="205"/>
      <c r="E309" s="288"/>
      <c r="F309" s="288"/>
      <c r="G309" s="2"/>
      <c r="H309" s="2"/>
    </row>
    <row r="310" spans="4:8" ht="12.75">
      <c r="D310" s="205"/>
      <c r="E310" s="288"/>
      <c r="F310" s="288"/>
      <c r="G310" s="2"/>
      <c r="H310" s="2"/>
    </row>
    <row r="311" spans="4:8" ht="12.75">
      <c r="D311" s="205"/>
      <c r="E311" s="288"/>
      <c r="F311" s="288"/>
      <c r="G311" s="2"/>
      <c r="H311" s="2"/>
    </row>
    <row r="312" spans="4:8" ht="12.75">
      <c r="D312" s="205"/>
      <c r="E312" s="288"/>
      <c r="F312" s="288"/>
      <c r="G312" s="2"/>
      <c r="H312" s="2"/>
    </row>
    <row r="313" spans="4:8" ht="12.75">
      <c r="D313" s="205"/>
      <c r="E313" s="288"/>
      <c r="F313" s="288"/>
      <c r="G313" s="2"/>
      <c r="H313" s="2"/>
    </row>
    <row r="314" spans="4:8" ht="12.75">
      <c r="D314" s="205"/>
      <c r="E314" s="288"/>
      <c r="F314" s="288"/>
      <c r="G314" s="2"/>
      <c r="H314" s="2"/>
    </row>
    <row r="315" spans="4:8" ht="12.75">
      <c r="D315" s="205"/>
      <c r="E315" s="288"/>
      <c r="F315" s="288"/>
      <c r="G315" s="2"/>
      <c r="H315" s="2"/>
    </row>
    <row r="316" spans="4:8" ht="12.75">
      <c r="D316" s="205"/>
      <c r="E316" s="288"/>
      <c r="F316" s="288"/>
      <c r="G316" s="2"/>
      <c r="H316" s="2"/>
    </row>
    <row r="317" spans="4:8" ht="12.75">
      <c r="D317" s="205"/>
      <c r="E317" s="288"/>
      <c r="F317" s="288"/>
      <c r="G317" s="2"/>
      <c r="H317" s="2"/>
    </row>
    <row r="318" spans="4:8" ht="12.75">
      <c r="D318" s="205"/>
      <c r="E318" s="288"/>
      <c r="F318" s="288"/>
      <c r="G318" s="2"/>
      <c r="H318" s="2"/>
    </row>
    <row r="319" spans="4:8" ht="12.75">
      <c r="D319" s="205"/>
      <c r="E319" s="288"/>
      <c r="F319" s="288"/>
      <c r="G319" s="2"/>
      <c r="H319" s="2"/>
    </row>
    <row r="320" spans="4:8" ht="12.75">
      <c r="D320" s="205"/>
      <c r="E320" s="288"/>
      <c r="F320" s="288"/>
      <c r="G320" s="2"/>
      <c r="H320" s="2"/>
    </row>
    <row r="321" spans="4:8" ht="12.75">
      <c r="D321" s="205"/>
      <c r="E321" s="288"/>
      <c r="F321" s="288"/>
      <c r="G321" s="2"/>
      <c r="H321" s="2"/>
    </row>
    <row r="322" spans="4:8" ht="12.75">
      <c r="D322" s="205"/>
      <c r="E322" s="288"/>
      <c r="F322" s="288"/>
      <c r="G322" s="2"/>
      <c r="H322" s="2"/>
    </row>
    <row r="323" spans="4:8" ht="12.75">
      <c r="D323" s="205"/>
      <c r="E323" s="288"/>
      <c r="F323" s="288"/>
      <c r="G323" s="2"/>
      <c r="H323" s="2"/>
    </row>
    <row r="324" spans="4:8" ht="12.75">
      <c r="D324" s="205"/>
      <c r="E324" s="288"/>
      <c r="F324" s="288"/>
      <c r="G324" s="2"/>
      <c r="H324" s="2"/>
    </row>
    <row r="325" spans="4:8" ht="12.75">
      <c r="D325" s="205"/>
      <c r="E325" s="288"/>
      <c r="F325" s="288"/>
      <c r="G325" s="2"/>
      <c r="H325" s="2"/>
    </row>
    <row r="326" spans="4:8" ht="12.75">
      <c r="D326" s="205"/>
      <c r="E326" s="288"/>
      <c r="F326" s="288"/>
      <c r="G326" s="2"/>
      <c r="H326" s="2"/>
    </row>
    <row r="327" spans="4:8" ht="12.75">
      <c r="D327" s="205"/>
      <c r="E327" s="288"/>
      <c r="F327" s="288"/>
      <c r="G327" s="2"/>
      <c r="H327" s="2"/>
    </row>
    <row r="328" spans="4:8" ht="12.75">
      <c r="D328" s="205"/>
      <c r="E328" s="288"/>
      <c r="F328" s="288"/>
      <c r="G328" s="2"/>
      <c r="H328" s="2"/>
    </row>
    <row r="329" spans="4:8" ht="12.75">
      <c r="D329" s="205"/>
      <c r="E329" s="288"/>
      <c r="F329" s="288"/>
      <c r="G329" s="2"/>
      <c r="H329" s="2"/>
    </row>
    <row r="330" spans="4:8" ht="12.75">
      <c r="D330" s="205"/>
      <c r="E330" s="288"/>
      <c r="F330" s="288"/>
      <c r="G330" s="2"/>
      <c r="H330" s="2"/>
    </row>
    <row r="331" spans="4:8" ht="12.75">
      <c r="D331" s="205"/>
      <c r="E331" s="288"/>
      <c r="F331" s="288"/>
      <c r="G331" s="2"/>
      <c r="H331" s="2"/>
    </row>
    <row r="332" spans="4:8" ht="12.75">
      <c r="D332" s="205"/>
      <c r="E332" s="288"/>
      <c r="F332" s="288"/>
      <c r="G332" s="2"/>
      <c r="H332" s="2"/>
    </row>
    <row r="333" spans="4:8" ht="12.75">
      <c r="D333" s="205"/>
      <c r="E333" s="288"/>
      <c r="F333" s="288"/>
      <c r="G333" s="2"/>
      <c r="H333" s="2"/>
    </row>
    <row r="334" spans="4:8" ht="12.75">
      <c r="D334" s="205"/>
      <c r="E334" s="288"/>
      <c r="F334" s="288"/>
      <c r="G334" s="2"/>
      <c r="H334" s="2"/>
    </row>
    <row r="335" spans="4:8" ht="12.75">
      <c r="D335" s="205"/>
      <c r="E335" s="288"/>
      <c r="F335" s="288"/>
      <c r="G335" s="2"/>
      <c r="H335" s="2"/>
    </row>
    <row r="336" spans="4:8" ht="12.75">
      <c r="D336" s="205"/>
      <c r="E336" s="288"/>
      <c r="F336" s="288"/>
      <c r="G336" s="2"/>
      <c r="H336" s="2"/>
    </row>
    <row r="337" spans="4:8" ht="12.75">
      <c r="D337" s="205"/>
      <c r="E337" s="288"/>
      <c r="F337" s="288"/>
      <c r="G337" s="2"/>
      <c r="H337" s="2"/>
    </row>
    <row r="338" spans="4:8" ht="12.75">
      <c r="D338" s="205"/>
      <c r="E338" s="288"/>
      <c r="F338" s="288"/>
      <c r="G338" s="2"/>
      <c r="H338" s="2"/>
    </row>
    <row r="339" spans="4:8" ht="12.75">
      <c r="D339" s="205"/>
      <c r="E339" s="288"/>
      <c r="F339" s="288"/>
      <c r="G339" s="2"/>
      <c r="H339" s="2"/>
    </row>
    <row r="340" spans="4:8" ht="12.75">
      <c r="D340" s="205"/>
      <c r="E340" s="288"/>
      <c r="F340" s="288"/>
      <c r="G340" s="2"/>
      <c r="H340" s="2"/>
    </row>
    <row r="341" spans="4:8" ht="12.75">
      <c r="D341" s="205"/>
      <c r="E341" s="288"/>
      <c r="F341" s="288"/>
      <c r="G341" s="2"/>
      <c r="H341" s="2"/>
    </row>
    <row r="342" spans="4:8" ht="12.75">
      <c r="D342" s="205"/>
      <c r="E342" s="288"/>
      <c r="F342" s="288"/>
      <c r="G342" s="2"/>
      <c r="H342" s="2"/>
    </row>
    <row r="343" spans="4:8" ht="12.75">
      <c r="D343" s="205"/>
      <c r="E343" s="288"/>
      <c r="F343" s="288"/>
      <c r="G343" s="2"/>
      <c r="H343" s="2"/>
    </row>
    <row r="344" spans="4:8" ht="12.75">
      <c r="D344" s="205"/>
      <c r="E344" s="288"/>
      <c r="F344" s="288"/>
      <c r="G344" s="2"/>
      <c r="H344" s="2"/>
    </row>
    <row r="345" spans="4:8" ht="12.75">
      <c r="D345" s="205"/>
      <c r="E345" s="288"/>
      <c r="F345" s="288"/>
      <c r="G345" s="2"/>
      <c r="H345" s="2"/>
    </row>
    <row r="346" spans="4:8" ht="12.75">
      <c r="D346" s="205"/>
      <c r="E346" s="288"/>
      <c r="F346" s="288"/>
      <c r="G346" s="2"/>
      <c r="H346" s="2"/>
    </row>
    <row r="347" spans="4:8" ht="12.75">
      <c r="D347" s="205"/>
      <c r="E347" s="288"/>
      <c r="F347" s="288"/>
      <c r="G347" s="2"/>
      <c r="H347" s="2"/>
    </row>
    <row r="348" spans="4:8" ht="12.75">
      <c r="D348" s="205"/>
      <c r="E348" s="288"/>
      <c r="F348" s="288"/>
      <c r="G348" s="2"/>
      <c r="H348" s="2"/>
    </row>
    <row r="349" spans="4:8" ht="12.75">
      <c r="D349" s="205"/>
      <c r="E349" s="288"/>
      <c r="F349" s="288"/>
      <c r="G349" s="2"/>
      <c r="H349" s="2"/>
    </row>
    <row r="350" spans="4:8" ht="12.75">
      <c r="D350" s="205"/>
      <c r="E350" s="288"/>
      <c r="F350" s="288"/>
      <c r="G350" s="2"/>
      <c r="H350" s="2"/>
    </row>
    <row r="351" spans="4:8" ht="12.75">
      <c r="D351" s="205"/>
      <c r="E351" s="288"/>
      <c r="F351" s="288"/>
      <c r="G351" s="2"/>
      <c r="H351" s="2"/>
    </row>
    <row r="352" spans="4:8" ht="12.75">
      <c r="D352" s="205"/>
      <c r="E352" s="288"/>
      <c r="F352" s="288"/>
      <c r="G352" s="2"/>
      <c r="H352" s="2"/>
    </row>
    <row r="353" spans="4:8" ht="12.75">
      <c r="D353" s="205"/>
      <c r="E353" s="288"/>
      <c r="F353" s="288"/>
      <c r="G353" s="2"/>
      <c r="H353" s="2"/>
    </row>
    <row r="354" spans="4:8" ht="12.75">
      <c r="D354" s="205"/>
      <c r="E354" s="288"/>
      <c r="F354" s="288"/>
      <c r="G354" s="2"/>
      <c r="H354" s="2"/>
    </row>
    <row r="355" spans="4:8" ht="12.75">
      <c r="D355" s="205"/>
      <c r="E355" s="288"/>
      <c r="F355" s="288"/>
      <c r="G355" s="2"/>
      <c r="H355" s="2"/>
    </row>
    <row r="356" spans="4:8" ht="12.75">
      <c r="D356" s="205"/>
      <c r="E356" s="288"/>
      <c r="F356" s="288"/>
      <c r="G356" s="2"/>
      <c r="H356" s="2"/>
    </row>
    <row r="357" spans="4:8" ht="12.75">
      <c r="D357" s="205"/>
      <c r="E357" s="288"/>
      <c r="F357" s="288"/>
      <c r="G357" s="2"/>
      <c r="H357" s="2"/>
    </row>
    <row r="358" spans="4:8" ht="12.75">
      <c r="D358" s="205"/>
      <c r="E358" s="288"/>
      <c r="F358" s="288"/>
      <c r="G358" s="2"/>
      <c r="H358" s="2"/>
    </row>
    <row r="359" spans="4:8" ht="12.75">
      <c r="D359" s="205"/>
      <c r="E359" s="288"/>
      <c r="F359" s="288"/>
      <c r="G359" s="2"/>
      <c r="H359" s="2"/>
    </row>
    <row r="360" spans="4:8" ht="12.75">
      <c r="D360" s="205"/>
      <c r="E360" s="288"/>
      <c r="F360" s="288"/>
      <c r="G360" s="2"/>
      <c r="H360" s="2"/>
    </row>
    <row r="361" spans="4:8" ht="12.75">
      <c r="D361" s="205"/>
      <c r="E361" s="288"/>
      <c r="F361" s="288"/>
      <c r="G361" s="2"/>
      <c r="H361" s="2"/>
    </row>
    <row r="362" spans="4:8" ht="12.75">
      <c r="D362" s="205"/>
      <c r="E362" s="288"/>
      <c r="F362" s="288"/>
      <c r="G362" s="2"/>
      <c r="H362" s="2"/>
    </row>
    <row r="363" spans="4:8" ht="12.75">
      <c r="D363" s="205"/>
      <c r="E363" s="288"/>
      <c r="F363" s="288"/>
      <c r="G363" s="2"/>
      <c r="H363" s="2"/>
    </row>
    <row r="364" spans="4:8" ht="12.75">
      <c r="D364" s="205"/>
      <c r="E364" s="288"/>
      <c r="F364" s="288"/>
      <c r="G364" s="2"/>
      <c r="H364" s="2"/>
    </row>
    <row r="365" spans="4:8" ht="12.75">
      <c r="D365" s="205"/>
      <c r="E365" s="288"/>
      <c r="F365" s="288"/>
      <c r="G365" s="2"/>
      <c r="H365" s="2"/>
    </row>
    <row r="366" spans="4:8" ht="12.75">
      <c r="D366" s="205"/>
      <c r="E366" s="288"/>
      <c r="F366" s="288"/>
      <c r="G366" s="2"/>
      <c r="H366" s="2"/>
    </row>
    <row r="367" spans="4:8" ht="12.75">
      <c r="D367" s="205"/>
      <c r="E367" s="288"/>
      <c r="F367" s="288"/>
      <c r="G367" s="2"/>
      <c r="H367" s="2"/>
    </row>
    <row r="368" spans="4:8" ht="12.75">
      <c r="D368" s="205"/>
      <c r="E368" s="288"/>
      <c r="F368" s="288"/>
      <c r="G368" s="2"/>
      <c r="H368" s="2"/>
    </row>
    <row r="369" spans="4:8" ht="12.75">
      <c r="D369" s="205"/>
      <c r="E369" s="288"/>
      <c r="F369" s="288"/>
      <c r="G369" s="2"/>
      <c r="H369" s="2"/>
    </row>
    <row r="370" spans="4:8" ht="12.75">
      <c r="D370" s="205"/>
      <c r="E370" s="288"/>
      <c r="F370" s="288"/>
      <c r="G370" s="2"/>
      <c r="H370" s="2"/>
    </row>
    <row r="371" spans="4:8" ht="12.75">
      <c r="D371" s="205"/>
      <c r="E371" s="288"/>
      <c r="F371" s="288"/>
      <c r="G371" s="2"/>
      <c r="H371" s="2"/>
    </row>
    <row r="372" spans="4:8" ht="12.75">
      <c r="D372" s="205"/>
      <c r="E372" s="288"/>
      <c r="F372" s="288"/>
      <c r="G372" s="2"/>
      <c r="H372" s="2"/>
    </row>
    <row r="373" spans="4:8" ht="12.75">
      <c r="D373" s="205"/>
      <c r="E373" s="288"/>
      <c r="F373" s="288"/>
      <c r="G373" s="2"/>
      <c r="H373" s="2"/>
    </row>
    <row r="374" spans="4:8" ht="12.75">
      <c r="D374" s="205"/>
      <c r="E374" s="288"/>
      <c r="F374" s="288"/>
      <c r="G374" s="2"/>
      <c r="H374" s="2"/>
    </row>
    <row r="375" spans="4:8" ht="12.75">
      <c r="D375" s="205"/>
      <c r="E375" s="288"/>
      <c r="F375" s="288"/>
      <c r="G375" s="2"/>
      <c r="H375" s="2"/>
    </row>
    <row r="376" spans="4:8" ht="12.75">
      <c r="D376" s="205"/>
      <c r="E376" s="288"/>
      <c r="F376" s="288"/>
      <c r="G376" s="2"/>
      <c r="H376" s="2"/>
    </row>
    <row r="377" spans="4:8" ht="12.75">
      <c r="D377" s="205"/>
      <c r="E377" s="288"/>
      <c r="F377" s="288"/>
      <c r="G377" s="2"/>
      <c r="H377" s="2"/>
    </row>
    <row r="378" spans="4:8" ht="12.75">
      <c r="D378" s="205"/>
      <c r="E378" s="288"/>
      <c r="F378" s="288"/>
      <c r="G378" s="2"/>
      <c r="H378" s="2"/>
    </row>
    <row r="379" spans="4:8" ht="12.75">
      <c r="D379" s="205"/>
      <c r="E379" s="288"/>
      <c r="F379" s="288"/>
      <c r="G379" s="2"/>
      <c r="H379" s="2"/>
    </row>
    <row r="380" spans="4:8" ht="12.75">
      <c r="D380" s="205"/>
      <c r="E380" s="288"/>
      <c r="F380" s="288"/>
      <c r="G380" s="2"/>
      <c r="H380" s="2"/>
    </row>
    <row r="381" spans="4:8" ht="12.75">
      <c r="D381" s="205"/>
      <c r="E381" s="288"/>
      <c r="F381" s="288"/>
      <c r="G381" s="2"/>
      <c r="H381" s="2"/>
    </row>
    <row r="382" spans="4:8" ht="12.75">
      <c r="D382" s="205"/>
      <c r="E382" s="288"/>
      <c r="F382" s="288"/>
      <c r="G382" s="2"/>
      <c r="H382" s="2"/>
    </row>
    <row r="383" spans="4:8" ht="12.75">
      <c r="D383" s="205"/>
      <c r="E383" s="288"/>
      <c r="F383" s="288"/>
      <c r="G383" s="2"/>
      <c r="H383" s="2"/>
    </row>
    <row r="384" spans="4:8" ht="12.75">
      <c r="D384" s="205"/>
      <c r="E384" s="288"/>
      <c r="F384" s="288"/>
      <c r="G384" s="2"/>
      <c r="H384" s="2"/>
    </row>
    <row r="385" spans="4:8" ht="12.75">
      <c r="D385" s="205"/>
      <c r="E385" s="288"/>
      <c r="F385" s="288"/>
      <c r="G385" s="2"/>
      <c r="H385" s="2"/>
    </row>
    <row r="386" spans="4:8" ht="12.75">
      <c r="D386" s="205"/>
      <c r="E386" s="288"/>
      <c r="F386" s="288"/>
      <c r="G386" s="2"/>
      <c r="H386" s="2"/>
    </row>
    <row r="387" spans="4:8" ht="12.75">
      <c r="D387" s="205"/>
      <c r="E387" s="288"/>
      <c r="F387" s="288"/>
      <c r="G387" s="2"/>
      <c r="H387" s="2"/>
    </row>
    <row r="388" spans="4:8" ht="12.75">
      <c r="D388" s="205"/>
      <c r="E388" s="288"/>
      <c r="F388" s="288"/>
      <c r="G388" s="2"/>
      <c r="H388" s="2"/>
    </row>
    <row r="389" spans="4:8" ht="12.75">
      <c r="D389" s="205"/>
      <c r="E389" s="288"/>
      <c r="F389" s="288"/>
      <c r="G389" s="2"/>
      <c r="H389" s="2"/>
    </row>
    <row r="390" spans="4:8" ht="12.75">
      <c r="D390" s="205"/>
      <c r="E390" s="288"/>
      <c r="F390" s="288"/>
      <c r="G390" s="2"/>
      <c r="H390" s="2"/>
    </row>
    <row r="391" spans="4:8" ht="12.75">
      <c r="D391" s="205"/>
      <c r="E391" s="288"/>
      <c r="F391" s="288"/>
      <c r="G391" s="2"/>
      <c r="H391" s="2"/>
    </row>
    <row r="392" spans="4:8" ht="12.75">
      <c r="D392" s="205"/>
      <c r="E392" s="288"/>
      <c r="F392" s="288"/>
      <c r="G392" s="2"/>
      <c r="H392" s="2"/>
    </row>
    <row r="393" spans="4:8" ht="12.75">
      <c r="D393" s="205"/>
      <c r="E393" s="288"/>
      <c r="F393" s="288"/>
      <c r="G393" s="2"/>
      <c r="H393" s="2"/>
    </row>
    <row r="394" spans="4:8" ht="12.75">
      <c r="D394" s="205"/>
      <c r="E394" s="288"/>
      <c r="F394" s="288"/>
      <c r="G394" s="2"/>
      <c r="H394" s="2"/>
    </row>
    <row r="395" spans="4:8" ht="12.75">
      <c r="D395" s="205"/>
      <c r="E395" s="288"/>
      <c r="F395" s="288"/>
      <c r="G395" s="2"/>
      <c r="H395" s="2"/>
    </row>
    <row r="396" spans="4:8" ht="12.75">
      <c r="D396" s="205"/>
      <c r="E396" s="288"/>
      <c r="F396" s="288"/>
      <c r="G396" s="2"/>
      <c r="H396" s="2"/>
    </row>
    <row r="397" spans="4:8" ht="12.75">
      <c r="D397" s="205"/>
      <c r="E397" s="288"/>
      <c r="F397" s="288"/>
      <c r="G397" s="2"/>
      <c r="H397" s="2"/>
    </row>
    <row r="398" spans="4:8" ht="12.75">
      <c r="D398" s="205"/>
      <c r="E398" s="288"/>
      <c r="F398" s="288"/>
      <c r="G398" s="2"/>
      <c r="H398" s="2"/>
    </row>
    <row r="399" spans="4:8" ht="12.75">
      <c r="D399" s="205"/>
      <c r="E399" s="288"/>
      <c r="F399" s="288"/>
      <c r="G399" s="2"/>
      <c r="H399" s="2"/>
    </row>
    <row r="400" spans="4:8" ht="12.75">
      <c r="D400" s="205"/>
      <c r="E400" s="288"/>
      <c r="F400" s="288"/>
      <c r="G400" s="2"/>
      <c r="H400" s="2"/>
    </row>
    <row r="401" spans="4:8" ht="12.75">
      <c r="D401" s="205"/>
      <c r="E401" s="288"/>
      <c r="F401" s="288"/>
      <c r="G401" s="2"/>
      <c r="H401" s="2"/>
    </row>
    <row r="402" spans="4:8" ht="12.75">
      <c r="D402" s="205"/>
      <c r="E402" s="288"/>
      <c r="F402" s="288"/>
      <c r="G402" s="2"/>
      <c r="H402" s="2"/>
    </row>
    <row r="403" spans="4:8" ht="12.75">
      <c r="D403" s="205"/>
      <c r="E403" s="288"/>
      <c r="F403" s="288"/>
      <c r="G403" s="2"/>
      <c r="H403" s="2"/>
    </row>
    <row r="404" spans="4:8" ht="12.75">
      <c r="D404" s="205"/>
      <c r="E404" s="288"/>
      <c r="F404" s="288"/>
      <c r="G404" s="2"/>
      <c r="H404" s="2"/>
    </row>
    <row r="405" spans="4:8" ht="12.75">
      <c r="D405" s="205"/>
      <c r="E405" s="288"/>
      <c r="F405" s="288"/>
      <c r="G405" s="2"/>
      <c r="H405" s="2"/>
    </row>
    <row r="406" spans="4:8" ht="12.75">
      <c r="D406" s="205"/>
      <c r="E406" s="288"/>
      <c r="F406" s="288"/>
      <c r="G406" s="2"/>
      <c r="H406" s="2"/>
    </row>
    <row r="407" spans="4:8" ht="12.75">
      <c r="D407" s="205"/>
      <c r="E407" s="288"/>
      <c r="F407" s="288"/>
      <c r="G407" s="2"/>
      <c r="H407" s="2"/>
    </row>
    <row r="408" spans="4:8" ht="12.75">
      <c r="D408" s="205"/>
      <c r="E408" s="288"/>
      <c r="F408" s="288"/>
      <c r="G408" s="2"/>
      <c r="H408" s="2"/>
    </row>
    <row r="409" spans="4:8" ht="12.75">
      <c r="D409" s="205"/>
      <c r="E409" s="288"/>
      <c r="F409" s="288"/>
      <c r="G409" s="2"/>
      <c r="H409" s="2"/>
    </row>
    <row r="410" spans="4:8" ht="12.75">
      <c r="D410" s="205"/>
      <c r="E410" s="288"/>
      <c r="F410" s="288"/>
      <c r="G410" s="2"/>
      <c r="H410" s="2"/>
    </row>
    <row r="411" spans="4:8" ht="12.75">
      <c r="D411" s="205"/>
      <c r="E411" s="288"/>
      <c r="F411" s="288"/>
      <c r="G411" s="2"/>
      <c r="H411" s="2"/>
    </row>
    <row r="412" spans="4:8" ht="12.75">
      <c r="D412" s="205"/>
      <c r="E412" s="288"/>
      <c r="F412" s="288"/>
      <c r="G412" s="2"/>
      <c r="H412" s="2"/>
    </row>
    <row r="413" spans="4:8" ht="12.75">
      <c r="D413" s="205"/>
      <c r="E413" s="288"/>
      <c r="F413" s="288"/>
      <c r="G413" s="2"/>
      <c r="H413" s="2"/>
    </row>
    <row r="414" spans="4:8" ht="12.75">
      <c r="D414" s="205"/>
      <c r="E414" s="288"/>
      <c r="F414" s="288"/>
      <c r="G414" s="2"/>
      <c r="H414" s="2"/>
    </row>
    <row r="415" spans="4:8" ht="12.75">
      <c r="D415" s="205"/>
      <c r="E415" s="288"/>
      <c r="F415" s="288"/>
      <c r="G415" s="2"/>
      <c r="H415" s="2"/>
    </row>
    <row r="416" spans="4:8" ht="12.75">
      <c r="D416" s="205"/>
      <c r="E416" s="288"/>
      <c r="F416" s="288"/>
      <c r="G416" s="2"/>
      <c r="H416" s="2"/>
    </row>
    <row r="417" spans="4:8" ht="12.75">
      <c r="D417" s="205"/>
      <c r="E417" s="288"/>
      <c r="F417" s="288"/>
      <c r="G417" s="2"/>
      <c r="H417" s="2"/>
    </row>
    <row r="418" spans="4:8" ht="12.75">
      <c r="D418" s="205"/>
      <c r="E418" s="288"/>
      <c r="F418" s="288"/>
      <c r="G418" s="2"/>
      <c r="H418" s="2"/>
    </row>
    <row r="419" spans="4:8" ht="12.75">
      <c r="D419" s="205"/>
      <c r="E419" s="288"/>
      <c r="F419" s="288"/>
      <c r="G419" s="2"/>
      <c r="H419" s="2"/>
    </row>
    <row r="420" spans="4:8" ht="12.75">
      <c r="D420" s="205"/>
      <c r="E420" s="288"/>
      <c r="F420" s="288"/>
      <c r="G420" s="2"/>
      <c r="H420" s="2"/>
    </row>
    <row r="421" spans="4:8" ht="12.75">
      <c r="D421" s="205"/>
      <c r="E421" s="288"/>
      <c r="F421" s="288"/>
      <c r="G421" s="2"/>
      <c r="H421" s="2"/>
    </row>
    <row r="422" spans="4:8" ht="12.75">
      <c r="D422" s="205"/>
      <c r="E422" s="288"/>
      <c r="F422" s="288"/>
      <c r="G422" s="2"/>
      <c r="H422" s="2"/>
    </row>
    <row r="423" spans="4:8" ht="12.75">
      <c r="D423" s="205"/>
      <c r="E423" s="288"/>
      <c r="F423" s="288"/>
      <c r="G423" s="2"/>
      <c r="H423" s="2"/>
    </row>
    <row r="424" spans="4:8" ht="12.75">
      <c r="D424" s="205"/>
      <c r="E424" s="288"/>
      <c r="F424" s="288"/>
      <c r="G424" s="2"/>
      <c r="H424" s="2"/>
    </row>
    <row r="425" spans="4:8" ht="12.75">
      <c r="D425" s="205"/>
      <c r="E425" s="288"/>
      <c r="F425" s="288"/>
      <c r="G425" s="2"/>
      <c r="H425" s="2"/>
    </row>
    <row r="426" spans="4:8" ht="12.75">
      <c r="D426" s="205"/>
      <c r="E426" s="288"/>
      <c r="F426" s="288"/>
      <c r="G426" s="2"/>
      <c r="H426" s="2"/>
    </row>
    <row r="427" spans="4:8" ht="12.75">
      <c r="D427" s="205"/>
      <c r="E427" s="288"/>
      <c r="F427" s="288"/>
      <c r="G427" s="2"/>
      <c r="H427" s="2"/>
    </row>
    <row r="428" spans="4:8" ht="12.75">
      <c r="D428" s="205"/>
      <c r="E428" s="288"/>
      <c r="F428" s="288"/>
      <c r="G428" s="2"/>
      <c r="H428" s="2"/>
    </row>
    <row r="429" spans="4:8" ht="12.75">
      <c r="D429" s="205"/>
      <c r="E429" s="288"/>
      <c r="F429" s="288"/>
      <c r="G429" s="2"/>
      <c r="H429" s="2"/>
    </row>
    <row r="430" spans="4:8" ht="12.75">
      <c r="D430" s="205"/>
      <c r="E430" s="288"/>
      <c r="F430" s="288"/>
      <c r="G430" s="2"/>
      <c r="H430" s="2"/>
    </row>
    <row r="431" spans="4:8" ht="12.75">
      <c r="D431" s="205"/>
      <c r="E431" s="288"/>
      <c r="F431" s="288"/>
      <c r="G431" s="2"/>
      <c r="H431" s="2"/>
    </row>
    <row r="432" spans="4:8" ht="12.75">
      <c r="D432" s="205"/>
      <c r="E432" s="288"/>
      <c r="F432" s="288"/>
      <c r="G432" s="2"/>
      <c r="H432" s="2"/>
    </row>
    <row r="433" spans="4:8" ht="12.75">
      <c r="D433" s="205"/>
      <c r="E433" s="288"/>
      <c r="F433" s="288"/>
      <c r="G433" s="2"/>
      <c r="H433" s="2"/>
    </row>
    <row r="434" spans="4:8" ht="12.75">
      <c r="D434" s="205"/>
      <c r="E434" s="288"/>
      <c r="F434" s="288"/>
      <c r="G434" s="2"/>
      <c r="H434" s="2"/>
    </row>
    <row r="435" spans="4:8" ht="12.75">
      <c r="D435" s="205"/>
      <c r="E435" s="288"/>
      <c r="F435" s="288"/>
      <c r="G435" s="2"/>
      <c r="H435" s="2"/>
    </row>
    <row r="436" spans="4:8" ht="12.75">
      <c r="D436" s="205"/>
      <c r="E436" s="288"/>
      <c r="F436" s="288"/>
      <c r="G436" s="2"/>
      <c r="H436" s="2"/>
    </row>
    <row r="437" spans="4:8" ht="12.75">
      <c r="D437" s="205"/>
      <c r="E437" s="288"/>
      <c r="F437" s="288"/>
      <c r="G437" s="2"/>
      <c r="H437" s="2"/>
    </row>
    <row r="438" spans="4:8" ht="12.75">
      <c r="D438" s="205"/>
      <c r="E438" s="288"/>
      <c r="F438" s="288"/>
      <c r="G438" s="2"/>
      <c r="H438" s="2"/>
    </row>
    <row r="439" spans="4:8" ht="12.75">
      <c r="D439" s="205"/>
      <c r="E439" s="288"/>
      <c r="F439" s="288"/>
      <c r="G439" s="2"/>
      <c r="H439" s="2"/>
    </row>
    <row r="440" spans="4:8" ht="12.75">
      <c r="D440" s="205"/>
      <c r="E440" s="288"/>
      <c r="F440" s="288"/>
      <c r="G440" s="2"/>
      <c r="H440" s="2"/>
    </row>
    <row r="441" spans="4:8" ht="12.75">
      <c r="D441" s="205"/>
      <c r="E441" s="288"/>
      <c r="F441" s="288"/>
      <c r="G441" s="2"/>
      <c r="H441" s="2"/>
    </row>
    <row r="442" spans="4:8" ht="12.75">
      <c r="D442" s="205"/>
      <c r="E442" s="288"/>
      <c r="F442" s="288"/>
      <c r="G442" s="2"/>
      <c r="H442" s="2"/>
    </row>
    <row r="443" spans="4:8" ht="12.75">
      <c r="D443" s="205"/>
      <c r="E443" s="288"/>
      <c r="F443" s="288"/>
      <c r="G443" s="2"/>
      <c r="H443" s="2"/>
    </row>
    <row r="444" spans="4:8" ht="12.75">
      <c r="D444" s="205"/>
      <c r="E444" s="288"/>
      <c r="F444" s="288"/>
      <c r="G444" s="2"/>
      <c r="H444" s="2"/>
    </row>
    <row r="445" spans="4:8" ht="12.75">
      <c r="D445" s="205"/>
      <c r="E445" s="288"/>
      <c r="F445" s="288"/>
      <c r="G445" s="2"/>
      <c r="H445" s="2"/>
    </row>
    <row r="446" spans="4:8" ht="12.75">
      <c r="D446" s="205"/>
      <c r="E446" s="288"/>
      <c r="F446" s="288"/>
      <c r="G446" s="2"/>
      <c r="H446" s="2"/>
    </row>
    <row r="447" spans="4:8" ht="12.75">
      <c r="D447" s="205"/>
      <c r="E447" s="288"/>
      <c r="F447" s="288"/>
      <c r="G447" s="2"/>
      <c r="H447" s="2"/>
    </row>
    <row r="448" spans="4:8" ht="12.75">
      <c r="D448" s="205"/>
      <c r="E448" s="288"/>
      <c r="F448" s="288"/>
      <c r="G448" s="2"/>
      <c r="H448" s="2"/>
    </row>
    <row r="449" spans="4:8" ht="12.75">
      <c r="D449" s="205"/>
      <c r="E449" s="288"/>
      <c r="F449" s="288"/>
      <c r="G449" s="2"/>
      <c r="H449" s="2"/>
    </row>
    <row r="450" spans="4:8" ht="12.75">
      <c r="D450" s="205"/>
      <c r="E450" s="288"/>
      <c r="F450" s="288"/>
      <c r="G450" s="2"/>
      <c r="H450" s="2"/>
    </row>
    <row r="451" spans="4:8" ht="12.75">
      <c r="D451" s="205"/>
      <c r="E451" s="288"/>
      <c r="F451" s="288"/>
      <c r="G451" s="2"/>
      <c r="H451" s="2"/>
    </row>
    <row r="452" spans="4:8" ht="12.75">
      <c r="D452" s="205"/>
      <c r="E452" s="288"/>
      <c r="F452" s="288"/>
      <c r="G452" s="2"/>
      <c r="H452" s="2"/>
    </row>
    <row r="453" spans="4:8" ht="12.75">
      <c r="D453" s="205"/>
      <c r="E453" s="288"/>
      <c r="F453" s="288"/>
      <c r="G453" s="2"/>
      <c r="H453" s="2"/>
    </row>
    <row r="454" spans="4:8" ht="12.75">
      <c r="D454" s="205"/>
      <c r="E454" s="288"/>
      <c r="F454" s="288"/>
      <c r="G454" s="2"/>
      <c r="H454" s="2"/>
    </row>
    <row r="455" spans="4:8" ht="12.75">
      <c r="D455" s="205"/>
      <c r="E455" s="288"/>
      <c r="F455" s="288"/>
      <c r="G455" s="2"/>
      <c r="H455" s="2"/>
    </row>
    <row r="456" spans="4:8" ht="12.75">
      <c r="D456" s="205"/>
      <c r="E456" s="288"/>
      <c r="F456" s="288"/>
      <c r="G456" s="2"/>
      <c r="H456" s="2"/>
    </row>
    <row r="457" spans="4:8" ht="12.75">
      <c r="D457" s="205"/>
      <c r="E457" s="288"/>
      <c r="F457" s="288"/>
      <c r="G457" s="2"/>
      <c r="H457" s="2"/>
    </row>
    <row r="458" spans="4:8" ht="12.75">
      <c r="D458" s="205"/>
      <c r="E458" s="288"/>
      <c r="F458" s="288"/>
      <c r="G458" s="2"/>
      <c r="H458" s="2"/>
    </row>
    <row r="459" spans="4:8" ht="12.75">
      <c r="D459" s="205"/>
      <c r="E459" s="288"/>
      <c r="F459" s="288"/>
      <c r="G459" s="2"/>
      <c r="H459" s="2"/>
    </row>
    <row r="460" spans="4:8" ht="12.75">
      <c r="D460" s="205"/>
      <c r="E460" s="288"/>
      <c r="F460" s="288"/>
      <c r="G460" s="2"/>
      <c r="H460" s="2"/>
    </row>
    <row r="461" spans="4:8" ht="12.75">
      <c r="D461" s="205"/>
      <c r="E461" s="288"/>
      <c r="F461" s="288"/>
      <c r="G461" s="2"/>
      <c r="H461" s="2"/>
    </row>
    <row r="462" spans="4:8" ht="12.75">
      <c r="D462" s="205"/>
      <c r="E462" s="288"/>
      <c r="F462" s="288"/>
      <c r="G462" s="2"/>
      <c r="H462" s="2"/>
    </row>
    <row r="463" spans="4:8" ht="12.75">
      <c r="D463" s="205"/>
      <c r="E463" s="288"/>
      <c r="F463" s="288"/>
      <c r="G463" s="2"/>
      <c r="H463" s="2"/>
    </row>
    <row r="464" spans="4:8" ht="12.75">
      <c r="D464" s="205"/>
      <c r="E464" s="288"/>
      <c r="F464" s="288"/>
      <c r="G464" s="2"/>
      <c r="H464" s="2"/>
    </row>
    <row r="465" spans="4:8" ht="12.75">
      <c r="D465" s="205"/>
      <c r="E465" s="288"/>
      <c r="F465" s="288"/>
      <c r="G465" s="2"/>
      <c r="H465" s="2"/>
    </row>
    <row r="466" spans="4:8" ht="12.75">
      <c r="D466" s="205"/>
      <c r="E466" s="288"/>
      <c r="F466" s="288"/>
      <c r="G466" s="2"/>
      <c r="H466" s="2"/>
    </row>
    <row r="467" spans="4:8" ht="12.75">
      <c r="D467" s="205"/>
      <c r="E467" s="288"/>
      <c r="F467" s="288"/>
      <c r="G467" s="2"/>
      <c r="H467" s="2"/>
    </row>
    <row r="468" spans="4:8" ht="12.75">
      <c r="D468" s="205"/>
      <c r="E468" s="288"/>
      <c r="F468" s="288"/>
      <c r="G468" s="2"/>
      <c r="H468" s="2"/>
    </row>
    <row r="469" spans="4:8" ht="12.75">
      <c r="D469" s="205"/>
      <c r="E469" s="288"/>
      <c r="F469" s="288"/>
      <c r="G469" s="2"/>
      <c r="H469" s="2"/>
    </row>
    <row r="470" spans="4:8" ht="12.75">
      <c r="D470" s="205"/>
      <c r="E470" s="288"/>
      <c r="F470" s="288"/>
      <c r="G470" s="2"/>
      <c r="H470" s="2"/>
    </row>
    <row r="471" spans="4:8" ht="12.75">
      <c r="D471" s="205"/>
      <c r="E471" s="288"/>
      <c r="F471" s="288"/>
      <c r="G471" s="2"/>
      <c r="H471" s="2"/>
    </row>
    <row r="472" spans="4:8" ht="12.75">
      <c r="D472" s="205"/>
      <c r="E472" s="288"/>
      <c r="F472" s="288"/>
      <c r="G472" s="2"/>
      <c r="H472" s="2"/>
    </row>
    <row r="473" spans="4:8" ht="12.75">
      <c r="D473" s="205"/>
      <c r="E473" s="288"/>
      <c r="F473" s="288"/>
      <c r="G473" s="2"/>
      <c r="H473" s="2"/>
    </row>
    <row r="474" spans="4:8" ht="12.75">
      <c r="D474" s="205"/>
      <c r="E474" s="288"/>
      <c r="F474" s="288"/>
      <c r="G474" s="2"/>
      <c r="H474" s="2"/>
    </row>
    <row r="475" spans="4:8" ht="12.75">
      <c r="D475" s="205"/>
      <c r="E475" s="288"/>
      <c r="F475" s="288"/>
      <c r="G475" s="2"/>
      <c r="H475" s="2"/>
    </row>
    <row r="476" spans="4:8" ht="12.75">
      <c r="D476" s="205"/>
      <c r="E476" s="288"/>
      <c r="F476" s="288"/>
      <c r="G476" s="2"/>
      <c r="H476" s="2"/>
    </row>
    <row r="477" spans="4:8" ht="12.75">
      <c r="D477" s="205"/>
      <c r="E477" s="288"/>
      <c r="F477" s="288"/>
      <c r="G477" s="2"/>
      <c r="H477" s="2"/>
    </row>
    <row r="478" spans="4:8" ht="12.75">
      <c r="D478" s="205"/>
      <c r="E478" s="288"/>
      <c r="F478" s="288"/>
      <c r="G478" s="2"/>
      <c r="H478" s="2"/>
    </row>
    <row r="479" spans="4:8" ht="12.75">
      <c r="D479" s="205"/>
      <c r="E479" s="288"/>
      <c r="F479" s="288"/>
      <c r="G479" s="2"/>
      <c r="H479" s="2"/>
    </row>
    <row r="480" spans="4:8" ht="12.75">
      <c r="D480" s="205"/>
      <c r="E480" s="288"/>
      <c r="F480" s="288"/>
      <c r="G480" s="2"/>
      <c r="H480" s="2"/>
    </row>
    <row r="481" spans="4:8" ht="12.75">
      <c r="D481" s="205"/>
      <c r="E481" s="288"/>
      <c r="F481" s="288"/>
      <c r="G481" s="2"/>
      <c r="H481" s="2"/>
    </row>
    <row r="482" spans="4:8" ht="12.75">
      <c r="D482" s="205"/>
      <c r="E482" s="288"/>
      <c r="F482" s="288"/>
      <c r="G482" s="2"/>
      <c r="H482" s="2"/>
    </row>
    <row r="483" spans="4:8" ht="12.75">
      <c r="D483" s="205"/>
      <c r="E483" s="288"/>
      <c r="F483" s="288"/>
      <c r="G483" s="2"/>
      <c r="H483" s="2"/>
    </row>
    <row r="484" spans="4:8" ht="12.75">
      <c r="D484" s="205"/>
      <c r="E484" s="288"/>
      <c r="F484" s="288"/>
      <c r="G484" s="2"/>
      <c r="H484" s="2"/>
    </row>
    <row r="485" spans="4:8" ht="12.75">
      <c r="D485" s="205"/>
      <c r="E485" s="288"/>
      <c r="F485" s="288"/>
      <c r="G485" s="2"/>
      <c r="H485" s="2"/>
    </row>
    <row r="486" spans="4:8" ht="12.75">
      <c r="D486" s="205"/>
      <c r="E486" s="288"/>
      <c r="F486" s="288"/>
      <c r="G486" s="2"/>
      <c r="H486" s="2"/>
    </row>
    <row r="487" spans="4:8" ht="12.75">
      <c r="D487" s="205"/>
      <c r="E487" s="288"/>
      <c r="F487" s="288"/>
      <c r="G487" s="2"/>
      <c r="H487" s="2"/>
    </row>
    <row r="488" spans="4:8" ht="12.75">
      <c r="D488" s="205"/>
      <c r="E488" s="288"/>
      <c r="F488" s="288"/>
      <c r="G488" s="2"/>
      <c r="H488" s="2"/>
    </row>
    <row r="489" spans="4:8" ht="12.75">
      <c r="D489" s="205"/>
      <c r="E489" s="288"/>
      <c r="F489" s="288"/>
      <c r="G489" s="2"/>
      <c r="H489" s="2"/>
    </row>
    <row r="490" spans="4:8" ht="12.75">
      <c r="D490" s="205"/>
      <c r="E490" s="288"/>
      <c r="F490" s="288"/>
      <c r="G490" s="2"/>
      <c r="H490" s="2"/>
    </row>
    <row r="491" spans="4:8" ht="12.75">
      <c r="D491" s="205"/>
      <c r="E491" s="288"/>
      <c r="F491" s="288"/>
      <c r="G491" s="2"/>
      <c r="H491" s="2"/>
    </row>
    <row r="492" spans="4:8" ht="12.75">
      <c r="D492" s="205"/>
      <c r="E492" s="288"/>
      <c r="F492" s="288"/>
      <c r="G492" s="2"/>
      <c r="H492" s="2"/>
    </row>
    <row r="493" spans="4:8" ht="12.75">
      <c r="D493" s="205"/>
      <c r="E493" s="288"/>
      <c r="F493" s="288"/>
      <c r="G493" s="2"/>
      <c r="H493" s="2"/>
    </row>
    <row r="494" spans="4:8" ht="12.75">
      <c r="D494" s="205"/>
      <c r="E494" s="288"/>
      <c r="F494" s="288"/>
      <c r="G494" s="2"/>
      <c r="H494" s="2"/>
    </row>
    <row r="495" spans="4:8" ht="12.75">
      <c r="D495" s="205"/>
      <c r="E495" s="288"/>
      <c r="F495" s="288"/>
      <c r="G495" s="2"/>
      <c r="H495" s="2"/>
    </row>
    <row r="496" spans="4:8" ht="12.75">
      <c r="D496" s="205"/>
      <c r="E496" s="288"/>
      <c r="F496" s="288"/>
      <c r="G496" s="2"/>
      <c r="H496" s="2"/>
    </row>
    <row r="497" spans="4:8" ht="12.75">
      <c r="D497" s="205"/>
      <c r="E497" s="288"/>
      <c r="F497" s="288"/>
      <c r="G497" s="2"/>
      <c r="H497" s="2"/>
    </row>
    <row r="498" spans="4:8" ht="12.75">
      <c r="D498" s="205"/>
      <c r="E498" s="288"/>
      <c r="F498" s="288"/>
      <c r="G498" s="2"/>
      <c r="H498" s="2"/>
    </row>
    <row r="499" spans="4:8" ht="12.75">
      <c r="D499" s="205"/>
      <c r="E499" s="288"/>
      <c r="F499" s="288"/>
      <c r="G499" s="2"/>
      <c r="H499" s="2"/>
    </row>
    <row r="500" spans="4:8" ht="12.75">
      <c r="D500" s="205"/>
      <c r="E500" s="288"/>
      <c r="F500" s="288"/>
      <c r="G500" s="2"/>
      <c r="H500" s="2"/>
    </row>
    <row r="501" spans="4:8" ht="12.75">
      <c r="D501" s="205"/>
      <c r="E501" s="288"/>
      <c r="F501" s="288"/>
      <c r="G501" s="2"/>
      <c r="H501" s="2"/>
    </row>
    <row r="502" spans="4:8" ht="12.75">
      <c r="D502" s="205"/>
      <c r="E502" s="288"/>
      <c r="F502" s="288"/>
      <c r="G502" s="2"/>
      <c r="H502" s="2"/>
    </row>
    <row r="503" spans="4:8" ht="12.75">
      <c r="D503" s="205"/>
      <c r="E503" s="288"/>
      <c r="F503" s="288"/>
      <c r="G503" s="2"/>
      <c r="H503" s="2"/>
    </row>
    <row r="504" spans="4:8" ht="12.75">
      <c r="D504" s="205"/>
      <c r="E504" s="288"/>
      <c r="F504" s="288"/>
      <c r="G504" s="2"/>
      <c r="H504" s="2"/>
    </row>
    <row r="505" spans="4:8" ht="12.75">
      <c r="D505" s="205"/>
      <c r="E505" s="288"/>
      <c r="F505" s="288"/>
      <c r="G505" s="2"/>
      <c r="H505" s="2"/>
    </row>
    <row r="506" spans="4:8" ht="12.75">
      <c r="D506" s="205"/>
      <c r="E506" s="288"/>
      <c r="F506" s="288"/>
      <c r="G506" s="2"/>
      <c r="H506" s="2"/>
    </row>
    <row r="507" spans="4:8" ht="12.75">
      <c r="D507" s="205"/>
      <c r="E507" s="288"/>
      <c r="F507" s="288"/>
      <c r="G507" s="2"/>
      <c r="H507" s="2"/>
    </row>
    <row r="508" spans="4:8" ht="12.75">
      <c r="D508" s="205"/>
      <c r="E508" s="288"/>
      <c r="F508" s="288"/>
      <c r="G508" s="2"/>
      <c r="H508" s="2"/>
    </row>
    <row r="509" spans="4:8" ht="12.75">
      <c r="D509" s="205"/>
      <c r="E509" s="288"/>
      <c r="F509" s="288"/>
      <c r="G509" s="2"/>
      <c r="H509" s="2"/>
    </row>
    <row r="510" spans="4:8" ht="12.75">
      <c r="D510" s="205"/>
      <c r="E510" s="288"/>
      <c r="F510" s="288"/>
      <c r="G510" s="2"/>
      <c r="H510" s="2"/>
    </row>
    <row r="511" spans="4:8" ht="12.75">
      <c r="D511" s="205"/>
      <c r="E511" s="288"/>
      <c r="F511" s="288"/>
      <c r="G511" s="2"/>
      <c r="H511" s="2"/>
    </row>
    <row r="512" spans="4:8" ht="12.75">
      <c r="D512" s="205"/>
      <c r="E512" s="288"/>
      <c r="F512" s="288"/>
      <c r="G512" s="2"/>
      <c r="H512" s="2"/>
    </row>
    <row r="513" spans="4:8" ht="12.75">
      <c r="D513" s="205"/>
      <c r="E513" s="288"/>
      <c r="F513" s="288"/>
      <c r="G513" s="2"/>
      <c r="H513" s="2"/>
    </row>
    <row r="514" spans="4:8" ht="12.75">
      <c r="D514" s="205"/>
      <c r="E514" s="288"/>
      <c r="F514" s="288"/>
      <c r="G514" s="2"/>
      <c r="H514" s="2"/>
    </row>
    <row r="515" spans="4:8" ht="12.75">
      <c r="D515" s="205"/>
      <c r="E515" s="288"/>
      <c r="F515" s="288"/>
      <c r="G515" s="2"/>
      <c r="H515" s="2"/>
    </row>
    <row r="516" spans="4:8" ht="12.75">
      <c r="D516" s="205"/>
      <c r="E516" s="288"/>
      <c r="F516" s="288"/>
      <c r="G516" s="2"/>
      <c r="H516" s="2"/>
    </row>
    <row r="517" spans="4:8" ht="12.75">
      <c r="D517" s="205"/>
      <c r="E517" s="288"/>
      <c r="F517" s="288"/>
      <c r="G517" s="2"/>
      <c r="H517" s="2"/>
    </row>
    <row r="518" spans="4:8" ht="12.75">
      <c r="D518" s="205"/>
      <c r="E518" s="288"/>
      <c r="F518" s="288"/>
      <c r="G518" s="2"/>
      <c r="H518" s="2"/>
    </row>
    <row r="519" spans="4:8" ht="12.75">
      <c r="D519" s="205"/>
      <c r="E519" s="288"/>
      <c r="F519" s="288"/>
      <c r="G519" s="2"/>
      <c r="H519" s="2"/>
    </row>
    <row r="520" spans="4:8" ht="12.75">
      <c r="D520" s="205"/>
      <c r="E520" s="288"/>
      <c r="F520" s="288"/>
      <c r="G520" s="2"/>
      <c r="H520" s="2"/>
    </row>
    <row r="521" spans="4:8" ht="12.75">
      <c r="D521" s="205"/>
      <c r="E521" s="288"/>
      <c r="F521" s="288"/>
      <c r="G521" s="2"/>
      <c r="H521" s="2"/>
    </row>
    <row r="522" spans="4:8" ht="12.75">
      <c r="D522" s="205"/>
      <c r="E522" s="288"/>
      <c r="F522" s="288"/>
      <c r="G522" s="2"/>
      <c r="H522" s="2"/>
    </row>
    <row r="523" spans="4:8" ht="12.75">
      <c r="D523" s="205"/>
      <c r="E523" s="288"/>
      <c r="F523" s="288"/>
      <c r="G523" s="2"/>
      <c r="H523" s="2"/>
    </row>
    <row r="524" spans="4:8" ht="12.75">
      <c r="D524" s="205"/>
      <c r="E524" s="288"/>
      <c r="F524" s="288"/>
      <c r="G524" s="2"/>
      <c r="H524" s="2"/>
    </row>
    <row r="525" spans="4:8" ht="12.75">
      <c r="D525" s="205"/>
      <c r="E525" s="288"/>
      <c r="F525" s="288"/>
      <c r="G525" s="2"/>
      <c r="H525" s="2"/>
    </row>
    <row r="526" spans="4:8" ht="12.75">
      <c r="D526" s="205"/>
      <c r="E526" s="288"/>
      <c r="F526" s="288"/>
      <c r="G526" s="2"/>
      <c r="H526" s="2"/>
    </row>
    <row r="527" spans="4:8" ht="12.75">
      <c r="D527" s="205"/>
      <c r="E527" s="288"/>
      <c r="F527" s="288"/>
      <c r="G527" s="2"/>
      <c r="H527" s="2"/>
    </row>
    <row r="528" spans="4:8" ht="12.75">
      <c r="D528" s="205"/>
      <c r="E528" s="288"/>
      <c r="F528" s="288"/>
      <c r="G528" s="2"/>
      <c r="H528" s="2"/>
    </row>
    <row r="529" spans="4:8" ht="12.75">
      <c r="D529" s="205"/>
      <c r="E529" s="288"/>
      <c r="F529" s="288"/>
      <c r="G529" s="2"/>
      <c r="H529" s="2"/>
    </row>
    <row r="530" spans="4:8" ht="12.75">
      <c r="D530" s="205"/>
      <c r="E530" s="288"/>
      <c r="F530" s="288"/>
      <c r="G530" s="2"/>
      <c r="H530" s="2"/>
    </row>
    <row r="531" spans="4:8" ht="12.75">
      <c r="D531" s="205"/>
      <c r="E531" s="288"/>
      <c r="F531" s="288"/>
      <c r="G531" s="2"/>
      <c r="H531" s="2"/>
    </row>
    <row r="532" spans="4:8" ht="12.75">
      <c r="D532" s="205"/>
      <c r="E532" s="288"/>
      <c r="F532" s="288"/>
      <c r="G532" s="2"/>
      <c r="H532" s="2"/>
    </row>
    <row r="533" spans="4:8" ht="12.75">
      <c r="D533" s="205"/>
      <c r="E533" s="288"/>
      <c r="F533" s="288"/>
      <c r="G533" s="2"/>
      <c r="H533" s="2"/>
    </row>
    <row r="534" spans="4:8" ht="12.75">
      <c r="D534" s="205"/>
      <c r="E534" s="288"/>
      <c r="F534" s="288"/>
      <c r="G534" s="2"/>
      <c r="H534" s="2"/>
    </row>
    <row r="535" spans="4:8" ht="12.75">
      <c r="D535" s="205"/>
      <c r="E535" s="288"/>
      <c r="F535" s="288"/>
      <c r="G535" s="2"/>
      <c r="H535" s="2"/>
    </row>
    <row r="536" spans="4:8" ht="12.75">
      <c r="D536" s="205"/>
      <c r="E536" s="288"/>
      <c r="F536" s="288"/>
      <c r="G536" s="2"/>
      <c r="H536" s="2"/>
    </row>
    <row r="537" spans="4:8" ht="12.75">
      <c r="D537" s="205"/>
      <c r="E537" s="288"/>
      <c r="F537" s="288"/>
      <c r="G537" s="2"/>
      <c r="H537" s="2"/>
    </row>
    <row r="538" spans="4:8" ht="12.75">
      <c r="D538" s="205"/>
      <c r="E538" s="288"/>
      <c r="F538" s="288"/>
      <c r="G538" s="2"/>
      <c r="H538" s="2"/>
    </row>
    <row r="539" spans="4:8" ht="12.75">
      <c r="D539" s="205"/>
      <c r="E539" s="288"/>
      <c r="F539" s="288"/>
      <c r="G539" s="2"/>
      <c r="H539" s="2"/>
    </row>
    <row r="540" spans="4:8" ht="12.75">
      <c r="D540" s="205"/>
      <c r="E540" s="288"/>
      <c r="F540" s="288"/>
      <c r="G540" s="2"/>
      <c r="H540" s="2"/>
    </row>
    <row r="541" spans="4:8" ht="12.75">
      <c r="D541" s="205"/>
      <c r="E541" s="288"/>
      <c r="F541" s="288"/>
      <c r="G541" s="2"/>
      <c r="H541" s="2"/>
    </row>
    <row r="542" spans="4:8" ht="12.75">
      <c r="D542" s="205"/>
      <c r="E542" s="288"/>
      <c r="F542" s="288"/>
      <c r="G542" s="2"/>
      <c r="H542" s="2"/>
    </row>
    <row r="543" spans="4:8" ht="12.75">
      <c r="D543" s="205"/>
      <c r="E543" s="288"/>
      <c r="F543" s="288"/>
      <c r="G543" s="2"/>
      <c r="H543" s="2"/>
    </row>
    <row r="544" spans="4:8" ht="12.75">
      <c r="D544" s="205"/>
      <c r="E544" s="288"/>
      <c r="F544" s="288"/>
      <c r="G544" s="2"/>
      <c r="H544" s="2"/>
    </row>
    <row r="545" spans="4:8" ht="12.75">
      <c r="D545" s="205"/>
      <c r="E545" s="288"/>
      <c r="F545" s="288"/>
      <c r="G545" s="2"/>
      <c r="H545" s="2"/>
    </row>
    <row r="546" spans="4:8" ht="12.75">
      <c r="D546" s="205"/>
      <c r="E546" s="288"/>
      <c r="F546" s="288"/>
      <c r="G546" s="2"/>
      <c r="H546" s="2"/>
    </row>
    <row r="547" spans="4:8" ht="12.75">
      <c r="D547" s="205"/>
      <c r="E547" s="288"/>
      <c r="F547" s="288"/>
      <c r="G547" s="2"/>
      <c r="H547" s="2"/>
    </row>
    <row r="548" spans="4:8" ht="12.75">
      <c r="D548" s="205"/>
      <c r="E548" s="288"/>
      <c r="F548" s="288"/>
      <c r="G548" s="2"/>
      <c r="H548" s="2"/>
    </row>
    <row r="549" spans="4:8" ht="12.75">
      <c r="D549" s="205"/>
      <c r="E549" s="288"/>
      <c r="F549" s="288"/>
      <c r="G549" s="2"/>
      <c r="H549" s="2"/>
    </row>
    <row r="550" spans="4:8" ht="12.75">
      <c r="D550" s="205"/>
      <c r="E550" s="288"/>
      <c r="F550" s="288"/>
      <c r="G550" s="2"/>
      <c r="H550" s="2"/>
    </row>
    <row r="551" spans="4:8" ht="12.75">
      <c r="D551" s="205"/>
      <c r="E551" s="288"/>
      <c r="F551" s="288"/>
      <c r="G551" s="2"/>
      <c r="H551" s="2"/>
    </row>
    <row r="552" spans="4:8" ht="12.75">
      <c r="D552" s="205"/>
      <c r="E552" s="288"/>
      <c r="F552" s="288"/>
      <c r="G552" s="2"/>
      <c r="H552" s="2"/>
    </row>
    <row r="553" spans="4:8" ht="12.75">
      <c r="D553" s="205"/>
      <c r="E553" s="288"/>
      <c r="F553" s="288"/>
      <c r="G553" s="2"/>
      <c r="H553" s="2"/>
    </row>
    <row r="554" spans="4:8" ht="12.75">
      <c r="D554" s="205"/>
      <c r="E554" s="288"/>
      <c r="F554" s="288"/>
      <c r="G554" s="2"/>
      <c r="H554" s="2"/>
    </row>
    <row r="555" spans="4:8" ht="12.75">
      <c r="D555" s="205"/>
      <c r="E555" s="288"/>
      <c r="F555" s="288"/>
      <c r="G555" s="2"/>
      <c r="H555" s="2"/>
    </row>
    <row r="556" spans="4:8" ht="12.75">
      <c r="D556" s="205"/>
      <c r="E556" s="288"/>
      <c r="F556" s="288"/>
      <c r="G556" s="2"/>
      <c r="H556" s="2"/>
    </row>
    <row r="557" spans="4:8" ht="12.75">
      <c r="D557" s="205"/>
      <c r="E557" s="288"/>
      <c r="F557" s="288"/>
      <c r="G557" s="2"/>
      <c r="H557" s="2"/>
    </row>
    <row r="558" spans="4:8" ht="12.75">
      <c r="D558" s="205"/>
      <c r="E558" s="288"/>
      <c r="F558" s="288"/>
      <c r="G558" s="2"/>
      <c r="H558" s="2"/>
    </row>
    <row r="559" spans="4:8" ht="12.75">
      <c r="D559" s="205"/>
      <c r="E559" s="288"/>
      <c r="F559" s="288"/>
      <c r="G559" s="2"/>
      <c r="H559" s="2"/>
    </row>
    <row r="560" spans="4:8" ht="12.75">
      <c r="D560" s="205"/>
      <c r="E560" s="288"/>
      <c r="F560" s="288"/>
      <c r="G560" s="2"/>
      <c r="H560" s="2"/>
    </row>
    <row r="561" spans="4:8" ht="12.75">
      <c r="D561" s="205"/>
      <c r="E561" s="288"/>
      <c r="F561" s="288"/>
      <c r="G561" s="2"/>
      <c r="H561" s="2"/>
    </row>
    <row r="562" spans="4:8" ht="12.75">
      <c r="D562" s="205"/>
      <c r="E562" s="288"/>
      <c r="F562" s="288"/>
      <c r="G562" s="2"/>
      <c r="H562" s="2"/>
    </row>
    <row r="563" spans="4:8" ht="12.75">
      <c r="D563" s="205"/>
      <c r="E563" s="288"/>
      <c r="F563" s="288"/>
      <c r="G563" s="2"/>
      <c r="H563" s="2"/>
    </row>
    <row r="564" spans="4:8" ht="12.75">
      <c r="D564" s="205"/>
      <c r="E564" s="288"/>
      <c r="F564" s="288"/>
      <c r="G564" s="2"/>
      <c r="H564" s="2"/>
    </row>
    <row r="565" spans="4:8" ht="12.75">
      <c r="D565" s="205"/>
      <c r="E565" s="288"/>
      <c r="F565" s="288"/>
      <c r="G565" s="2"/>
      <c r="H565" s="2"/>
    </row>
    <row r="566" spans="4:8" ht="12.75">
      <c r="D566" s="205"/>
      <c r="E566" s="288"/>
      <c r="F566" s="288"/>
      <c r="G566" s="2"/>
      <c r="H566" s="2"/>
    </row>
    <row r="567" spans="4:8" ht="12.75">
      <c r="D567" s="205"/>
      <c r="E567" s="288"/>
      <c r="F567" s="288"/>
      <c r="G567" s="2"/>
      <c r="H567" s="2"/>
    </row>
    <row r="568" spans="4:8" ht="12.75">
      <c r="D568" s="205"/>
      <c r="E568" s="288"/>
      <c r="F568" s="288"/>
      <c r="G568" s="2"/>
      <c r="H568" s="2"/>
    </row>
    <row r="569" spans="4:8" ht="12.75">
      <c r="D569" s="205"/>
      <c r="E569" s="288"/>
      <c r="F569" s="288"/>
      <c r="G569" s="2"/>
      <c r="H569" s="2"/>
    </row>
    <row r="570" spans="4:8" ht="12.75">
      <c r="D570" s="205"/>
      <c r="E570" s="288"/>
      <c r="F570" s="288"/>
      <c r="G570" s="2"/>
      <c r="H570" s="2"/>
    </row>
    <row r="571" spans="4:8" ht="12.75">
      <c r="D571" s="205"/>
      <c r="E571" s="288"/>
      <c r="F571" s="288"/>
      <c r="G571" s="2"/>
      <c r="H571" s="2"/>
    </row>
    <row r="572" spans="4:8" ht="12.75">
      <c r="D572" s="205"/>
      <c r="E572" s="288"/>
      <c r="F572" s="288"/>
      <c r="G572" s="2"/>
      <c r="H572" s="2"/>
    </row>
    <row r="573" spans="4:8" ht="12.75">
      <c r="D573" s="205"/>
      <c r="E573" s="288"/>
      <c r="F573" s="288"/>
      <c r="G573" s="2"/>
      <c r="H573" s="2"/>
    </row>
    <row r="574" spans="4:8" ht="12.75">
      <c r="D574" s="205"/>
      <c r="E574" s="288"/>
      <c r="F574" s="288"/>
      <c r="G574" s="2"/>
      <c r="H574" s="2"/>
    </row>
    <row r="575" spans="4:8" ht="12.75">
      <c r="D575" s="205"/>
      <c r="E575" s="288"/>
      <c r="F575" s="288"/>
      <c r="G575" s="2"/>
      <c r="H575" s="2"/>
    </row>
    <row r="576" spans="4:8" ht="12.75">
      <c r="D576" s="205"/>
      <c r="E576" s="288"/>
      <c r="F576" s="288"/>
      <c r="G576" s="2"/>
      <c r="H576" s="2"/>
    </row>
    <row r="577" spans="4:8" ht="12.75">
      <c r="D577" s="205"/>
      <c r="E577" s="288"/>
      <c r="F577" s="288"/>
      <c r="G577" s="2"/>
      <c r="H577" s="2"/>
    </row>
    <row r="578" spans="4:8" ht="12.75">
      <c r="D578" s="205"/>
      <c r="E578" s="288"/>
      <c r="F578" s="288"/>
      <c r="G578" s="2"/>
      <c r="H578" s="2"/>
    </row>
    <row r="579" spans="4:8" ht="12.75">
      <c r="D579" s="205"/>
      <c r="E579" s="288"/>
      <c r="F579" s="288"/>
      <c r="G579" s="2"/>
      <c r="H579" s="2"/>
    </row>
    <row r="580" spans="4:8" ht="12.75">
      <c r="D580" s="205"/>
      <c r="E580" s="288"/>
      <c r="F580" s="288"/>
      <c r="G580" s="2"/>
      <c r="H580" s="2"/>
    </row>
    <row r="581" spans="4:8" ht="12.75">
      <c r="D581" s="205"/>
      <c r="E581" s="288"/>
      <c r="F581" s="288"/>
      <c r="G581" s="2"/>
      <c r="H581" s="2"/>
    </row>
    <row r="582" spans="4:8" ht="12.75">
      <c r="D582" s="205"/>
      <c r="E582" s="288"/>
      <c r="F582" s="288"/>
      <c r="G582" s="2"/>
      <c r="H582" s="2"/>
    </row>
    <row r="583" spans="4:8" ht="12.75">
      <c r="D583" s="205"/>
      <c r="E583" s="288"/>
      <c r="F583" s="288"/>
      <c r="G583" s="2"/>
      <c r="H583" s="2"/>
    </row>
    <row r="584" spans="4:8" ht="12.75">
      <c r="D584" s="205"/>
      <c r="E584" s="288"/>
      <c r="F584" s="288"/>
      <c r="G584" s="2"/>
      <c r="H584" s="2"/>
    </row>
    <row r="585" spans="4:8" ht="12.75">
      <c r="D585" s="205"/>
      <c r="E585" s="288"/>
      <c r="F585" s="288"/>
      <c r="G585" s="2"/>
      <c r="H585" s="2"/>
    </row>
    <row r="586" spans="4:8" ht="12.75">
      <c r="D586" s="205"/>
      <c r="E586" s="288"/>
      <c r="F586" s="288"/>
      <c r="G586" s="2"/>
      <c r="H586" s="2"/>
    </row>
    <row r="587" spans="4:8" ht="12.75">
      <c r="D587" s="205"/>
      <c r="E587" s="288"/>
      <c r="F587" s="288"/>
      <c r="G587" s="2"/>
      <c r="H587" s="2"/>
    </row>
    <row r="588" spans="4:8" ht="12.75">
      <c r="D588" s="205"/>
      <c r="E588" s="288"/>
      <c r="F588" s="288"/>
      <c r="G588" s="2"/>
      <c r="H588" s="2"/>
    </row>
    <row r="589" spans="4:8" ht="12.75">
      <c r="D589" s="205"/>
      <c r="E589" s="288"/>
      <c r="F589" s="288"/>
      <c r="G589" s="2"/>
      <c r="H589" s="2"/>
    </row>
    <row r="590" spans="4:8" ht="12.75">
      <c r="D590" s="205"/>
      <c r="E590" s="288"/>
      <c r="F590" s="288"/>
      <c r="G590" s="2"/>
      <c r="H590" s="2"/>
    </row>
    <row r="591" spans="4:8" ht="12.75">
      <c r="D591" s="205"/>
      <c r="E591" s="288"/>
      <c r="F591" s="288"/>
      <c r="G591" s="2"/>
      <c r="H591" s="2"/>
    </row>
    <row r="592" spans="4:8" ht="12.75">
      <c r="D592" s="205"/>
      <c r="E592" s="288"/>
      <c r="F592" s="288"/>
      <c r="G592" s="2"/>
      <c r="H592" s="2"/>
    </row>
    <row r="593" spans="4:8" ht="12.75">
      <c r="D593" s="205"/>
      <c r="E593" s="288"/>
      <c r="F593" s="288"/>
      <c r="G593" s="2"/>
      <c r="H593" s="2"/>
    </row>
    <row r="594" spans="4:8" ht="12.75">
      <c r="D594" s="205"/>
      <c r="E594" s="288"/>
      <c r="F594" s="288"/>
      <c r="G594" s="2"/>
      <c r="H594" s="2"/>
    </row>
    <row r="595" spans="4:8" ht="12.75">
      <c r="D595" s="205"/>
      <c r="E595" s="288"/>
      <c r="F595" s="288"/>
      <c r="G595" s="2"/>
      <c r="H595" s="2"/>
    </row>
    <row r="596" spans="4:8" ht="12.75">
      <c r="D596" s="205"/>
      <c r="E596" s="288"/>
      <c r="F596" s="288"/>
      <c r="G596" s="2"/>
      <c r="H596" s="2"/>
    </row>
    <row r="597" spans="4:8" ht="12.75">
      <c r="D597" s="205"/>
      <c r="E597" s="288"/>
      <c r="F597" s="288"/>
      <c r="G597" s="2"/>
      <c r="H597" s="2"/>
    </row>
    <row r="598" spans="4:8" ht="12.75">
      <c r="D598" s="205"/>
      <c r="E598" s="288"/>
      <c r="F598" s="288"/>
      <c r="G598" s="2"/>
      <c r="H598" s="2"/>
    </row>
    <row r="599" spans="4:8" ht="12.75">
      <c r="D599" s="205"/>
      <c r="E599" s="288"/>
      <c r="F599" s="288"/>
      <c r="G599" s="2"/>
      <c r="H599" s="2"/>
    </row>
    <row r="600" spans="4:8" ht="12.75">
      <c r="D600" s="205"/>
      <c r="E600" s="288"/>
      <c r="F600" s="288"/>
      <c r="G600" s="2"/>
      <c r="H600" s="2"/>
    </row>
    <row r="601" spans="4:8" ht="12.75">
      <c r="D601" s="205"/>
      <c r="E601" s="288"/>
      <c r="F601" s="288"/>
      <c r="G601" s="2"/>
      <c r="H601" s="2"/>
    </row>
    <row r="602" spans="4:8" ht="12.75">
      <c r="D602" s="205"/>
      <c r="E602" s="288"/>
      <c r="F602" s="288"/>
      <c r="G602" s="2"/>
      <c r="H602" s="2"/>
    </row>
    <row r="603" spans="4:8" ht="12.75">
      <c r="D603" s="205"/>
      <c r="E603" s="288"/>
      <c r="F603" s="288"/>
      <c r="G603" s="2"/>
      <c r="H603" s="2"/>
    </row>
    <row r="604" spans="4:8" ht="12.75">
      <c r="D604" s="205"/>
      <c r="E604" s="288"/>
      <c r="F604" s="288"/>
      <c r="G604" s="2"/>
      <c r="H604" s="2"/>
    </row>
    <row r="605" spans="4:8" ht="12.75">
      <c r="D605" s="205"/>
      <c r="E605" s="288"/>
      <c r="F605" s="288"/>
      <c r="G605" s="2"/>
      <c r="H605" s="2"/>
    </row>
    <row r="606" spans="4:8" ht="12.75">
      <c r="D606" s="205"/>
      <c r="E606" s="288"/>
      <c r="F606" s="288"/>
      <c r="G606" s="2"/>
      <c r="H606" s="2"/>
    </row>
    <row r="607" spans="4:8" ht="12.75">
      <c r="D607" s="205"/>
      <c r="E607" s="288"/>
      <c r="F607" s="288"/>
      <c r="G607" s="2"/>
      <c r="H607" s="2"/>
    </row>
    <row r="608" spans="4:8" ht="12.75">
      <c r="D608" s="205"/>
      <c r="E608" s="288"/>
      <c r="F608" s="288"/>
      <c r="G608" s="2"/>
      <c r="H608" s="2"/>
    </row>
    <row r="609" spans="4:8" ht="12.75">
      <c r="D609" s="205"/>
      <c r="E609" s="288"/>
      <c r="F609" s="288"/>
      <c r="G609" s="2"/>
      <c r="H609" s="2"/>
    </row>
    <row r="610" spans="4:8" ht="12.75">
      <c r="D610" s="205"/>
      <c r="E610" s="288"/>
      <c r="F610" s="288"/>
      <c r="G610" s="2"/>
      <c r="H610" s="2"/>
    </row>
    <row r="611" spans="4:8" ht="12.75">
      <c r="D611" s="205"/>
      <c r="E611" s="288"/>
      <c r="F611" s="288"/>
      <c r="G611" s="2"/>
      <c r="H611" s="2"/>
    </row>
    <row r="612" spans="4:8" ht="12.75">
      <c r="D612" s="205"/>
      <c r="E612" s="288"/>
      <c r="F612" s="288"/>
      <c r="G612" s="2"/>
      <c r="H612" s="2"/>
    </row>
    <row r="613" spans="4:8" ht="12.75">
      <c r="D613" s="205"/>
      <c r="E613" s="288"/>
      <c r="F613" s="288"/>
      <c r="G613" s="2"/>
      <c r="H613" s="2"/>
    </row>
    <row r="614" spans="4:8" ht="12.75">
      <c r="D614" s="205"/>
      <c r="E614" s="288"/>
      <c r="F614" s="288"/>
      <c r="G614" s="2"/>
      <c r="H614" s="2"/>
    </row>
    <row r="615" spans="4:8" ht="12.75">
      <c r="D615" s="205"/>
      <c r="E615" s="288"/>
      <c r="F615" s="288"/>
      <c r="G615" s="2"/>
      <c r="H615" s="2"/>
    </row>
    <row r="616" spans="4:8" ht="12.75">
      <c r="D616" s="205"/>
      <c r="E616" s="288"/>
      <c r="F616" s="288"/>
      <c r="G616" s="2"/>
      <c r="H616" s="2"/>
    </row>
    <row r="617" spans="4:8" ht="12.75">
      <c r="D617" s="205"/>
      <c r="E617" s="288"/>
      <c r="F617" s="288"/>
      <c r="G617" s="2"/>
      <c r="H617" s="2"/>
    </row>
    <row r="618" spans="4:8" ht="12.75">
      <c r="D618" s="205"/>
      <c r="E618" s="288"/>
      <c r="F618" s="288"/>
      <c r="G618" s="2"/>
      <c r="H618" s="2"/>
    </row>
    <row r="619" spans="4:8" ht="12.75">
      <c r="D619" s="205"/>
      <c r="E619" s="288"/>
      <c r="F619" s="288"/>
      <c r="G619" s="2"/>
      <c r="H619" s="2"/>
    </row>
    <row r="620" spans="4:8" ht="12.75">
      <c r="D620" s="205"/>
      <c r="E620" s="288"/>
      <c r="F620" s="288"/>
      <c r="G620" s="2"/>
      <c r="H620" s="2"/>
    </row>
    <row r="621" spans="4:8" ht="12.75">
      <c r="D621" s="205"/>
      <c r="E621" s="288"/>
      <c r="F621" s="288"/>
      <c r="G621" s="2"/>
      <c r="H621" s="2"/>
    </row>
    <row r="622" spans="4:8" ht="12.75">
      <c r="D622" s="205"/>
      <c r="E622" s="288"/>
      <c r="F622" s="288"/>
      <c r="G622" s="2"/>
      <c r="H622" s="2"/>
    </row>
    <row r="623" spans="4:8" ht="12.75">
      <c r="D623" s="205"/>
      <c r="E623" s="288"/>
      <c r="F623" s="288"/>
      <c r="G623" s="2"/>
      <c r="H623" s="2"/>
    </row>
    <row r="624" spans="4:8" ht="12.75">
      <c r="D624" s="205"/>
      <c r="E624" s="288"/>
      <c r="F624" s="288"/>
      <c r="G624" s="2"/>
      <c r="H624" s="2"/>
    </row>
    <row r="625" spans="4:8" ht="12.75">
      <c r="D625" s="205"/>
      <c r="E625" s="288"/>
      <c r="F625" s="288"/>
      <c r="G625" s="2"/>
      <c r="H625" s="2"/>
    </row>
    <row r="626" spans="4:8" ht="12.75">
      <c r="D626" s="205"/>
      <c r="E626" s="288"/>
      <c r="F626" s="288"/>
      <c r="G626" s="2"/>
      <c r="H626" s="2"/>
    </row>
    <row r="627" spans="4:8" ht="12.75">
      <c r="D627" s="205"/>
      <c r="E627" s="288"/>
      <c r="F627" s="288"/>
      <c r="G627" s="2"/>
      <c r="H627" s="2"/>
    </row>
    <row r="628" spans="4:8" ht="12.75">
      <c r="D628" s="205"/>
      <c r="E628" s="288"/>
      <c r="F628" s="288"/>
      <c r="G628" s="2"/>
      <c r="H628" s="2"/>
    </row>
    <row r="629" spans="4:8" ht="12.75">
      <c r="D629" s="205"/>
      <c r="E629" s="288"/>
      <c r="F629" s="288"/>
      <c r="G629" s="2"/>
      <c r="H629" s="2"/>
    </row>
    <row r="630" spans="4:8" ht="12.75">
      <c r="D630" s="205"/>
      <c r="E630" s="288"/>
      <c r="F630" s="288"/>
      <c r="G630" s="2"/>
      <c r="H630" s="2"/>
    </row>
    <row r="631" spans="4:8" ht="12.75">
      <c r="D631" s="205"/>
      <c r="E631" s="288"/>
      <c r="F631" s="288"/>
      <c r="G631" s="2"/>
      <c r="H631" s="2"/>
    </row>
    <row r="632" spans="4:8" ht="12.75">
      <c r="D632" s="205"/>
      <c r="E632" s="288"/>
      <c r="F632" s="288"/>
      <c r="G632" s="2"/>
      <c r="H632" s="2"/>
    </row>
    <row r="633" spans="4:8" ht="12.75">
      <c r="D633" s="205"/>
      <c r="E633" s="288"/>
      <c r="F633" s="288"/>
      <c r="G633" s="2"/>
      <c r="H633" s="2"/>
    </row>
    <row r="634" spans="4:8" ht="12.75">
      <c r="D634" s="205"/>
      <c r="E634" s="288"/>
      <c r="F634" s="288"/>
      <c r="G634" s="2"/>
      <c r="H634" s="2"/>
    </row>
    <row r="635" spans="4:8" ht="12.75">
      <c r="D635" s="205"/>
      <c r="E635" s="288"/>
      <c r="F635" s="288"/>
      <c r="G635" s="2"/>
      <c r="H635" s="2"/>
    </row>
    <row r="636" spans="4:8" ht="12.75">
      <c r="D636" s="205"/>
      <c r="E636" s="288"/>
      <c r="F636" s="288"/>
      <c r="G636" s="2"/>
      <c r="H636" s="2"/>
    </row>
    <row r="637" spans="4:8" ht="12.75">
      <c r="D637" s="205"/>
      <c r="E637" s="288"/>
      <c r="F637" s="288"/>
      <c r="G637" s="2"/>
      <c r="H637" s="2"/>
    </row>
    <row r="638" spans="4:8" ht="12.75">
      <c r="D638" s="205"/>
      <c r="E638" s="288"/>
      <c r="F638" s="288"/>
      <c r="G638" s="2"/>
      <c r="H638" s="2"/>
    </row>
    <row r="639" spans="4:8" ht="12.75">
      <c r="D639" s="205"/>
      <c r="E639" s="288"/>
      <c r="F639" s="288"/>
      <c r="G639" s="2"/>
      <c r="H639" s="2"/>
    </row>
    <row r="640" spans="4:8" ht="12.75">
      <c r="D640" s="205"/>
      <c r="E640" s="288"/>
      <c r="F640" s="288"/>
      <c r="G640" s="2"/>
      <c r="H640" s="2"/>
    </row>
    <row r="641" spans="4:8" ht="12.75">
      <c r="D641" s="205"/>
      <c r="E641" s="288"/>
      <c r="F641" s="288"/>
      <c r="G641" s="2"/>
      <c r="H641" s="2"/>
    </row>
    <row r="642" spans="4:8" ht="12.75">
      <c r="D642" s="205"/>
      <c r="E642" s="288"/>
      <c r="F642" s="288"/>
      <c r="G642" s="2"/>
      <c r="H642" s="2"/>
    </row>
    <row r="643" spans="4:8" ht="12.75">
      <c r="D643" s="205"/>
      <c r="E643" s="288"/>
      <c r="F643" s="288"/>
      <c r="G643" s="2"/>
      <c r="H643" s="2"/>
    </row>
    <row r="644" spans="4:8" ht="12.75">
      <c r="D644" s="205"/>
      <c r="E644" s="288"/>
      <c r="F644" s="288"/>
      <c r="G644" s="2"/>
      <c r="H644" s="2"/>
    </row>
    <row r="645" spans="4:8" ht="12.75">
      <c r="D645" s="205"/>
      <c r="E645" s="288"/>
      <c r="F645" s="288"/>
      <c r="G645" s="2"/>
      <c r="H645" s="2"/>
    </row>
    <row r="646" spans="4:8" ht="12.75">
      <c r="D646" s="205"/>
      <c r="E646" s="288"/>
      <c r="F646" s="288"/>
      <c r="G646" s="2"/>
      <c r="H646" s="2"/>
    </row>
    <row r="647" spans="4:8" ht="12.75">
      <c r="D647" s="205"/>
      <c r="E647" s="288"/>
      <c r="F647" s="288"/>
      <c r="G647" s="2"/>
      <c r="H647" s="2"/>
    </row>
    <row r="648" spans="4:8" ht="12.75">
      <c r="D648" s="205"/>
      <c r="E648" s="288"/>
      <c r="F648" s="288"/>
      <c r="G648" s="2"/>
      <c r="H648" s="2"/>
    </row>
    <row r="649" spans="4:8" ht="12.75">
      <c r="D649" s="205"/>
      <c r="E649" s="288"/>
      <c r="F649" s="288"/>
      <c r="G649" s="2"/>
      <c r="H649" s="2"/>
    </row>
    <row r="650" spans="4:8" ht="12.75">
      <c r="D650" s="205"/>
      <c r="E650" s="288"/>
      <c r="F650" s="288"/>
      <c r="G650" s="2"/>
      <c r="H650" s="2"/>
    </row>
    <row r="651" spans="4:8" ht="12.75">
      <c r="D651" s="205"/>
      <c r="E651" s="288"/>
      <c r="F651" s="288"/>
      <c r="G651" s="2"/>
      <c r="H651" s="2"/>
    </row>
    <row r="652" spans="4:8" ht="12.75">
      <c r="D652" s="205"/>
      <c r="E652" s="288"/>
      <c r="F652" s="288"/>
      <c r="G652" s="2"/>
      <c r="H652" s="2"/>
    </row>
    <row r="653" spans="4:8" ht="12.75">
      <c r="D653" s="205"/>
      <c r="E653" s="288"/>
      <c r="F653" s="288"/>
      <c r="G653" s="2"/>
      <c r="H653" s="2"/>
    </row>
    <row r="654" spans="4:8" ht="12.75">
      <c r="D654" s="205"/>
      <c r="E654" s="288"/>
      <c r="F654" s="288"/>
      <c r="G654" s="2"/>
      <c r="H654" s="2"/>
    </row>
    <row r="655" spans="4:8" ht="12.75">
      <c r="D655" s="205"/>
      <c r="E655" s="288"/>
      <c r="F655" s="288"/>
      <c r="G655" s="2"/>
      <c r="H655" s="2"/>
    </row>
    <row r="656" spans="4:8" ht="12.75">
      <c r="D656" s="205"/>
      <c r="E656" s="288"/>
      <c r="F656" s="288"/>
      <c r="G656" s="2"/>
      <c r="H656" s="2"/>
    </row>
    <row r="657" spans="4:8" ht="12.75">
      <c r="D657" s="205"/>
      <c r="E657" s="288"/>
      <c r="F657" s="288"/>
      <c r="G657" s="2"/>
      <c r="H657" s="2"/>
    </row>
    <row r="658" spans="4:8" ht="12.75">
      <c r="D658" s="205"/>
      <c r="E658" s="288"/>
      <c r="F658" s="288"/>
      <c r="G658" s="2"/>
      <c r="H658" s="2"/>
    </row>
    <row r="659" spans="4:8" ht="12.75">
      <c r="D659" s="205"/>
      <c r="E659" s="288"/>
      <c r="F659" s="288"/>
      <c r="G659" s="2"/>
      <c r="H659" s="2"/>
    </row>
    <row r="660" spans="4:8" ht="12.75">
      <c r="D660" s="205"/>
      <c r="E660" s="288"/>
      <c r="F660" s="288"/>
      <c r="G660" s="2"/>
      <c r="H660" s="2"/>
    </row>
    <row r="661" spans="4:8" ht="12.75">
      <c r="D661" s="205"/>
      <c r="E661" s="288"/>
      <c r="F661" s="288"/>
      <c r="G661" s="2"/>
      <c r="H661" s="2"/>
    </row>
    <row r="662" spans="4:8" ht="12.75">
      <c r="D662" s="205"/>
      <c r="E662" s="288"/>
      <c r="F662" s="288"/>
      <c r="G662" s="2"/>
      <c r="H662" s="2"/>
    </row>
    <row r="663" spans="4:8" ht="12.75">
      <c r="D663" s="205"/>
      <c r="E663" s="288"/>
      <c r="F663" s="288"/>
      <c r="G663" s="2"/>
      <c r="H663" s="2"/>
    </row>
    <row r="664" spans="4:8" ht="12.75">
      <c r="D664" s="205"/>
      <c r="E664" s="288"/>
      <c r="F664" s="288"/>
      <c r="G664" s="2"/>
      <c r="H664" s="2"/>
    </row>
    <row r="665" spans="4:8" ht="12.75">
      <c r="D665" s="205"/>
      <c r="E665" s="288"/>
      <c r="F665" s="288"/>
      <c r="G665" s="2"/>
      <c r="H665" s="2"/>
    </row>
    <row r="666" spans="4:8" ht="12.75">
      <c r="D666" s="205"/>
      <c r="E666" s="288"/>
      <c r="F666" s="288"/>
      <c r="G666" s="2"/>
      <c r="H666" s="2"/>
    </row>
    <row r="667" spans="4:8" ht="12.75">
      <c r="D667" s="205"/>
      <c r="E667" s="288"/>
      <c r="F667" s="288"/>
      <c r="G667" s="2"/>
      <c r="H667" s="2"/>
    </row>
    <row r="668" spans="4:8" ht="12.75">
      <c r="D668" s="205"/>
      <c r="E668" s="288"/>
      <c r="F668" s="288"/>
      <c r="G668" s="2"/>
      <c r="H668" s="2"/>
    </row>
    <row r="669" spans="4:8" ht="12.75">
      <c r="D669" s="205"/>
      <c r="E669" s="288"/>
      <c r="F669" s="288"/>
      <c r="G669" s="2"/>
      <c r="H669" s="2"/>
    </row>
    <row r="670" spans="4:8" ht="12.75">
      <c r="D670" s="205"/>
      <c r="E670" s="288"/>
      <c r="F670" s="288"/>
      <c r="G670" s="2"/>
      <c r="H670" s="2"/>
    </row>
    <row r="671" spans="4:8" ht="12.75">
      <c r="D671" s="205"/>
      <c r="E671" s="288"/>
      <c r="F671" s="288"/>
      <c r="G671" s="2"/>
      <c r="H671" s="2"/>
    </row>
    <row r="672" spans="4:8" ht="12.75">
      <c r="D672" s="205"/>
      <c r="E672" s="288"/>
      <c r="F672" s="288"/>
      <c r="G672" s="2"/>
      <c r="H672" s="2"/>
    </row>
    <row r="673" spans="4:8" ht="12.75">
      <c r="D673" s="205"/>
      <c r="E673" s="288"/>
      <c r="F673" s="288"/>
      <c r="G673" s="2"/>
      <c r="H673" s="2"/>
    </row>
    <row r="674" spans="4:8" ht="12.75">
      <c r="D674" s="205"/>
      <c r="E674" s="288"/>
      <c r="F674" s="288"/>
      <c r="G674" s="2"/>
      <c r="H674" s="2"/>
    </row>
    <row r="675" spans="4:8" ht="12.75">
      <c r="D675" s="205"/>
      <c r="E675" s="288"/>
      <c r="F675" s="288"/>
      <c r="G675" s="2"/>
      <c r="H675" s="2"/>
    </row>
    <row r="676" spans="4:8" ht="12.75">
      <c r="D676" s="205"/>
      <c r="E676" s="288"/>
      <c r="F676" s="288"/>
      <c r="G676" s="2"/>
      <c r="H676" s="2"/>
    </row>
    <row r="677" spans="4:8" ht="12.75">
      <c r="D677" s="205"/>
      <c r="E677" s="288"/>
      <c r="F677" s="288"/>
      <c r="G677" s="2"/>
      <c r="H677" s="2"/>
    </row>
    <row r="678" spans="4:8" ht="12.75">
      <c r="D678" s="205"/>
      <c r="E678" s="288"/>
      <c r="F678" s="288"/>
      <c r="G678" s="2"/>
      <c r="H678" s="2"/>
    </row>
    <row r="679" spans="4:8" ht="12.75">
      <c r="D679" s="205"/>
      <c r="E679" s="288"/>
      <c r="F679" s="288"/>
      <c r="G679" s="2"/>
      <c r="H679" s="2"/>
    </row>
    <row r="680" spans="4:8" ht="12.75">
      <c r="D680" s="205"/>
      <c r="E680" s="288"/>
      <c r="F680" s="288"/>
      <c r="G680" s="2"/>
      <c r="H680" s="2"/>
    </row>
    <row r="681" spans="4:8" ht="12.75">
      <c r="D681" s="205"/>
      <c r="E681" s="288"/>
      <c r="F681" s="288"/>
      <c r="G681" s="2"/>
      <c r="H681" s="2"/>
    </row>
    <row r="682" spans="4:8" ht="12.75">
      <c r="D682" s="205"/>
      <c r="E682" s="288"/>
      <c r="F682" s="288"/>
      <c r="G682" s="2"/>
      <c r="H682" s="2"/>
    </row>
    <row r="683" spans="4:8" ht="12.75">
      <c r="D683" s="205"/>
      <c r="E683" s="288"/>
      <c r="F683" s="288"/>
      <c r="G683" s="2"/>
      <c r="H683" s="2"/>
    </row>
    <row r="684" spans="4:8" ht="12.75">
      <c r="D684" s="205"/>
      <c r="E684" s="288"/>
      <c r="F684" s="288"/>
      <c r="G684" s="2"/>
      <c r="H684" s="2"/>
    </row>
    <row r="685" spans="4:8" ht="12.75">
      <c r="D685" s="205"/>
      <c r="E685" s="288"/>
      <c r="F685" s="288"/>
      <c r="G685" s="2"/>
      <c r="H685" s="2"/>
    </row>
    <row r="686" spans="4:8" ht="12.75">
      <c r="D686" s="205"/>
      <c r="E686" s="288"/>
      <c r="F686" s="288"/>
      <c r="G686" s="2"/>
      <c r="H686" s="2"/>
    </row>
    <row r="687" spans="4:8" ht="12.75">
      <c r="D687" s="205"/>
      <c r="E687" s="288"/>
      <c r="F687" s="288"/>
      <c r="G687" s="2"/>
      <c r="H687" s="2"/>
    </row>
    <row r="688" spans="4:8" ht="12.75">
      <c r="D688" s="205"/>
      <c r="E688" s="288"/>
      <c r="F688" s="288"/>
      <c r="G688" s="2"/>
      <c r="H688" s="2"/>
    </row>
    <row r="689" spans="4:8" ht="12.75">
      <c r="D689" s="205"/>
      <c r="E689" s="288"/>
      <c r="F689" s="288"/>
      <c r="G689" s="2"/>
      <c r="H689" s="2"/>
    </row>
    <row r="690" spans="4:8" ht="12.75">
      <c r="D690" s="205"/>
      <c r="E690" s="288"/>
      <c r="F690" s="288"/>
      <c r="G690" s="2"/>
      <c r="H690" s="2"/>
    </row>
    <row r="691" spans="4:8" ht="12.75">
      <c r="D691" s="205"/>
      <c r="E691" s="288"/>
      <c r="F691" s="288"/>
      <c r="G691" s="2"/>
      <c r="H691" s="2"/>
    </row>
    <row r="692" spans="4:8" ht="12.75">
      <c r="D692" s="205"/>
      <c r="E692" s="288"/>
      <c r="F692" s="288"/>
      <c r="G692" s="2"/>
      <c r="H692" s="2"/>
    </row>
    <row r="693" spans="4:8" ht="12.75">
      <c r="D693" s="205"/>
      <c r="E693" s="288"/>
      <c r="F693" s="288"/>
      <c r="G693" s="2"/>
      <c r="H693" s="2"/>
    </row>
    <row r="694" spans="4:8" ht="12.75">
      <c r="D694" s="205"/>
      <c r="E694" s="288"/>
      <c r="F694" s="288"/>
      <c r="G694" s="2"/>
      <c r="H694" s="2"/>
    </row>
    <row r="695" spans="4:8" ht="12.75">
      <c r="D695" s="205"/>
      <c r="E695" s="288"/>
      <c r="F695" s="288"/>
      <c r="G695" s="2"/>
      <c r="H695" s="2"/>
    </row>
    <row r="696" spans="4:8" ht="12.75">
      <c r="D696" s="205"/>
      <c r="E696" s="288"/>
      <c r="F696" s="288"/>
      <c r="G696" s="2"/>
      <c r="H696" s="2"/>
    </row>
    <row r="697" spans="4:8" ht="12.75">
      <c r="D697" s="205"/>
      <c r="E697" s="288"/>
      <c r="F697" s="288"/>
      <c r="G697" s="2"/>
      <c r="H697" s="2"/>
    </row>
    <row r="698" spans="4:8" ht="12.75">
      <c r="D698" s="205"/>
      <c r="E698" s="288"/>
      <c r="F698" s="288"/>
      <c r="G698" s="2"/>
      <c r="H698" s="2"/>
    </row>
    <row r="699" spans="4:8" ht="12.75">
      <c r="D699" s="205"/>
      <c r="E699" s="288"/>
      <c r="F699" s="288"/>
      <c r="G699" s="2"/>
      <c r="H699" s="2"/>
    </row>
    <row r="700" spans="4:8" ht="12.75">
      <c r="D700" s="205"/>
      <c r="E700" s="288"/>
      <c r="F700" s="288"/>
      <c r="G700" s="2"/>
      <c r="H700" s="2"/>
    </row>
    <row r="701" spans="4:8" ht="12.75">
      <c r="D701" s="205"/>
      <c r="E701" s="288"/>
      <c r="F701" s="288"/>
      <c r="G701" s="2"/>
      <c r="H701" s="2"/>
    </row>
    <row r="702" spans="4:8" ht="12.75">
      <c r="D702" s="205"/>
      <c r="E702" s="288"/>
      <c r="F702" s="288"/>
      <c r="G702" s="2"/>
      <c r="H702" s="2"/>
    </row>
    <row r="703" spans="4:8" ht="12.75">
      <c r="D703" s="205"/>
      <c r="E703" s="288"/>
      <c r="F703" s="288"/>
      <c r="G703" s="2"/>
      <c r="H703" s="2"/>
    </row>
    <row r="704" spans="4:8" ht="12.75">
      <c r="D704" s="205"/>
      <c r="E704" s="288"/>
      <c r="F704" s="288"/>
      <c r="G704" s="2"/>
      <c r="H704" s="2"/>
    </row>
    <row r="705" spans="4:8" ht="12.75">
      <c r="D705" s="205"/>
      <c r="E705" s="288"/>
      <c r="F705" s="288"/>
      <c r="G705" s="2"/>
      <c r="H705" s="2"/>
    </row>
    <row r="706" spans="4:8" ht="12.75">
      <c r="D706" s="205"/>
      <c r="E706" s="288"/>
      <c r="F706" s="288"/>
      <c r="G706" s="2"/>
      <c r="H706" s="2"/>
    </row>
    <row r="707" spans="4:8" ht="12.75">
      <c r="D707" s="205"/>
      <c r="E707" s="288"/>
      <c r="F707" s="288"/>
      <c r="G707" s="2"/>
      <c r="H707" s="2"/>
    </row>
    <row r="708" spans="4:8" ht="12.75">
      <c r="D708" s="205"/>
      <c r="E708" s="288"/>
      <c r="F708" s="288"/>
      <c r="G708" s="2"/>
      <c r="H708" s="2"/>
    </row>
    <row r="709" spans="4:8" ht="12.75">
      <c r="D709" s="205"/>
      <c r="E709" s="288"/>
      <c r="F709" s="288"/>
      <c r="G709" s="2"/>
      <c r="H709" s="2"/>
    </row>
    <row r="710" spans="4:8" ht="12.75">
      <c r="D710" s="205"/>
      <c r="E710" s="288"/>
      <c r="F710" s="288"/>
      <c r="G710" s="2"/>
      <c r="H710" s="2"/>
    </row>
    <row r="711" spans="4:8" ht="12.75">
      <c r="D711" s="205"/>
      <c r="E711" s="288"/>
      <c r="F711" s="288"/>
      <c r="G711" s="2"/>
      <c r="H711" s="2"/>
    </row>
    <row r="712" spans="4:8" ht="12.75">
      <c r="D712" s="205"/>
      <c r="E712" s="288"/>
      <c r="F712" s="288"/>
      <c r="G712" s="2"/>
      <c r="H712" s="2"/>
    </row>
    <row r="713" spans="4:8" ht="12.75">
      <c r="D713" s="205"/>
      <c r="E713" s="288"/>
      <c r="F713" s="288"/>
      <c r="G713" s="2"/>
      <c r="H713" s="2"/>
    </row>
    <row r="714" spans="4:8" ht="12.75">
      <c r="D714" s="205"/>
      <c r="E714" s="288"/>
      <c r="F714" s="288"/>
      <c r="G714" s="2"/>
      <c r="H714" s="2"/>
    </row>
    <row r="715" spans="4:8" ht="12.75">
      <c r="D715" s="205"/>
      <c r="E715" s="288"/>
      <c r="F715" s="288"/>
      <c r="G715" s="2"/>
      <c r="H715" s="2"/>
    </row>
    <row r="716" spans="4:8" ht="12.75">
      <c r="D716" s="205"/>
      <c r="E716" s="288"/>
      <c r="F716" s="288"/>
      <c r="G716" s="2"/>
      <c r="H716" s="2"/>
    </row>
    <row r="717" spans="4:8" ht="12.75">
      <c r="D717" s="205"/>
      <c r="E717" s="288"/>
      <c r="F717" s="288"/>
      <c r="G717" s="2"/>
      <c r="H717" s="2"/>
    </row>
    <row r="718" spans="4:8" ht="12.75">
      <c r="D718" s="205"/>
      <c r="E718" s="288"/>
      <c r="F718" s="288"/>
      <c r="G718" s="2"/>
      <c r="H718" s="2"/>
    </row>
    <row r="719" spans="4:8" ht="12.75">
      <c r="D719" s="205"/>
      <c r="E719" s="288"/>
      <c r="F719" s="288"/>
      <c r="G719" s="2"/>
      <c r="H719" s="2"/>
    </row>
    <row r="720" spans="4:8" ht="12.75">
      <c r="D720" s="205"/>
      <c r="E720" s="288"/>
      <c r="F720" s="288"/>
      <c r="G720" s="2"/>
      <c r="H720" s="2"/>
    </row>
    <row r="721" spans="4:8" ht="12.75">
      <c r="D721" s="205"/>
      <c r="E721" s="288"/>
      <c r="F721" s="288"/>
      <c r="G721" s="2"/>
      <c r="H721" s="2"/>
    </row>
    <row r="722" spans="4:8" ht="12.75">
      <c r="D722" s="205"/>
      <c r="E722" s="288"/>
      <c r="F722" s="288"/>
      <c r="G722" s="2"/>
      <c r="H722" s="2"/>
    </row>
    <row r="723" spans="4:8" ht="12.75">
      <c r="D723" s="205"/>
      <c r="E723" s="288"/>
      <c r="F723" s="288"/>
      <c r="G723" s="2"/>
      <c r="H723" s="2"/>
    </row>
    <row r="724" spans="4:8" ht="12.75">
      <c r="D724" s="205"/>
      <c r="E724" s="288"/>
      <c r="F724" s="288"/>
      <c r="G724" s="2"/>
      <c r="H724" s="2"/>
    </row>
    <row r="725" spans="4:8" ht="12.75">
      <c r="D725" s="205"/>
      <c r="E725" s="288"/>
      <c r="F725" s="288"/>
      <c r="G725" s="2"/>
      <c r="H725" s="2"/>
    </row>
    <row r="726" spans="4:8" ht="12.75">
      <c r="D726" s="205"/>
      <c r="E726" s="288"/>
      <c r="F726" s="288"/>
      <c r="G726" s="2"/>
      <c r="H726" s="2"/>
    </row>
    <row r="727" spans="4:8" ht="12.75">
      <c r="D727" s="205"/>
      <c r="E727" s="288"/>
      <c r="F727" s="288"/>
      <c r="G727" s="2"/>
      <c r="H727" s="2"/>
    </row>
    <row r="728" spans="4:8" ht="12.75">
      <c r="D728" s="205"/>
      <c r="E728" s="288"/>
      <c r="F728" s="288"/>
      <c r="G728" s="2"/>
      <c r="H728" s="2"/>
    </row>
    <row r="729" spans="4:8" ht="12.75">
      <c r="D729" s="205"/>
      <c r="E729" s="288"/>
      <c r="F729" s="288"/>
      <c r="G729" s="2"/>
      <c r="H729" s="2"/>
    </row>
    <row r="730" spans="4:8" ht="12.75">
      <c r="D730" s="205"/>
      <c r="E730" s="288"/>
      <c r="F730" s="288"/>
      <c r="G730" s="2"/>
      <c r="H730" s="2"/>
    </row>
    <row r="731" spans="4:8" ht="12.75">
      <c r="D731" s="205"/>
      <c r="E731" s="288"/>
      <c r="F731" s="288"/>
      <c r="G731" s="2"/>
      <c r="H731" s="2"/>
    </row>
    <row r="732" spans="4:8" ht="12.75">
      <c r="D732" s="205"/>
      <c r="E732" s="288"/>
      <c r="F732" s="288"/>
      <c r="G732" s="2"/>
      <c r="H732" s="2"/>
    </row>
    <row r="733" spans="4:8" ht="12.75">
      <c r="D733" s="205"/>
      <c r="E733" s="288"/>
      <c r="F733" s="288"/>
      <c r="G733" s="2"/>
      <c r="H733" s="2"/>
    </row>
    <row r="734" spans="4:8" ht="12.75">
      <c r="D734" s="205"/>
      <c r="E734" s="288"/>
      <c r="F734" s="288"/>
      <c r="G734" s="2"/>
      <c r="H734" s="2"/>
    </row>
    <row r="735" spans="4:8" ht="12.75">
      <c r="D735" s="205"/>
      <c r="E735" s="288"/>
      <c r="F735" s="288"/>
      <c r="G735" s="2"/>
      <c r="H735" s="2"/>
    </row>
    <row r="736" spans="4:8" ht="12.75">
      <c r="D736" s="205"/>
      <c r="E736" s="288"/>
      <c r="F736" s="288"/>
      <c r="G736" s="2"/>
      <c r="H736" s="2"/>
    </row>
    <row r="737" spans="4:8" ht="12.75">
      <c r="D737" s="205"/>
      <c r="E737" s="288"/>
      <c r="F737" s="288"/>
      <c r="G737" s="2"/>
      <c r="H737" s="2"/>
    </row>
    <row r="738" spans="4:8" ht="12.75">
      <c r="D738" s="205"/>
      <c r="E738" s="288"/>
      <c r="F738" s="288"/>
      <c r="G738" s="2"/>
      <c r="H738" s="2"/>
    </row>
    <row r="739" spans="4:8" ht="12.75">
      <c r="D739" s="205"/>
      <c r="E739" s="288"/>
      <c r="F739" s="288"/>
      <c r="G739" s="2"/>
      <c r="H739" s="2"/>
    </row>
    <row r="740" spans="4:8" ht="12.75">
      <c r="D740" s="205"/>
      <c r="E740" s="288"/>
      <c r="F740" s="288"/>
      <c r="G740" s="2"/>
      <c r="H740" s="2"/>
    </row>
    <row r="741" spans="4:8" ht="12.75">
      <c r="D741" s="205"/>
      <c r="E741" s="288"/>
      <c r="F741" s="288"/>
      <c r="G741" s="2"/>
      <c r="H741" s="2"/>
    </row>
    <row r="742" spans="4:8" ht="12.75">
      <c r="D742" s="205"/>
      <c r="E742" s="288"/>
      <c r="F742" s="288"/>
      <c r="G742" s="2"/>
      <c r="H742" s="2"/>
    </row>
    <row r="743" spans="4:8" ht="12.75">
      <c r="D743" s="205"/>
      <c r="E743" s="288"/>
      <c r="F743" s="288"/>
      <c r="G743" s="2"/>
      <c r="H743" s="2"/>
    </row>
    <row r="744" spans="4:8" ht="12.75">
      <c r="D744" s="205"/>
      <c r="E744" s="288"/>
      <c r="F744" s="288"/>
      <c r="G744" s="2"/>
      <c r="H744" s="2"/>
    </row>
    <row r="745" spans="4:8" ht="12.75">
      <c r="D745" s="205"/>
      <c r="E745" s="288"/>
      <c r="F745" s="288"/>
      <c r="G745" s="2"/>
      <c r="H745" s="2"/>
    </row>
    <row r="746" spans="4:8" ht="12.75">
      <c r="D746" s="205"/>
      <c r="E746" s="288"/>
      <c r="F746" s="288"/>
      <c r="G746" s="2"/>
      <c r="H746" s="2"/>
    </row>
    <row r="747" spans="4:8" ht="12.75">
      <c r="D747" s="205"/>
      <c r="E747" s="288"/>
      <c r="F747" s="288"/>
      <c r="G747" s="2"/>
      <c r="H747" s="2"/>
    </row>
    <row r="748" spans="4:8" ht="12.75">
      <c r="D748" s="205"/>
      <c r="E748" s="288"/>
      <c r="F748" s="288"/>
      <c r="G748" s="2"/>
      <c r="H748" s="2"/>
    </row>
    <row r="749" spans="4:8" ht="12.75">
      <c r="D749" s="205"/>
      <c r="E749" s="288"/>
      <c r="F749" s="288"/>
      <c r="G749" s="2"/>
      <c r="H749" s="2"/>
    </row>
    <row r="750" spans="4:8" ht="12.75">
      <c r="D750" s="205"/>
      <c r="E750" s="288"/>
      <c r="F750" s="288"/>
      <c r="G750" s="2"/>
      <c r="H750" s="2"/>
    </row>
    <row r="751" spans="4:8" ht="12.75">
      <c r="D751" s="205"/>
      <c r="E751" s="288"/>
      <c r="F751" s="288"/>
      <c r="G751" s="2"/>
      <c r="H751" s="2"/>
    </row>
    <row r="752" spans="4:8" ht="12.75">
      <c r="D752" s="205"/>
      <c r="E752" s="288"/>
      <c r="F752" s="288"/>
      <c r="G752" s="2"/>
      <c r="H752" s="2"/>
    </row>
    <row r="753" spans="4:8" ht="12.75">
      <c r="D753" s="205"/>
      <c r="E753" s="288"/>
      <c r="F753" s="288"/>
      <c r="G753" s="2"/>
      <c r="H753" s="2"/>
    </row>
    <row r="754" spans="4:8" ht="12.75">
      <c r="D754" s="205"/>
      <c r="E754" s="288"/>
      <c r="F754" s="288"/>
      <c r="G754" s="2"/>
      <c r="H754" s="2"/>
    </row>
    <row r="755" spans="4:8" ht="12.75">
      <c r="D755" s="205"/>
      <c r="E755" s="288"/>
      <c r="F755" s="288"/>
      <c r="G755" s="2"/>
      <c r="H755" s="2"/>
    </row>
    <row r="756" spans="4:8" ht="12.75">
      <c r="D756" s="205"/>
      <c r="E756" s="288"/>
      <c r="F756" s="288"/>
      <c r="G756" s="2"/>
      <c r="H756" s="2"/>
    </row>
    <row r="757" spans="4:8" ht="12.75">
      <c r="D757" s="205"/>
      <c r="E757" s="288"/>
      <c r="F757" s="288"/>
      <c r="G757" s="2"/>
      <c r="H757" s="2"/>
    </row>
    <row r="758" spans="4:8" ht="12.75">
      <c r="D758" s="205"/>
      <c r="E758" s="288"/>
      <c r="F758" s="288"/>
      <c r="G758" s="2"/>
      <c r="H758" s="2"/>
    </row>
    <row r="759" spans="4:8" ht="12.75">
      <c r="D759" s="205"/>
      <c r="E759" s="288"/>
      <c r="F759" s="288"/>
      <c r="G759" s="2"/>
      <c r="H759" s="2"/>
    </row>
    <row r="760" spans="4:8" ht="12.75">
      <c r="D760" s="205"/>
      <c r="E760" s="288"/>
      <c r="F760" s="288"/>
      <c r="G760" s="2"/>
      <c r="H760" s="2"/>
    </row>
    <row r="761" spans="4:8" ht="12.75">
      <c r="D761" s="205"/>
      <c r="E761" s="288"/>
      <c r="F761" s="288"/>
      <c r="G761" s="2"/>
      <c r="H761" s="2"/>
    </row>
    <row r="762" spans="4:8" ht="12.75">
      <c r="D762" s="205"/>
      <c r="E762" s="288"/>
      <c r="F762" s="288"/>
      <c r="G762" s="2"/>
      <c r="H762" s="2"/>
    </row>
    <row r="763" spans="4:8" ht="12.75">
      <c r="D763" s="205"/>
      <c r="E763" s="288"/>
      <c r="F763" s="288"/>
      <c r="G763" s="2"/>
      <c r="H763" s="2"/>
    </row>
    <row r="764" spans="4:8" ht="12.75">
      <c r="D764" s="205"/>
      <c r="E764" s="288"/>
      <c r="F764" s="288"/>
      <c r="G764" s="2"/>
      <c r="H764" s="2"/>
    </row>
    <row r="765" spans="4:8" ht="12.75">
      <c r="D765" s="205"/>
      <c r="E765" s="288"/>
      <c r="F765" s="288"/>
      <c r="G765" s="2"/>
      <c r="H765" s="2"/>
    </row>
    <row r="766" spans="4:8" ht="12.75">
      <c r="D766" s="205"/>
      <c r="E766" s="288"/>
      <c r="F766" s="288"/>
      <c r="G766" s="2"/>
      <c r="H766" s="2"/>
    </row>
    <row r="767" spans="4:8" ht="12.75">
      <c r="D767" s="205"/>
      <c r="E767" s="288"/>
      <c r="F767" s="288"/>
      <c r="G767" s="2"/>
      <c r="H767" s="2"/>
    </row>
    <row r="768" spans="4:8" ht="12.75">
      <c r="D768" s="205"/>
      <c r="E768" s="288"/>
      <c r="F768" s="288"/>
      <c r="G768" s="2"/>
      <c r="H768" s="2"/>
    </row>
    <row r="769" spans="4:8" ht="12.75">
      <c r="D769" s="205"/>
      <c r="E769" s="288"/>
      <c r="F769" s="288"/>
      <c r="G769" s="2"/>
      <c r="H769" s="2"/>
    </row>
    <row r="770" spans="4:8" ht="12.75">
      <c r="D770" s="205"/>
      <c r="E770" s="288"/>
      <c r="F770" s="288"/>
      <c r="G770" s="2"/>
      <c r="H770" s="2"/>
    </row>
    <row r="771" spans="4:8" ht="12.75">
      <c r="D771" s="205"/>
      <c r="E771" s="288"/>
      <c r="F771" s="288"/>
      <c r="G771" s="2"/>
      <c r="H771" s="2"/>
    </row>
    <row r="772" spans="4:8" ht="12.75">
      <c r="D772" s="205"/>
      <c r="E772" s="288"/>
      <c r="F772" s="288"/>
      <c r="G772" s="2"/>
      <c r="H772" s="2"/>
    </row>
    <row r="773" spans="4:8" ht="12.75">
      <c r="D773" s="205"/>
      <c r="E773" s="288"/>
      <c r="F773" s="288"/>
      <c r="G773" s="2"/>
      <c r="H773" s="2"/>
    </row>
    <row r="774" spans="4:8" ht="12.75">
      <c r="D774" s="205"/>
      <c r="E774" s="288"/>
      <c r="F774" s="288"/>
      <c r="G774" s="2"/>
      <c r="H774" s="2"/>
    </row>
    <row r="775" spans="4:8" ht="12.75">
      <c r="D775" s="205"/>
      <c r="E775" s="288"/>
      <c r="F775" s="288"/>
      <c r="G775" s="2"/>
      <c r="H775" s="2"/>
    </row>
    <row r="776" spans="4:8" ht="12.75">
      <c r="D776" s="205"/>
      <c r="E776" s="288"/>
      <c r="F776" s="288"/>
      <c r="G776" s="2"/>
      <c r="H776" s="2"/>
    </row>
    <row r="777" spans="4:8" ht="12.75">
      <c r="D777" s="205"/>
      <c r="E777" s="288"/>
      <c r="F777" s="288"/>
      <c r="G777" s="2"/>
      <c r="H777" s="2"/>
    </row>
    <row r="778" spans="4:8" ht="12.75">
      <c r="D778" s="205"/>
      <c r="E778" s="288"/>
      <c r="F778" s="288"/>
      <c r="G778" s="2"/>
      <c r="H778" s="2"/>
    </row>
    <row r="779" spans="4:8" ht="12.75">
      <c r="D779" s="205"/>
      <c r="E779" s="288"/>
      <c r="F779" s="288"/>
      <c r="G779" s="2"/>
      <c r="H779" s="2"/>
    </row>
    <row r="780" spans="4:8" ht="12.75">
      <c r="D780" s="205"/>
      <c r="E780" s="288"/>
      <c r="F780" s="288"/>
      <c r="G780" s="2"/>
      <c r="H780" s="2"/>
    </row>
    <row r="781" spans="4:8" ht="12.75">
      <c r="D781" s="205"/>
      <c r="E781" s="288"/>
      <c r="F781" s="288"/>
      <c r="G781" s="2"/>
      <c r="H781" s="2"/>
    </row>
    <row r="782" spans="4:8" ht="12.75">
      <c r="D782" s="205"/>
      <c r="E782" s="288"/>
      <c r="F782" s="288"/>
      <c r="G782" s="2"/>
      <c r="H782" s="2"/>
    </row>
    <row r="783" spans="4:8" ht="12.75">
      <c r="D783" s="205"/>
      <c r="E783" s="288"/>
      <c r="F783" s="288"/>
      <c r="G783" s="2"/>
      <c r="H783" s="2"/>
    </row>
    <row r="784" spans="4:8" ht="12.75">
      <c r="D784" s="205"/>
      <c r="E784" s="288"/>
      <c r="F784" s="288"/>
      <c r="G784" s="2"/>
      <c r="H784" s="2"/>
    </row>
    <row r="785" spans="4:8" ht="12.75">
      <c r="D785" s="205"/>
      <c r="E785" s="288"/>
      <c r="F785" s="288"/>
      <c r="G785" s="2"/>
      <c r="H785" s="2"/>
    </row>
    <row r="786" spans="4:8" ht="12.75">
      <c r="D786" s="205"/>
      <c r="E786" s="288"/>
      <c r="F786" s="288"/>
      <c r="G786" s="2"/>
      <c r="H786" s="2"/>
    </row>
    <row r="787" spans="4:8" ht="12.75">
      <c r="D787" s="205"/>
      <c r="E787" s="288"/>
      <c r="F787" s="288"/>
      <c r="G787" s="2"/>
      <c r="H787" s="2"/>
    </row>
    <row r="788" spans="4:8" ht="12.75">
      <c r="D788" s="205"/>
      <c r="E788" s="288"/>
      <c r="F788" s="288"/>
      <c r="G788" s="2"/>
      <c r="H788" s="2"/>
    </row>
    <row r="789" spans="4:8" ht="12.75">
      <c r="D789" s="205"/>
      <c r="E789" s="288"/>
      <c r="F789" s="288"/>
      <c r="G789" s="2"/>
      <c r="H789" s="2"/>
    </row>
    <row r="790" spans="4:8" ht="12.75">
      <c r="D790" s="205"/>
      <c r="E790" s="288"/>
      <c r="F790" s="288"/>
      <c r="G790" s="2"/>
      <c r="H790" s="2"/>
    </row>
    <row r="791" spans="4:8" ht="12.75">
      <c r="D791" s="205"/>
      <c r="E791" s="288"/>
      <c r="F791" s="288"/>
      <c r="G791" s="2"/>
      <c r="H791" s="2"/>
    </row>
    <row r="792" spans="4:8" ht="12.75">
      <c r="D792" s="205"/>
      <c r="E792" s="288"/>
      <c r="F792" s="288"/>
      <c r="G792" s="2"/>
      <c r="H792" s="2"/>
    </row>
    <row r="793" spans="4:8" ht="12.75">
      <c r="D793" s="205"/>
      <c r="E793" s="288"/>
      <c r="F793" s="288"/>
      <c r="G793" s="2"/>
      <c r="H793" s="2"/>
    </row>
    <row r="794" spans="4:8" ht="12.75">
      <c r="D794" s="205"/>
      <c r="E794" s="288"/>
      <c r="F794" s="288"/>
      <c r="G794" s="2"/>
      <c r="H794" s="2"/>
    </row>
    <row r="795" spans="4:8" ht="12.75">
      <c r="D795" s="205"/>
      <c r="E795" s="288"/>
      <c r="F795" s="288"/>
      <c r="G795" s="2"/>
      <c r="H795" s="2"/>
    </row>
    <row r="796" spans="4:8" ht="12.75">
      <c r="D796" s="205"/>
      <c r="E796" s="288"/>
      <c r="F796" s="288"/>
      <c r="G796" s="2"/>
      <c r="H796" s="2"/>
    </row>
    <row r="797" spans="4:8" ht="12.75">
      <c r="D797" s="205"/>
      <c r="E797" s="288"/>
      <c r="F797" s="288"/>
      <c r="G797" s="2"/>
      <c r="H797" s="2"/>
    </row>
    <row r="798" spans="4:8" ht="12.75">
      <c r="D798" s="205"/>
      <c r="E798" s="288"/>
      <c r="F798" s="288"/>
      <c r="G798" s="2"/>
      <c r="H798" s="2"/>
    </row>
    <row r="799" spans="4:8" ht="12.75">
      <c r="D799" s="205"/>
      <c r="E799" s="288"/>
      <c r="F799" s="288"/>
      <c r="G799" s="2"/>
      <c r="H799" s="2"/>
    </row>
    <row r="800" spans="4:8" ht="12.75">
      <c r="D800" s="205"/>
      <c r="E800" s="288"/>
      <c r="F800" s="288"/>
      <c r="G800" s="2"/>
      <c r="H800" s="2"/>
    </row>
    <row r="801" spans="4:8" ht="12.75">
      <c r="D801" s="205"/>
      <c r="E801" s="288"/>
      <c r="F801" s="288"/>
      <c r="G801" s="2"/>
      <c r="H801" s="2"/>
    </row>
    <row r="802" spans="4:8" ht="12.75">
      <c r="D802" s="205"/>
      <c r="E802" s="288"/>
      <c r="F802" s="288"/>
      <c r="G802" s="2"/>
      <c r="H802" s="2"/>
    </row>
    <row r="803" spans="4:8" ht="12.75">
      <c r="D803" s="205"/>
      <c r="E803" s="288"/>
      <c r="F803" s="288"/>
      <c r="G803" s="2"/>
      <c r="H803" s="2"/>
    </row>
    <row r="804" spans="4:8" ht="12.75">
      <c r="D804" s="205"/>
      <c r="E804" s="288"/>
      <c r="F804" s="288"/>
      <c r="G804" s="2"/>
      <c r="H804" s="2"/>
    </row>
    <row r="805" spans="4:8" ht="12.75">
      <c r="D805" s="205"/>
      <c r="E805" s="288"/>
      <c r="F805" s="288"/>
      <c r="G805" s="2"/>
      <c r="H805" s="2"/>
    </row>
    <row r="806" spans="4:8" ht="12.75">
      <c r="D806" s="205"/>
      <c r="E806" s="288"/>
      <c r="F806" s="288"/>
      <c r="G806" s="2"/>
      <c r="H806" s="2"/>
    </row>
    <row r="807" spans="4:8" ht="12.75">
      <c r="D807" s="205"/>
      <c r="E807" s="288"/>
      <c r="F807" s="288"/>
      <c r="G807" s="2"/>
      <c r="H807" s="2"/>
    </row>
    <row r="808" spans="4:8" ht="12.75">
      <c r="D808" s="205"/>
      <c r="E808" s="288"/>
      <c r="F808" s="288"/>
      <c r="G808" s="2"/>
      <c r="H808" s="2"/>
    </row>
    <row r="809" spans="4:8" ht="12.75">
      <c r="D809" s="205"/>
      <c r="E809" s="288"/>
      <c r="F809" s="288"/>
      <c r="G809" s="2"/>
      <c r="H809" s="2"/>
    </row>
    <row r="810" spans="4:8" ht="12.75">
      <c r="D810" s="205"/>
      <c r="E810" s="288"/>
      <c r="F810" s="288"/>
      <c r="G810" s="2"/>
      <c r="H810" s="2"/>
    </row>
    <row r="811" spans="4:8" ht="12.75">
      <c r="D811" s="205"/>
      <c r="E811" s="288"/>
      <c r="F811" s="288"/>
      <c r="G811" s="2"/>
      <c r="H811" s="2"/>
    </row>
    <row r="812" spans="4:8" ht="12.75">
      <c r="D812" s="205"/>
      <c r="E812" s="288"/>
      <c r="F812" s="288"/>
      <c r="G812" s="2"/>
      <c r="H812" s="2"/>
    </row>
    <row r="813" spans="4:8" ht="12.75">
      <c r="D813" s="205"/>
      <c r="E813" s="288"/>
      <c r="F813" s="288"/>
      <c r="G813" s="2"/>
      <c r="H813" s="2"/>
    </row>
    <row r="814" spans="4:8" ht="12.75">
      <c r="D814" s="205"/>
      <c r="E814" s="288"/>
      <c r="F814" s="288"/>
      <c r="G814" s="2"/>
      <c r="H814" s="2"/>
    </row>
    <row r="815" spans="4:8" ht="12.75">
      <c r="D815" s="205"/>
      <c r="E815" s="288"/>
      <c r="F815" s="288"/>
      <c r="G815" s="2"/>
      <c r="H815" s="2"/>
    </row>
    <row r="816" spans="4:8" ht="12.75">
      <c r="D816" s="205"/>
      <c r="E816" s="288"/>
      <c r="F816" s="288"/>
      <c r="G816" s="2"/>
      <c r="H816" s="2"/>
    </row>
    <row r="817" spans="4:8" ht="12.75">
      <c r="D817" s="205"/>
      <c r="E817" s="288"/>
      <c r="F817" s="288"/>
      <c r="G817" s="2"/>
      <c r="H817" s="2"/>
    </row>
    <row r="818" spans="4:8" ht="12.75">
      <c r="D818" s="205"/>
      <c r="E818" s="288"/>
      <c r="F818" s="288"/>
      <c r="G818" s="2"/>
      <c r="H818" s="2"/>
    </row>
    <row r="819" spans="4:8" ht="12.75">
      <c r="D819" s="205"/>
      <c r="E819" s="288"/>
      <c r="F819" s="288"/>
      <c r="G819" s="2"/>
      <c r="H819" s="2"/>
    </row>
    <row r="820" spans="4:8" ht="12.75">
      <c r="D820" s="205"/>
      <c r="E820" s="288"/>
      <c r="F820" s="288"/>
      <c r="G820" s="2"/>
      <c r="H820" s="2"/>
    </row>
    <row r="821" spans="4:8" ht="12.75">
      <c r="D821" s="205"/>
      <c r="E821" s="288"/>
      <c r="F821" s="288"/>
      <c r="G821" s="2"/>
      <c r="H821" s="2"/>
    </row>
    <row r="822" spans="4:8" ht="12.75">
      <c r="D822" s="205"/>
      <c r="E822" s="288"/>
      <c r="F822" s="288"/>
      <c r="G822" s="2"/>
      <c r="H822" s="2"/>
    </row>
    <row r="823" spans="4:8" ht="12.75">
      <c r="D823" s="205"/>
      <c r="E823" s="288"/>
      <c r="F823" s="288"/>
      <c r="G823" s="2"/>
      <c r="H823" s="2"/>
    </row>
    <row r="824" spans="4:8" ht="12.75">
      <c r="D824" s="205"/>
      <c r="E824" s="288"/>
      <c r="F824" s="288"/>
      <c r="G824" s="2"/>
      <c r="H824" s="2"/>
    </row>
    <row r="825" spans="4:8" ht="12.75">
      <c r="D825" s="205"/>
      <c r="E825" s="288"/>
      <c r="F825" s="288"/>
      <c r="G825" s="2"/>
      <c r="H825" s="2"/>
    </row>
    <row r="826" spans="4:8" ht="12.75">
      <c r="D826" s="205"/>
      <c r="E826" s="288"/>
      <c r="F826" s="288"/>
      <c r="G826" s="2"/>
      <c r="H826" s="2"/>
    </row>
    <row r="827" spans="4:8" ht="12.75">
      <c r="D827" s="205"/>
      <c r="E827" s="288"/>
      <c r="F827" s="288"/>
      <c r="G827" s="2"/>
      <c r="H827" s="2"/>
    </row>
    <row r="828" spans="4:8" ht="12.75">
      <c r="D828" s="205"/>
      <c r="E828" s="288"/>
      <c r="F828" s="288"/>
      <c r="G828" s="2"/>
      <c r="H828" s="2"/>
    </row>
    <row r="829" spans="4:8" ht="12.75">
      <c r="D829" s="205"/>
      <c r="E829" s="288"/>
      <c r="F829" s="288"/>
      <c r="G829" s="2"/>
      <c r="H829" s="2"/>
    </row>
    <row r="830" spans="4:8" ht="12.75">
      <c r="D830" s="205"/>
      <c r="E830" s="288"/>
      <c r="F830" s="288"/>
      <c r="G830" s="2"/>
      <c r="H830" s="2"/>
    </row>
    <row r="831" spans="4:8" ht="12.75">
      <c r="D831" s="205"/>
      <c r="E831" s="288"/>
      <c r="F831" s="288"/>
      <c r="G831" s="2"/>
      <c r="H831" s="2"/>
    </row>
    <row r="832" spans="4:8" ht="12.75">
      <c r="D832" s="205"/>
      <c r="E832" s="288"/>
      <c r="F832" s="288"/>
      <c r="G832" s="2"/>
      <c r="H832" s="2"/>
    </row>
    <row r="833" spans="4:8" ht="12.75">
      <c r="D833" s="205"/>
      <c r="E833" s="288"/>
      <c r="F833" s="288"/>
      <c r="G833" s="2"/>
      <c r="H833" s="2"/>
    </row>
    <row r="834" spans="4:8" ht="12.75">
      <c r="D834" s="205"/>
      <c r="E834" s="288"/>
      <c r="F834" s="288"/>
      <c r="G834" s="2"/>
      <c r="H834" s="2"/>
    </row>
    <row r="835" spans="4:8" ht="12.75">
      <c r="D835" s="205"/>
      <c r="E835" s="288"/>
      <c r="F835" s="288"/>
      <c r="G835" s="2"/>
      <c r="H835" s="2"/>
    </row>
    <row r="836" spans="4:8" ht="12.75">
      <c r="D836" s="205"/>
      <c r="E836" s="288"/>
      <c r="F836" s="288"/>
      <c r="G836" s="2"/>
      <c r="H836" s="2"/>
    </row>
    <row r="837" spans="4:8" ht="12.75">
      <c r="D837" s="205"/>
      <c r="E837" s="288"/>
      <c r="F837" s="288"/>
      <c r="G837" s="2"/>
      <c r="H837" s="2"/>
    </row>
    <row r="838" spans="4:8" ht="12.75">
      <c r="D838" s="205"/>
      <c r="E838" s="288"/>
      <c r="F838" s="288"/>
      <c r="G838" s="2"/>
      <c r="H838" s="2"/>
    </row>
    <row r="839" spans="4:8" ht="12.75">
      <c r="D839" s="205"/>
      <c r="E839" s="288"/>
      <c r="F839" s="288"/>
      <c r="G839" s="2"/>
      <c r="H839" s="2"/>
    </row>
    <row r="840" spans="4:8" ht="12.75">
      <c r="D840" s="205"/>
      <c r="E840" s="288"/>
      <c r="F840" s="288"/>
      <c r="G840" s="2"/>
      <c r="H840" s="2"/>
    </row>
    <row r="841" spans="4:8" ht="12.75">
      <c r="D841" s="205"/>
      <c r="E841" s="288"/>
      <c r="F841" s="288"/>
      <c r="G841" s="2"/>
      <c r="H841" s="2"/>
    </row>
    <row r="842" spans="4:8" ht="12.75">
      <c r="D842" s="205"/>
      <c r="E842" s="288"/>
      <c r="F842" s="288"/>
      <c r="G842" s="2"/>
      <c r="H842" s="2"/>
    </row>
    <row r="843" spans="4:8" ht="12.75">
      <c r="D843" s="205"/>
      <c r="E843" s="288"/>
      <c r="F843" s="288"/>
      <c r="G843" s="2"/>
      <c r="H843" s="2"/>
    </row>
    <row r="844" spans="4:8" ht="12.75">
      <c r="D844" s="205"/>
      <c r="E844" s="288"/>
      <c r="F844" s="288"/>
      <c r="G844" s="2"/>
      <c r="H844" s="2"/>
    </row>
    <row r="845" spans="4:8" ht="12.75">
      <c r="D845" s="205"/>
      <c r="E845" s="288"/>
      <c r="F845" s="288"/>
      <c r="G845" s="2"/>
      <c r="H845" s="2"/>
    </row>
    <row r="846" spans="4:8" ht="12.75">
      <c r="D846" s="205"/>
      <c r="E846" s="288"/>
      <c r="F846" s="288"/>
      <c r="G846" s="2"/>
      <c r="H846" s="2"/>
    </row>
    <row r="847" spans="4:8" ht="12.75">
      <c r="D847" s="205"/>
      <c r="E847" s="288"/>
      <c r="F847" s="288"/>
      <c r="G847" s="2"/>
      <c r="H847" s="2"/>
    </row>
    <row r="848" spans="4:8" ht="12.75">
      <c r="D848" s="205"/>
      <c r="E848" s="288"/>
      <c r="F848" s="288"/>
      <c r="G848" s="2"/>
      <c r="H848" s="2"/>
    </row>
    <row r="849" spans="4:8" ht="12.75">
      <c r="D849" s="205"/>
      <c r="E849" s="288"/>
      <c r="F849" s="288"/>
      <c r="G849" s="2"/>
      <c r="H849" s="2"/>
    </row>
    <row r="850" spans="4:8" ht="12.75">
      <c r="D850" s="205"/>
      <c r="E850" s="288"/>
      <c r="F850" s="288"/>
      <c r="G850" s="2"/>
      <c r="H850" s="2"/>
    </row>
    <row r="851" spans="4:8" ht="12.75">
      <c r="D851" s="205"/>
      <c r="E851" s="288"/>
      <c r="F851" s="288"/>
      <c r="G851" s="2"/>
      <c r="H851" s="2"/>
    </row>
    <row r="852" spans="4:8" ht="12.75">
      <c r="D852" s="205"/>
      <c r="E852" s="288"/>
      <c r="F852" s="288"/>
      <c r="G852" s="2"/>
      <c r="H852" s="2"/>
    </row>
    <row r="853" spans="4:8" ht="12.75">
      <c r="D853" s="205"/>
      <c r="E853" s="288"/>
      <c r="F853" s="288"/>
      <c r="G853" s="2"/>
      <c r="H853" s="2"/>
    </row>
    <row r="854" spans="4:8" ht="12.75">
      <c r="D854" s="205"/>
      <c r="E854" s="288"/>
      <c r="F854" s="288"/>
      <c r="G854" s="2"/>
      <c r="H854" s="2"/>
    </row>
    <row r="855" spans="4:8" ht="12.75">
      <c r="D855" s="205"/>
      <c r="E855" s="288"/>
      <c r="F855" s="288"/>
      <c r="G855" s="2"/>
      <c r="H855" s="2"/>
    </row>
    <row r="856" spans="4:8" ht="12.75">
      <c r="D856" s="205"/>
      <c r="E856" s="288"/>
      <c r="F856" s="288"/>
      <c r="G856" s="2"/>
      <c r="H856" s="2"/>
    </row>
    <row r="857" spans="4:8" ht="12.75">
      <c r="D857" s="205"/>
      <c r="E857" s="288"/>
      <c r="F857" s="288"/>
      <c r="G857" s="2"/>
      <c r="H857" s="2"/>
    </row>
    <row r="858" spans="4:8" ht="12.75">
      <c r="D858" s="205"/>
      <c r="E858" s="288"/>
      <c r="F858" s="288"/>
      <c r="G858" s="2"/>
      <c r="H858" s="2"/>
    </row>
    <row r="859" spans="4:8" ht="12.75">
      <c r="D859" s="205"/>
      <c r="E859" s="288"/>
      <c r="F859" s="288"/>
      <c r="G859" s="2"/>
      <c r="H859" s="2"/>
    </row>
    <row r="860" spans="4:8" ht="12.75">
      <c r="D860" s="205"/>
      <c r="E860" s="288"/>
      <c r="F860" s="288"/>
      <c r="G860" s="2"/>
      <c r="H860" s="2"/>
    </row>
    <row r="861" spans="4:8" ht="12.75">
      <c r="D861" s="205"/>
      <c r="E861" s="288"/>
      <c r="F861" s="288"/>
      <c r="G861" s="2"/>
      <c r="H861" s="2"/>
    </row>
    <row r="862" spans="4:8" ht="12.75">
      <c r="D862" s="205"/>
      <c r="E862" s="288"/>
      <c r="F862" s="288"/>
      <c r="G862" s="2"/>
      <c r="H862" s="2"/>
    </row>
    <row r="863" spans="4:8" ht="12.75">
      <c r="D863" s="205"/>
      <c r="E863" s="288"/>
      <c r="F863" s="288"/>
      <c r="G863" s="2"/>
      <c r="H863" s="2"/>
    </row>
    <row r="864" spans="4:8" ht="12.75">
      <c r="D864" s="205"/>
      <c r="E864" s="288"/>
      <c r="F864" s="288"/>
      <c r="G864" s="2"/>
      <c r="H864" s="2"/>
    </row>
    <row r="865" spans="4:8" ht="12.75">
      <c r="D865" s="205"/>
      <c r="E865" s="288"/>
      <c r="F865" s="288"/>
      <c r="G865" s="2"/>
      <c r="H865" s="2"/>
    </row>
    <row r="866" spans="4:8" ht="12.75">
      <c r="D866" s="205"/>
      <c r="E866" s="288"/>
      <c r="F866" s="288"/>
      <c r="G866" s="2"/>
      <c r="H866" s="2"/>
    </row>
    <row r="867" spans="4:8" ht="12.75">
      <c r="D867" s="205"/>
      <c r="E867" s="288"/>
      <c r="F867" s="288"/>
      <c r="G867" s="2"/>
      <c r="H867" s="2"/>
    </row>
    <row r="868" spans="4:8" ht="12.75">
      <c r="D868" s="205"/>
      <c r="E868" s="288"/>
      <c r="F868" s="288"/>
      <c r="G868" s="2"/>
      <c r="H868" s="2"/>
    </row>
    <row r="869" spans="4:8" ht="12.75">
      <c r="D869" s="205"/>
      <c r="E869" s="288"/>
      <c r="F869" s="288"/>
      <c r="G869" s="2"/>
      <c r="H869" s="2"/>
    </row>
    <row r="870" spans="4:8" ht="12.75">
      <c r="D870" s="205"/>
      <c r="E870" s="288"/>
      <c r="F870" s="288"/>
      <c r="G870" s="2"/>
      <c r="H870" s="2"/>
    </row>
    <row r="871" spans="4:8" ht="12.75">
      <c r="D871" s="205"/>
      <c r="E871" s="288"/>
      <c r="F871" s="288"/>
      <c r="G871" s="2"/>
      <c r="H871" s="2"/>
    </row>
    <row r="872" spans="4:8" ht="12.75">
      <c r="D872" s="205"/>
      <c r="E872" s="288"/>
      <c r="F872" s="288"/>
      <c r="G872" s="2"/>
      <c r="H872" s="2"/>
    </row>
    <row r="873" spans="4:8" ht="12.75">
      <c r="D873" s="205"/>
      <c r="E873" s="288"/>
      <c r="F873" s="288"/>
      <c r="G873" s="2"/>
      <c r="H873" s="2"/>
    </row>
    <row r="874" spans="4:8" ht="12.75">
      <c r="D874" s="205"/>
      <c r="E874" s="288"/>
      <c r="F874" s="288"/>
      <c r="G874" s="2"/>
      <c r="H874" s="2"/>
    </row>
    <row r="875" spans="4:8" ht="12.75">
      <c r="D875" s="205"/>
      <c r="E875" s="288"/>
      <c r="F875" s="288"/>
      <c r="G875" s="2"/>
      <c r="H875" s="2"/>
    </row>
    <row r="876" spans="4:8" ht="12.75">
      <c r="D876" s="205"/>
      <c r="E876" s="288"/>
      <c r="F876" s="288"/>
      <c r="G876" s="2"/>
      <c r="H876" s="2"/>
    </row>
    <row r="877" spans="4:8" ht="12.75">
      <c r="D877" s="205"/>
      <c r="E877" s="288"/>
      <c r="F877" s="288"/>
      <c r="G877" s="2"/>
      <c r="H877" s="2"/>
    </row>
    <row r="878" spans="4:8" ht="12.75">
      <c r="D878" s="205"/>
      <c r="E878" s="288"/>
      <c r="F878" s="288"/>
      <c r="G878" s="2"/>
      <c r="H878" s="2"/>
    </row>
    <row r="879" spans="4:8" ht="12.75">
      <c r="D879" s="205"/>
      <c r="E879" s="288"/>
      <c r="F879" s="288"/>
      <c r="G879" s="2"/>
      <c r="H879" s="2"/>
    </row>
    <row r="880" spans="4:8" ht="12.75">
      <c r="D880" s="205"/>
      <c r="E880" s="288"/>
      <c r="F880" s="288"/>
      <c r="G880" s="2"/>
      <c r="H880" s="2"/>
    </row>
    <row r="881" spans="4:8" ht="12.75">
      <c r="D881" s="205"/>
      <c r="E881" s="288"/>
      <c r="F881" s="288"/>
      <c r="G881" s="2"/>
      <c r="H881" s="2"/>
    </row>
    <row r="882" spans="4:8" ht="12.75">
      <c r="D882" s="205"/>
      <c r="E882" s="288"/>
      <c r="F882" s="288"/>
      <c r="G882" s="2"/>
      <c r="H882" s="2"/>
    </row>
    <row r="883" spans="4:8" ht="12.75">
      <c r="D883" s="205"/>
      <c r="E883" s="288"/>
      <c r="F883" s="288"/>
      <c r="G883" s="2"/>
      <c r="H883" s="2"/>
    </row>
    <row r="884" spans="4:8" ht="12.75">
      <c r="D884" s="205"/>
      <c r="E884" s="288"/>
      <c r="F884" s="288"/>
      <c r="G884" s="2"/>
      <c r="H884" s="2"/>
    </row>
    <row r="885" spans="4:8" ht="12.75">
      <c r="D885" s="205"/>
      <c r="E885" s="288"/>
      <c r="F885" s="288"/>
      <c r="G885" s="2"/>
      <c r="H885" s="2"/>
    </row>
    <row r="886" spans="4:8" ht="12.75">
      <c r="D886" s="205"/>
      <c r="E886" s="288"/>
      <c r="F886" s="288"/>
      <c r="G886" s="2"/>
      <c r="H886" s="2"/>
    </row>
    <row r="887" spans="4:8" ht="12.75">
      <c r="D887" s="205"/>
      <c r="E887" s="288"/>
      <c r="F887" s="288"/>
      <c r="G887" s="2"/>
      <c r="H887" s="2"/>
    </row>
    <row r="888" spans="4:8" ht="12.75">
      <c r="D888" s="205"/>
      <c r="E888" s="288"/>
      <c r="F888" s="288"/>
      <c r="G888" s="2"/>
      <c r="H888" s="2"/>
    </row>
    <row r="889" spans="4:8" ht="12.75">
      <c r="D889" s="205"/>
      <c r="E889" s="288"/>
      <c r="F889" s="288"/>
      <c r="G889" s="2"/>
      <c r="H889" s="2"/>
    </row>
    <row r="890" spans="4:8" ht="12.75">
      <c r="D890" s="205"/>
      <c r="E890" s="288"/>
      <c r="F890" s="288"/>
      <c r="G890" s="2"/>
      <c r="H890" s="2"/>
    </row>
    <row r="891" spans="4:8" ht="12.75">
      <c r="D891" s="205"/>
      <c r="E891" s="288"/>
      <c r="F891" s="288"/>
      <c r="G891" s="2"/>
      <c r="H891" s="2"/>
    </row>
    <row r="892" spans="4:8" ht="12.75">
      <c r="D892" s="205"/>
      <c r="E892" s="288"/>
      <c r="F892" s="288"/>
      <c r="G892" s="2"/>
      <c r="H892" s="2"/>
    </row>
    <row r="893" spans="4:8" ht="12.75">
      <c r="D893" s="205"/>
      <c r="E893" s="288"/>
      <c r="F893" s="288"/>
      <c r="G893" s="2"/>
      <c r="H893" s="2"/>
    </row>
    <row r="894" spans="4:8" ht="12.75">
      <c r="D894" s="205"/>
      <c r="E894" s="288"/>
      <c r="F894" s="288"/>
      <c r="G894" s="2"/>
      <c r="H894" s="2"/>
    </row>
    <row r="895" spans="4:8" ht="12.75">
      <c r="D895" s="205"/>
      <c r="E895" s="288"/>
      <c r="F895" s="288"/>
      <c r="G895" s="2"/>
      <c r="H895" s="2"/>
    </row>
    <row r="896" spans="4:8" ht="12.75">
      <c r="D896" s="205"/>
      <c r="E896" s="288"/>
      <c r="F896" s="288"/>
      <c r="G896" s="2"/>
      <c r="H896" s="2"/>
    </row>
    <row r="897" spans="4:8" ht="12.75">
      <c r="D897" s="205"/>
      <c r="E897" s="288"/>
      <c r="F897" s="288"/>
      <c r="G897" s="2"/>
      <c r="H897" s="2"/>
    </row>
    <row r="898" spans="4:8" ht="12.75">
      <c r="D898" s="205"/>
      <c r="E898" s="288"/>
      <c r="F898" s="288"/>
      <c r="G898" s="2"/>
      <c r="H898" s="2"/>
    </row>
    <row r="899" spans="4:8" ht="12.75">
      <c r="D899" s="205"/>
      <c r="E899" s="288"/>
      <c r="F899" s="288"/>
      <c r="G899" s="2"/>
      <c r="H899" s="2"/>
    </row>
    <row r="900" spans="4:8" ht="12.75">
      <c r="D900" s="205"/>
      <c r="E900" s="288"/>
      <c r="F900" s="288"/>
      <c r="G900" s="2"/>
      <c r="H900" s="2"/>
    </row>
    <row r="901" spans="4:8" ht="12.75">
      <c r="D901" s="205"/>
      <c r="E901" s="288"/>
      <c r="F901" s="288"/>
      <c r="G901" s="2"/>
      <c r="H901" s="2"/>
    </row>
    <row r="902" spans="4:8" ht="12.75">
      <c r="D902" s="205"/>
      <c r="E902" s="288"/>
      <c r="F902" s="288"/>
      <c r="G902" s="2"/>
      <c r="H902" s="2"/>
    </row>
    <row r="903" spans="4:8" ht="12.75">
      <c r="D903" s="205"/>
      <c r="E903" s="288"/>
      <c r="F903" s="288"/>
      <c r="G903" s="2"/>
      <c r="H903" s="2"/>
    </row>
    <row r="904" spans="4:8" ht="12.75">
      <c r="D904" s="205"/>
      <c r="E904" s="288"/>
      <c r="F904" s="288"/>
      <c r="G904" s="2"/>
      <c r="H904" s="2"/>
    </row>
    <row r="905" spans="4:8" ht="12.75">
      <c r="D905" s="205"/>
      <c r="E905" s="288"/>
      <c r="F905" s="288"/>
      <c r="G905" s="2"/>
      <c r="H905" s="2"/>
    </row>
    <row r="906" spans="4:8" ht="12.75">
      <c r="D906" s="205"/>
      <c r="E906" s="288"/>
      <c r="F906" s="288"/>
      <c r="G906" s="2"/>
      <c r="H906" s="2"/>
    </row>
    <row r="907" spans="4:8" ht="12.75">
      <c r="D907" s="205"/>
      <c r="E907" s="288"/>
      <c r="F907" s="288"/>
      <c r="G907" s="2"/>
      <c r="H907" s="2"/>
    </row>
    <row r="908" spans="4:8" ht="12.75">
      <c r="D908" s="205"/>
      <c r="E908" s="288"/>
      <c r="F908" s="288"/>
      <c r="G908" s="2"/>
      <c r="H908" s="2"/>
    </row>
    <row r="909" spans="4:8" ht="12.75">
      <c r="D909" s="205"/>
      <c r="E909" s="288"/>
      <c r="F909" s="288"/>
      <c r="G909" s="2"/>
      <c r="H909" s="2"/>
    </row>
    <row r="910" spans="4:8" ht="12.75">
      <c r="D910" s="205"/>
      <c r="E910" s="288"/>
      <c r="F910" s="288"/>
      <c r="G910" s="2"/>
      <c r="H910" s="2"/>
    </row>
    <row r="911" spans="4:8" ht="12.75">
      <c r="D911" s="205"/>
      <c r="E911" s="288"/>
      <c r="F911" s="288"/>
      <c r="G911" s="2"/>
      <c r="H911" s="2"/>
    </row>
    <row r="912" spans="4:8" ht="12.75">
      <c r="D912" s="205"/>
      <c r="E912" s="288"/>
      <c r="F912" s="288"/>
      <c r="G912" s="2"/>
      <c r="H912" s="2"/>
    </row>
    <row r="913" spans="4:8" ht="12.75">
      <c r="D913" s="205"/>
      <c r="E913" s="288"/>
      <c r="F913" s="288"/>
      <c r="G913" s="2"/>
      <c r="H913" s="2"/>
    </row>
    <row r="914" spans="4:8" ht="12.75">
      <c r="D914" s="205"/>
      <c r="E914" s="288"/>
      <c r="F914" s="288"/>
      <c r="G914" s="2"/>
      <c r="H914" s="2"/>
    </row>
    <row r="915" spans="4:8" ht="12.75">
      <c r="D915" s="205"/>
      <c r="E915" s="288"/>
      <c r="F915" s="288"/>
      <c r="G915" s="2"/>
      <c r="H915" s="2"/>
    </row>
    <row r="916" spans="4:8" ht="12.75">
      <c r="D916" s="205"/>
      <c r="E916" s="288"/>
      <c r="F916" s="288"/>
      <c r="G916" s="2"/>
      <c r="H916" s="2"/>
    </row>
    <row r="917" spans="4:8" ht="15.75" customHeight="1">
      <c r="D917" s="205"/>
      <c r="E917" s="288"/>
      <c r="F917" s="288"/>
      <c r="G917" s="2"/>
      <c r="H91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264FC-9055-4173-9693-6C1AA3E1EE49}">
  <sheetPr>
    <tabColor rgb="FFFFFF00"/>
  </sheetPr>
  <dimension ref="A2:G32"/>
  <sheetViews>
    <sheetView topLeftCell="A4" workbookViewId="0">
      <selection activeCell="E27" sqref="E27"/>
    </sheetView>
  </sheetViews>
  <sheetFormatPr defaultRowHeight="12.75"/>
  <cols>
    <col min="1" max="1" width="27.7109375" style="369" customWidth="1"/>
    <col min="2" max="2" width="18.28515625" style="370" customWidth="1"/>
    <col min="3" max="3" width="16.5703125" customWidth="1"/>
    <col min="4" max="4" width="18.140625" customWidth="1"/>
    <col min="5" max="5" width="19.85546875" customWidth="1"/>
    <col min="6" max="6" width="11.140625" customWidth="1"/>
    <col min="7" max="7" width="11.5703125" style="371" customWidth="1"/>
  </cols>
  <sheetData>
    <row r="2" spans="1:5">
      <c r="B2" s="370" t="s">
        <v>135</v>
      </c>
    </row>
    <row r="3" spans="1:5">
      <c r="A3" s="372" t="s">
        <v>292</v>
      </c>
      <c r="B3" s="373"/>
      <c r="C3" s="371"/>
    </row>
    <row r="4" spans="1:5">
      <c r="A4" s="369" t="s">
        <v>293</v>
      </c>
      <c r="B4" s="373">
        <v>0</v>
      </c>
      <c r="C4" s="371"/>
      <c r="D4" s="371"/>
      <c r="E4" s="371"/>
    </row>
    <row r="5" spans="1:5">
      <c r="A5" s="369" t="s">
        <v>97</v>
      </c>
      <c r="B5" s="374">
        <v>3977265</v>
      </c>
      <c r="C5" s="371"/>
      <c r="D5" s="371"/>
      <c r="E5" s="371"/>
    </row>
    <row r="6" spans="1:5">
      <c r="A6" s="372" t="s">
        <v>294</v>
      </c>
      <c r="B6" s="373"/>
      <c r="C6" s="371"/>
      <c r="D6" s="371"/>
      <c r="E6" s="371"/>
    </row>
    <row r="7" spans="1:5">
      <c r="A7" s="375" t="s">
        <v>295</v>
      </c>
      <c r="B7" s="374">
        <v>5428400</v>
      </c>
      <c r="C7" s="371"/>
      <c r="D7" s="371"/>
      <c r="E7" s="371"/>
    </row>
    <row r="8" spans="1:5">
      <c r="A8" s="372" t="s">
        <v>296</v>
      </c>
      <c r="B8" s="373"/>
      <c r="C8" s="371"/>
      <c r="D8" s="371" t="s">
        <v>297</v>
      </c>
      <c r="E8" s="371"/>
    </row>
    <row r="9" spans="1:5">
      <c r="A9" s="375" t="s">
        <v>298</v>
      </c>
      <c r="B9" s="376">
        <f>10622*'[1]Staff &amp; Student Ratios'!D9</f>
        <v>49827802</v>
      </c>
      <c r="C9" s="371"/>
      <c r="D9" s="371">
        <f>10622*4637.42</f>
        <v>49258675.240000002</v>
      </c>
      <c r="E9" s="371"/>
    </row>
    <row r="10" spans="1:5">
      <c r="A10" s="372" t="s">
        <v>299</v>
      </c>
    </row>
    <row r="11" spans="1:5">
      <c r="A11" s="375" t="s">
        <v>300</v>
      </c>
      <c r="C11" s="371">
        <v>682193</v>
      </c>
    </row>
    <row r="12" spans="1:5">
      <c r="A12" s="375" t="s">
        <v>155</v>
      </c>
      <c r="C12" s="371">
        <v>474569</v>
      </c>
    </row>
    <row r="13" spans="1:5">
      <c r="A13" s="377" t="s">
        <v>301</v>
      </c>
      <c r="B13" s="378"/>
      <c r="C13" s="379">
        <v>133331</v>
      </c>
    </row>
    <row r="14" spans="1:5">
      <c r="A14" s="375" t="s">
        <v>91</v>
      </c>
      <c r="B14" s="376">
        <f>SUM(B3:B13)</f>
        <v>59233467</v>
      </c>
      <c r="C14" s="380">
        <f>SUM(C11:C13)</f>
        <v>1290093</v>
      </c>
    </row>
    <row r="18" spans="1:7">
      <c r="A18" s="372" t="s">
        <v>302</v>
      </c>
    </row>
    <row r="19" spans="1:7">
      <c r="A19" s="375" t="s">
        <v>303</v>
      </c>
      <c r="C19" s="371">
        <v>4299132</v>
      </c>
    </row>
    <row r="20" spans="1:7" ht="13.5" thickBot="1">
      <c r="A20" s="381" t="s">
        <v>304</v>
      </c>
      <c r="B20" s="378"/>
      <c r="C20" s="382">
        <v>21884.374147804745</v>
      </c>
    </row>
    <row r="21" spans="1:7" ht="13.5" thickTop="1">
      <c r="A21" s="375" t="s">
        <v>91</v>
      </c>
      <c r="C21" s="380">
        <f>C20+C19</f>
        <v>4321016.3741478045</v>
      </c>
    </row>
    <row r="22" spans="1:7">
      <c r="A22" s="383"/>
      <c r="B22" s="378"/>
      <c r="C22" s="105"/>
      <c r="D22" s="105"/>
      <c r="E22" s="105"/>
    </row>
    <row r="24" spans="1:7" ht="25.5">
      <c r="B24" s="384" t="s">
        <v>1</v>
      </c>
      <c r="C24" s="384" t="s">
        <v>305</v>
      </c>
      <c r="D24" s="385" t="s">
        <v>306</v>
      </c>
      <c r="E24" s="385" t="s">
        <v>307</v>
      </c>
    </row>
    <row r="25" spans="1:7" ht="25.5">
      <c r="A25" s="372" t="s">
        <v>308</v>
      </c>
      <c r="B25" s="373">
        <v>10691</v>
      </c>
      <c r="C25" s="371">
        <v>10691</v>
      </c>
      <c r="D25" s="371">
        <v>10622</v>
      </c>
      <c r="E25" s="371">
        <v>10622</v>
      </c>
    </row>
    <row r="26" spans="1:7">
      <c r="B26" s="373"/>
      <c r="C26" s="371"/>
    </row>
    <row r="27" spans="1:7" ht="25.5">
      <c r="A27" s="375" t="s">
        <v>309</v>
      </c>
      <c r="B27" s="386">
        <v>4933.4449536993734</v>
      </c>
      <c r="C27" s="387">
        <v>4819.01</v>
      </c>
      <c r="D27" s="388">
        <v>4790.59</v>
      </c>
      <c r="E27" s="389">
        <v>4745</v>
      </c>
    </row>
    <row r="28" spans="1:7">
      <c r="B28" s="373"/>
      <c r="C28" s="371"/>
    </row>
    <row r="29" spans="1:7">
      <c r="A29" s="375" t="s">
        <v>310</v>
      </c>
      <c r="B29" s="399">
        <f>+B25*B27</f>
        <v>52743460</v>
      </c>
      <c r="C29" s="379">
        <f>+C25*C27</f>
        <v>51520035.910000004</v>
      </c>
      <c r="D29" s="379">
        <f>+D25*D27</f>
        <v>50885646.980000004</v>
      </c>
      <c r="E29" s="379">
        <f>+E25*E27</f>
        <v>50401390</v>
      </c>
    </row>
    <row r="30" spans="1:7">
      <c r="B30" s="373"/>
      <c r="C30" s="371"/>
    </row>
    <row r="31" spans="1:7" s="397" customFormat="1" ht="25.5">
      <c r="A31" s="394" t="s">
        <v>315</v>
      </c>
      <c r="B31" s="395"/>
      <c r="C31" s="396">
        <f>+C29-$B$29</f>
        <v>-1223424.0899999961</v>
      </c>
      <c r="D31" s="396">
        <f t="shared" ref="D31:E31" si="0">+D29-$B$29</f>
        <v>-1857813.0199999958</v>
      </c>
      <c r="E31" s="396">
        <f t="shared" si="0"/>
        <v>-2342070</v>
      </c>
      <c r="G31" s="398"/>
    </row>
    <row r="32" spans="1:7" ht="51">
      <c r="B32" s="390" t="s">
        <v>311</v>
      </c>
      <c r="C32" s="391" t="s">
        <v>312</v>
      </c>
      <c r="D32" s="392" t="s">
        <v>313</v>
      </c>
      <c r="E32" s="393" t="s">
        <v>314</v>
      </c>
    </row>
  </sheetData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14125-B58F-4C70-ADAA-4EFC18FFCE37}">
  <sheetPr>
    <tabColor rgb="FFFFFF00"/>
  </sheetPr>
  <dimension ref="A1:AA103"/>
  <sheetViews>
    <sheetView zoomScale="140" zoomScaleNormal="140" workbookViewId="0">
      <pane xSplit="1" ySplit="4" topLeftCell="B61" activePane="bottomRight" state="frozen"/>
      <selection pane="topRight" activeCell="B1" sqref="B1"/>
      <selection pane="bottomLeft" activeCell="A5" sqref="A5"/>
      <selection pane="bottomRight" activeCell="F72" sqref="F72"/>
    </sheetView>
  </sheetViews>
  <sheetFormatPr defaultRowHeight="12.75"/>
  <cols>
    <col min="1" max="1" width="25.28515625" customWidth="1"/>
    <col min="2" max="3" width="13.85546875" customWidth="1"/>
    <col min="4" max="4" width="11.42578125" customWidth="1"/>
    <col min="5" max="5" width="1.7109375" customWidth="1"/>
    <col min="257" max="257" width="25.28515625" customWidth="1"/>
    <col min="258" max="260" width="11.42578125" customWidth="1"/>
    <col min="513" max="513" width="25.28515625" customWidth="1"/>
    <col min="514" max="516" width="11.42578125" customWidth="1"/>
    <col min="769" max="769" width="25.28515625" customWidth="1"/>
    <col min="770" max="772" width="11.42578125" customWidth="1"/>
    <col min="1025" max="1025" width="25.28515625" customWidth="1"/>
    <col min="1026" max="1028" width="11.42578125" customWidth="1"/>
    <col min="1281" max="1281" width="25.28515625" customWidth="1"/>
    <col min="1282" max="1284" width="11.42578125" customWidth="1"/>
    <col min="1537" max="1537" width="25.28515625" customWidth="1"/>
    <col min="1538" max="1540" width="11.42578125" customWidth="1"/>
    <col min="1793" max="1793" width="25.28515625" customWidth="1"/>
    <col min="1794" max="1796" width="11.42578125" customWidth="1"/>
    <col min="2049" max="2049" width="25.28515625" customWidth="1"/>
    <col min="2050" max="2052" width="11.42578125" customWidth="1"/>
    <col min="2305" max="2305" width="25.28515625" customWidth="1"/>
    <col min="2306" max="2308" width="11.42578125" customWidth="1"/>
    <col min="2561" max="2561" width="25.28515625" customWidth="1"/>
    <col min="2562" max="2564" width="11.42578125" customWidth="1"/>
    <col min="2817" max="2817" width="25.28515625" customWidth="1"/>
    <col min="2818" max="2820" width="11.42578125" customWidth="1"/>
    <col min="3073" max="3073" width="25.28515625" customWidth="1"/>
    <col min="3074" max="3076" width="11.42578125" customWidth="1"/>
    <col min="3329" max="3329" width="25.28515625" customWidth="1"/>
    <col min="3330" max="3332" width="11.42578125" customWidth="1"/>
    <col min="3585" max="3585" width="25.28515625" customWidth="1"/>
    <col min="3586" max="3588" width="11.42578125" customWidth="1"/>
    <col min="3841" max="3841" width="25.28515625" customWidth="1"/>
    <col min="3842" max="3844" width="11.42578125" customWidth="1"/>
    <col min="4097" max="4097" width="25.28515625" customWidth="1"/>
    <col min="4098" max="4100" width="11.42578125" customWidth="1"/>
    <col min="4353" max="4353" width="25.28515625" customWidth="1"/>
    <col min="4354" max="4356" width="11.42578125" customWidth="1"/>
    <col min="4609" max="4609" width="25.28515625" customWidth="1"/>
    <col min="4610" max="4612" width="11.42578125" customWidth="1"/>
    <col min="4865" max="4865" width="25.28515625" customWidth="1"/>
    <col min="4866" max="4868" width="11.42578125" customWidth="1"/>
    <col min="5121" max="5121" width="25.28515625" customWidth="1"/>
    <col min="5122" max="5124" width="11.42578125" customWidth="1"/>
    <col min="5377" max="5377" width="25.28515625" customWidth="1"/>
    <col min="5378" max="5380" width="11.42578125" customWidth="1"/>
    <col min="5633" max="5633" width="25.28515625" customWidth="1"/>
    <col min="5634" max="5636" width="11.42578125" customWidth="1"/>
    <col min="5889" max="5889" width="25.28515625" customWidth="1"/>
    <col min="5890" max="5892" width="11.42578125" customWidth="1"/>
    <col min="6145" max="6145" width="25.28515625" customWidth="1"/>
    <col min="6146" max="6148" width="11.42578125" customWidth="1"/>
    <col min="6401" max="6401" width="25.28515625" customWidth="1"/>
    <col min="6402" max="6404" width="11.42578125" customWidth="1"/>
    <col min="6657" max="6657" width="25.28515625" customWidth="1"/>
    <col min="6658" max="6660" width="11.42578125" customWidth="1"/>
    <col min="6913" max="6913" width="25.28515625" customWidth="1"/>
    <col min="6914" max="6916" width="11.42578125" customWidth="1"/>
    <col min="7169" max="7169" width="25.28515625" customWidth="1"/>
    <col min="7170" max="7172" width="11.42578125" customWidth="1"/>
    <col min="7425" max="7425" width="25.28515625" customWidth="1"/>
    <col min="7426" max="7428" width="11.42578125" customWidth="1"/>
    <col min="7681" max="7681" width="25.28515625" customWidth="1"/>
    <col min="7682" max="7684" width="11.42578125" customWidth="1"/>
    <col min="7937" max="7937" width="25.28515625" customWidth="1"/>
    <col min="7938" max="7940" width="11.42578125" customWidth="1"/>
    <col min="8193" max="8193" width="25.28515625" customWidth="1"/>
    <col min="8194" max="8196" width="11.42578125" customWidth="1"/>
    <col min="8449" max="8449" width="25.28515625" customWidth="1"/>
    <col min="8450" max="8452" width="11.42578125" customWidth="1"/>
    <col min="8705" max="8705" width="25.28515625" customWidth="1"/>
    <col min="8706" max="8708" width="11.42578125" customWidth="1"/>
    <col min="8961" max="8961" width="25.28515625" customWidth="1"/>
    <col min="8962" max="8964" width="11.42578125" customWidth="1"/>
    <col min="9217" max="9217" width="25.28515625" customWidth="1"/>
    <col min="9218" max="9220" width="11.42578125" customWidth="1"/>
    <col min="9473" max="9473" width="25.28515625" customWidth="1"/>
    <col min="9474" max="9476" width="11.42578125" customWidth="1"/>
    <col min="9729" max="9729" width="25.28515625" customWidth="1"/>
    <col min="9730" max="9732" width="11.42578125" customWidth="1"/>
    <col min="9985" max="9985" width="25.28515625" customWidth="1"/>
    <col min="9986" max="9988" width="11.42578125" customWidth="1"/>
    <col min="10241" max="10241" width="25.28515625" customWidth="1"/>
    <col min="10242" max="10244" width="11.42578125" customWidth="1"/>
    <col min="10497" max="10497" width="25.28515625" customWidth="1"/>
    <col min="10498" max="10500" width="11.42578125" customWidth="1"/>
    <col min="10753" max="10753" width="25.28515625" customWidth="1"/>
    <col min="10754" max="10756" width="11.42578125" customWidth="1"/>
    <col min="11009" max="11009" width="25.28515625" customWidth="1"/>
    <col min="11010" max="11012" width="11.42578125" customWidth="1"/>
    <col min="11265" max="11265" width="25.28515625" customWidth="1"/>
    <col min="11266" max="11268" width="11.42578125" customWidth="1"/>
    <col min="11521" max="11521" width="25.28515625" customWidth="1"/>
    <col min="11522" max="11524" width="11.42578125" customWidth="1"/>
    <col min="11777" max="11777" width="25.28515625" customWidth="1"/>
    <col min="11778" max="11780" width="11.42578125" customWidth="1"/>
    <col min="12033" max="12033" width="25.28515625" customWidth="1"/>
    <col min="12034" max="12036" width="11.42578125" customWidth="1"/>
    <col min="12289" max="12289" width="25.28515625" customWidth="1"/>
    <col min="12290" max="12292" width="11.42578125" customWidth="1"/>
    <col min="12545" max="12545" width="25.28515625" customWidth="1"/>
    <col min="12546" max="12548" width="11.42578125" customWidth="1"/>
    <col min="12801" max="12801" width="25.28515625" customWidth="1"/>
    <col min="12802" max="12804" width="11.42578125" customWidth="1"/>
    <col min="13057" max="13057" width="25.28515625" customWidth="1"/>
    <col min="13058" max="13060" width="11.42578125" customWidth="1"/>
    <col min="13313" max="13313" width="25.28515625" customWidth="1"/>
    <col min="13314" max="13316" width="11.42578125" customWidth="1"/>
    <col min="13569" max="13569" width="25.28515625" customWidth="1"/>
    <col min="13570" max="13572" width="11.42578125" customWidth="1"/>
    <col min="13825" max="13825" width="25.28515625" customWidth="1"/>
    <col min="13826" max="13828" width="11.42578125" customWidth="1"/>
    <col min="14081" max="14081" width="25.28515625" customWidth="1"/>
    <col min="14082" max="14084" width="11.42578125" customWidth="1"/>
    <col min="14337" max="14337" width="25.28515625" customWidth="1"/>
    <col min="14338" max="14340" width="11.42578125" customWidth="1"/>
    <col min="14593" max="14593" width="25.28515625" customWidth="1"/>
    <col min="14594" max="14596" width="11.42578125" customWidth="1"/>
    <col min="14849" max="14849" width="25.28515625" customWidth="1"/>
    <col min="14850" max="14852" width="11.42578125" customWidth="1"/>
    <col min="15105" max="15105" width="25.28515625" customWidth="1"/>
    <col min="15106" max="15108" width="11.42578125" customWidth="1"/>
    <col min="15361" max="15361" width="25.28515625" customWidth="1"/>
    <col min="15362" max="15364" width="11.42578125" customWidth="1"/>
    <col min="15617" max="15617" width="25.28515625" customWidth="1"/>
    <col min="15618" max="15620" width="11.42578125" customWidth="1"/>
    <col min="15873" max="15873" width="25.28515625" customWidth="1"/>
    <col min="15874" max="15876" width="11.42578125" customWidth="1"/>
    <col min="16129" max="16129" width="25.28515625" customWidth="1"/>
    <col min="16130" max="16132" width="11.42578125" customWidth="1"/>
  </cols>
  <sheetData>
    <row r="1" spans="1:27">
      <c r="A1" s="400" t="s">
        <v>316</v>
      </c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01"/>
      <c r="W1" s="401"/>
      <c r="X1" s="401"/>
      <c r="Y1" s="401"/>
      <c r="Z1" s="401"/>
      <c r="AA1" s="401"/>
    </row>
    <row r="2" spans="1:27" ht="12" customHeight="1">
      <c r="A2" s="402" t="s">
        <v>317</v>
      </c>
      <c r="B2" s="403" t="s">
        <v>108</v>
      </c>
      <c r="C2" s="402" t="s">
        <v>108</v>
      </c>
      <c r="D2" s="403" t="s">
        <v>318</v>
      </c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401"/>
      <c r="U2" s="401"/>
      <c r="V2" s="401"/>
      <c r="W2" s="401"/>
      <c r="X2" s="401"/>
      <c r="Y2" s="401"/>
      <c r="Z2" s="401"/>
      <c r="AA2" s="401"/>
    </row>
    <row r="3" spans="1:27" ht="12" customHeight="1">
      <c r="B3" s="403" t="s">
        <v>319</v>
      </c>
      <c r="C3" s="402" t="s">
        <v>320</v>
      </c>
      <c r="D3" s="403" t="s">
        <v>321</v>
      </c>
      <c r="E3" s="401"/>
      <c r="F3" s="401" t="s">
        <v>322</v>
      </c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401"/>
      <c r="R3" s="401"/>
      <c r="S3" s="401"/>
      <c r="T3" s="401"/>
      <c r="U3" s="401"/>
      <c r="V3" s="401"/>
      <c r="W3" s="401"/>
      <c r="X3" s="401"/>
      <c r="Y3" s="401"/>
      <c r="Z3" s="401"/>
      <c r="AA3" s="401"/>
    </row>
    <row r="4" spans="1:27" ht="12" customHeight="1">
      <c r="A4" s="404"/>
      <c r="B4" s="405" t="s">
        <v>323</v>
      </c>
      <c r="C4" s="406" t="s">
        <v>323</v>
      </c>
      <c r="D4" s="405" t="s">
        <v>324</v>
      </c>
      <c r="E4" s="407"/>
      <c r="F4" s="407"/>
      <c r="G4" s="407"/>
      <c r="H4" s="407"/>
      <c r="I4" s="407"/>
      <c r="J4" s="401"/>
      <c r="K4" s="401"/>
      <c r="L4" s="401"/>
      <c r="M4" s="401"/>
      <c r="N4" s="401"/>
      <c r="O4" s="401"/>
      <c r="P4" s="401"/>
      <c r="Q4" s="401"/>
      <c r="R4" s="401"/>
      <c r="S4" s="401"/>
      <c r="T4" s="401"/>
      <c r="U4" s="401"/>
      <c r="V4" s="401"/>
      <c r="W4" s="401"/>
      <c r="X4" s="401"/>
      <c r="Y4" s="401"/>
      <c r="Z4" s="401"/>
      <c r="AA4" s="401"/>
    </row>
    <row r="5" spans="1:27" ht="12" customHeight="1">
      <c r="A5" s="404" t="s">
        <v>325</v>
      </c>
      <c r="B5" s="408">
        <v>48527481</v>
      </c>
      <c r="C5" s="409">
        <v>49583843</v>
      </c>
      <c r="D5" s="410">
        <f>SUM(C5-B5)</f>
        <v>1056362</v>
      </c>
      <c r="E5" s="401" t="s">
        <v>326</v>
      </c>
      <c r="F5" s="401" t="s">
        <v>327</v>
      </c>
      <c r="G5" s="401"/>
      <c r="H5" s="411"/>
      <c r="I5" s="401"/>
      <c r="J5" s="401"/>
      <c r="K5" s="401"/>
      <c r="L5" s="411"/>
      <c r="M5" s="401"/>
      <c r="N5" s="401"/>
      <c r="O5" s="401"/>
      <c r="P5" s="401"/>
      <c r="Q5" s="401"/>
      <c r="R5" s="401"/>
      <c r="S5" s="401"/>
      <c r="T5" s="401"/>
      <c r="U5" s="401"/>
      <c r="V5" s="401"/>
      <c r="W5" s="401"/>
      <c r="X5" s="401"/>
      <c r="Y5" s="401"/>
      <c r="Z5" s="401"/>
      <c r="AA5" s="401"/>
    </row>
    <row r="6" spans="1:27" ht="12" customHeight="1">
      <c r="A6" s="404"/>
      <c r="B6" s="412"/>
      <c r="C6" s="413"/>
      <c r="D6" s="410"/>
      <c r="E6" s="401" t="s">
        <v>326</v>
      </c>
      <c r="F6" s="401" t="s">
        <v>328</v>
      </c>
      <c r="G6" s="401"/>
      <c r="H6" s="411"/>
      <c r="I6" s="401"/>
      <c r="J6" s="401"/>
      <c r="K6" s="401"/>
      <c r="L6" s="411"/>
      <c r="M6" s="401"/>
      <c r="N6" s="401"/>
      <c r="O6" s="401"/>
      <c r="P6" s="401"/>
      <c r="Q6" s="401"/>
      <c r="R6" s="401"/>
      <c r="S6" s="401"/>
      <c r="T6" s="401"/>
      <c r="U6" s="401"/>
      <c r="V6" s="401"/>
      <c r="W6" s="401"/>
      <c r="X6" s="401"/>
      <c r="Y6" s="401"/>
      <c r="Z6" s="401"/>
      <c r="AA6" s="401"/>
    </row>
    <row r="7" spans="1:27" ht="12" customHeight="1">
      <c r="A7" s="404"/>
      <c r="B7" s="412"/>
      <c r="C7" s="413"/>
      <c r="D7" s="410"/>
      <c r="E7" s="401" t="s">
        <v>326</v>
      </c>
      <c r="F7" s="401" t="s">
        <v>329</v>
      </c>
      <c r="H7" s="401"/>
      <c r="I7" s="401"/>
      <c r="J7" s="401"/>
      <c r="K7" s="401"/>
      <c r="L7" s="411"/>
      <c r="M7" s="401"/>
      <c r="N7" s="401"/>
      <c r="O7" s="401"/>
      <c r="P7" s="401"/>
      <c r="Q7" s="401"/>
      <c r="R7" s="401"/>
      <c r="S7" s="401"/>
      <c r="T7" s="401"/>
      <c r="U7" s="401"/>
      <c r="V7" s="401"/>
      <c r="W7" s="401"/>
      <c r="X7" s="401"/>
      <c r="Y7" s="401"/>
      <c r="Z7" s="401"/>
      <c r="AA7" s="401"/>
    </row>
    <row r="8" spans="1:27" ht="12" customHeight="1">
      <c r="A8" s="404"/>
      <c r="B8" s="412"/>
      <c r="C8" s="413"/>
      <c r="D8" s="410"/>
      <c r="E8" s="401"/>
      <c r="F8" s="401"/>
      <c r="H8" s="401"/>
      <c r="I8" s="401"/>
      <c r="J8" s="401"/>
      <c r="K8" s="401"/>
      <c r="L8" s="41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401"/>
      <c r="Z8" s="401"/>
      <c r="AA8" s="401"/>
    </row>
    <row r="9" spans="1:27" ht="12" customHeight="1">
      <c r="A9" s="401"/>
      <c r="B9" s="412"/>
      <c r="C9" s="413"/>
      <c r="D9" s="410"/>
      <c r="E9" s="401"/>
      <c r="F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401"/>
      <c r="Z9" s="401"/>
      <c r="AA9" s="401"/>
    </row>
    <row r="10" spans="1:27" ht="12" customHeight="1">
      <c r="A10" s="401"/>
      <c r="B10" s="412"/>
      <c r="C10" s="413"/>
      <c r="D10" s="410"/>
      <c r="E10" s="401"/>
      <c r="F10" s="401"/>
      <c r="N10" s="401"/>
      <c r="O10" s="401"/>
      <c r="P10" s="401"/>
      <c r="Q10" s="401"/>
      <c r="R10" s="401"/>
      <c r="S10" s="401"/>
      <c r="T10" s="401"/>
      <c r="U10" s="401"/>
      <c r="V10" s="401"/>
      <c r="W10" s="401"/>
      <c r="X10" s="401"/>
      <c r="Y10" s="401"/>
      <c r="Z10" s="401"/>
      <c r="AA10" s="401"/>
    </row>
    <row r="11" spans="1:27" ht="12" customHeight="1">
      <c r="A11" s="401"/>
      <c r="B11" s="412"/>
      <c r="C11" s="413"/>
      <c r="D11" s="410"/>
      <c r="E11" s="401"/>
      <c r="F11" s="401"/>
      <c r="N11" s="401"/>
      <c r="O11" s="401"/>
      <c r="P11" s="401"/>
      <c r="Q11" s="401"/>
      <c r="R11" s="401"/>
      <c r="S11" s="401"/>
      <c r="T11" s="401"/>
      <c r="U11" s="401"/>
      <c r="V11" s="401"/>
      <c r="W11" s="401"/>
      <c r="X11" s="401"/>
      <c r="Y11" s="401"/>
      <c r="Z11" s="401"/>
      <c r="AA11" s="401"/>
    </row>
    <row r="12" spans="1:27" ht="12" customHeight="1">
      <c r="A12" s="401"/>
      <c r="B12" s="412"/>
      <c r="C12" s="413"/>
      <c r="D12" s="410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  <c r="Q12" s="401"/>
      <c r="R12" s="401"/>
      <c r="S12" s="401"/>
      <c r="T12" s="401"/>
      <c r="U12" s="401"/>
      <c r="V12" s="401"/>
      <c r="W12" s="401"/>
      <c r="X12" s="401"/>
      <c r="Y12" s="401"/>
      <c r="Z12" s="401"/>
      <c r="AA12" s="401"/>
    </row>
    <row r="13" spans="1:27" ht="12" customHeight="1">
      <c r="A13" s="404" t="s">
        <v>330</v>
      </c>
      <c r="B13" s="412"/>
      <c r="C13" s="413"/>
      <c r="D13" s="410"/>
      <c r="E13" s="401"/>
      <c r="F13" s="401"/>
      <c r="G13" s="401"/>
      <c r="H13" s="401"/>
      <c r="I13" s="401"/>
      <c r="J13" s="401"/>
      <c r="K13" s="401"/>
      <c r="L13" s="401"/>
      <c r="M13" s="401"/>
      <c r="N13" s="401"/>
      <c r="O13" s="401"/>
      <c r="P13" s="401"/>
      <c r="Q13" s="401"/>
      <c r="R13" s="401"/>
      <c r="S13" s="401"/>
      <c r="T13" s="401"/>
      <c r="U13" s="401"/>
      <c r="V13" s="401"/>
      <c r="W13" s="401"/>
      <c r="X13" s="401"/>
      <c r="Y13" s="401"/>
      <c r="Z13" s="401"/>
      <c r="AA13" s="401"/>
    </row>
    <row r="14" spans="1:27" ht="12" customHeight="1">
      <c r="A14" s="401" t="s">
        <v>331</v>
      </c>
      <c r="B14" s="412">
        <v>0</v>
      </c>
      <c r="C14" s="413">
        <v>0</v>
      </c>
      <c r="D14" s="410">
        <f t="shared" ref="D14:D21" si="0">SUM(C14-B14)</f>
        <v>0</v>
      </c>
      <c r="E14" s="401"/>
      <c r="F14" s="401"/>
      <c r="G14" s="401"/>
      <c r="H14" s="401"/>
      <c r="I14" s="401"/>
      <c r="J14" s="401"/>
      <c r="K14" s="401"/>
      <c r="L14" s="401"/>
      <c r="M14" s="401"/>
      <c r="N14" s="401"/>
      <c r="O14" s="401"/>
      <c r="P14" s="401"/>
      <c r="Q14" s="401"/>
      <c r="R14" s="401"/>
      <c r="S14" s="401"/>
      <c r="T14" s="401"/>
      <c r="U14" s="401"/>
      <c r="V14" s="401"/>
      <c r="W14" s="401"/>
      <c r="X14" s="401"/>
      <c r="Y14" s="401"/>
      <c r="Z14" s="401"/>
      <c r="AA14" s="401"/>
    </row>
    <row r="15" spans="1:27" ht="12" customHeight="1">
      <c r="A15" s="401" t="s">
        <v>332</v>
      </c>
      <c r="B15" s="412">
        <v>20850</v>
      </c>
      <c r="C15" s="413">
        <v>20850</v>
      </c>
      <c r="D15" s="410">
        <v>0</v>
      </c>
      <c r="F15" s="401"/>
      <c r="G15" s="401"/>
      <c r="H15" s="401"/>
      <c r="I15" s="401"/>
      <c r="J15" s="401"/>
      <c r="K15" s="401"/>
      <c r="L15" s="401"/>
      <c r="M15" s="401"/>
      <c r="N15" s="401"/>
      <c r="O15" s="401"/>
      <c r="P15" s="401"/>
      <c r="Q15" s="401"/>
      <c r="R15" s="401"/>
      <c r="S15" s="401"/>
      <c r="T15" s="401"/>
      <c r="U15" s="401"/>
      <c r="V15" s="401"/>
      <c r="W15" s="401"/>
      <c r="X15" s="401"/>
      <c r="Y15" s="401"/>
      <c r="Z15" s="401"/>
      <c r="AA15" s="401"/>
    </row>
    <row r="16" spans="1:27" ht="12" customHeight="1">
      <c r="A16" s="414" t="s">
        <v>333</v>
      </c>
      <c r="B16" s="412">
        <v>0</v>
      </c>
      <c r="C16" s="413">
        <v>0</v>
      </c>
      <c r="D16" s="410">
        <f t="shared" si="0"/>
        <v>0</v>
      </c>
      <c r="F16" s="108"/>
      <c r="G16" s="401"/>
      <c r="H16" s="401"/>
      <c r="I16" s="401"/>
      <c r="J16" s="401"/>
      <c r="K16" s="401"/>
      <c r="L16" s="411"/>
      <c r="M16" s="401"/>
      <c r="N16" s="401"/>
      <c r="O16" s="401"/>
      <c r="P16" s="401"/>
      <c r="Q16" s="401"/>
      <c r="R16" s="401"/>
      <c r="S16" s="401"/>
      <c r="T16" s="401"/>
      <c r="U16" s="401"/>
      <c r="V16" s="401"/>
      <c r="W16" s="401"/>
      <c r="X16" s="401"/>
      <c r="Y16" s="401"/>
      <c r="Z16" s="401"/>
      <c r="AA16" s="401"/>
    </row>
    <row r="17" spans="1:27" ht="12" customHeight="1">
      <c r="A17" s="414" t="s">
        <v>334</v>
      </c>
      <c r="B17" s="412">
        <v>10000</v>
      </c>
      <c r="C17" s="413">
        <v>10000</v>
      </c>
      <c r="D17" s="410">
        <f t="shared" si="0"/>
        <v>0</v>
      </c>
      <c r="E17" s="401"/>
      <c r="F17" s="108"/>
      <c r="L17" s="411"/>
      <c r="M17" s="401"/>
      <c r="N17" s="401"/>
      <c r="O17" s="401"/>
      <c r="P17" s="401"/>
      <c r="Q17" s="401"/>
      <c r="R17" s="401"/>
      <c r="S17" s="401"/>
      <c r="T17" s="401"/>
      <c r="U17" s="401"/>
      <c r="V17" s="401"/>
      <c r="W17" s="401"/>
      <c r="X17" s="401"/>
      <c r="Y17" s="401"/>
      <c r="Z17" s="401"/>
      <c r="AA17" s="401"/>
    </row>
    <row r="18" spans="1:27" ht="12" customHeight="1">
      <c r="A18" s="414" t="s">
        <v>335</v>
      </c>
      <c r="B18" s="412">
        <v>12000</v>
      </c>
      <c r="C18" s="413">
        <v>12000</v>
      </c>
      <c r="D18" s="410">
        <f t="shared" si="0"/>
        <v>0</v>
      </c>
      <c r="E18" s="415"/>
      <c r="F18" s="108"/>
      <c r="G18" s="415"/>
      <c r="H18" s="415"/>
      <c r="I18" s="401"/>
      <c r="J18" s="401"/>
      <c r="K18" s="401"/>
      <c r="L18" s="411"/>
      <c r="M18" s="401"/>
      <c r="N18" s="401"/>
      <c r="O18" s="401"/>
      <c r="P18" s="401"/>
      <c r="Q18" s="401"/>
      <c r="R18" s="401"/>
      <c r="S18" s="401"/>
      <c r="T18" s="401"/>
      <c r="U18" s="401"/>
      <c r="V18" s="401"/>
      <c r="W18" s="401"/>
      <c r="X18" s="401"/>
      <c r="Y18" s="401"/>
      <c r="Z18" s="401"/>
      <c r="AA18" s="401"/>
    </row>
    <row r="19" spans="1:27" ht="12" customHeight="1">
      <c r="A19" s="401" t="s">
        <v>336</v>
      </c>
      <c r="B19" s="412">
        <v>240000</v>
      </c>
      <c r="C19" s="413">
        <v>240000</v>
      </c>
      <c r="D19" s="410">
        <f t="shared" si="0"/>
        <v>0</v>
      </c>
      <c r="E19" s="401"/>
      <c r="F19" s="401"/>
      <c r="G19" s="401"/>
      <c r="H19" s="401"/>
      <c r="I19" s="401"/>
      <c r="J19" s="401"/>
      <c r="K19" s="401"/>
      <c r="L19" s="411"/>
      <c r="M19" s="401"/>
      <c r="N19" s="401"/>
      <c r="O19" s="401"/>
      <c r="P19" s="401"/>
      <c r="Q19" s="401"/>
      <c r="R19" s="401"/>
      <c r="S19" s="401"/>
      <c r="T19" s="401"/>
      <c r="U19" s="401"/>
      <c r="V19" s="401"/>
      <c r="W19" s="401"/>
      <c r="X19" s="401"/>
      <c r="Y19" s="401"/>
      <c r="Z19" s="401"/>
      <c r="AA19" s="401"/>
    </row>
    <row r="20" spans="1:27" ht="12" customHeight="1">
      <c r="A20" s="414" t="s">
        <v>337</v>
      </c>
      <c r="B20" s="412">
        <v>5800</v>
      </c>
      <c r="C20" s="413">
        <v>5800</v>
      </c>
      <c r="D20" s="410">
        <f t="shared" si="0"/>
        <v>0</v>
      </c>
      <c r="E20" s="401"/>
      <c r="F20" s="401"/>
      <c r="G20" s="401"/>
      <c r="H20" s="401"/>
      <c r="I20" s="401"/>
      <c r="J20" s="401"/>
      <c r="K20" s="401"/>
      <c r="L20" s="411"/>
      <c r="M20" s="401"/>
      <c r="N20" s="401"/>
      <c r="O20" s="401"/>
      <c r="P20" s="401"/>
      <c r="Q20" s="401"/>
      <c r="R20" s="401"/>
      <c r="S20" s="401"/>
      <c r="T20" s="401"/>
      <c r="U20" s="401"/>
      <c r="V20" s="401"/>
      <c r="W20" s="401"/>
      <c r="X20" s="401"/>
      <c r="Y20" s="401"/>
      <c r="Z20" s="401"/>
      <c r="AA20" s="401"/>
    </row>
    <row r="21" spans="1:27" ht="12" customHeight="1">
      <c r="A21" s="401" t="s">
        <v>338</v>
      </c>
      <c r="B21" s="412">
        <v>0</v>
      </c>
      <c r="C21" s="413">
        <v>0</v>
      </c>
      <c r="D21" s="410">
        <f t="shared" si="0"/>
        <v>0</v>
      </c>
      <c r="E21" s="401"/>
      <c r="F21" s="401"/>
      <c r="G21" s="401"/>
      <c r="H21" s="401"/>
      <c r="I21" s="401"/>
      <c r="J21" s="401"/>
      <c r="K21" s="401"/>
      <c r="L21" s="401"/>
      <c r="M21" s="401"/>
      <c r="N21" s="401"/>
      <c r="O21" s="401"/>
      <c r="P21" s="401"/>
      <c r="Q21" s="401"/>
      <c r="R21" s="401"/>
      <c r="S21" s="401"/>
      <c r="T21" s="401"/>
      <c r="U21" s="401"/>
      <c r="V21" s="401"/>
      <c r="W21" s="401"/>
      <c r="X21" s="401"/>
      <c r="Y21" s="401"/>
      <c r="Z21" s="401"/>
      <c r="AA21" s="401"/>
    </row>
    <row r="22" spans="1:27" ht="12" customHeight="1">
      <c r="A22" s="401" t="s">
        <v>339</v>
      </c>
      <c r="B22" s="412">
        <v>11003</v>
      </c>
      <c r="C22" s="413">
        <v>10503</v>
      </c>
      <c r="D22" s="410">
        <f>SUM(C22-B22)</f>
        <v>-500</v>
      </c>
      <c r="E22" s="401"/>
      <c r="F22" s="401"/>
      <c r="G22" s="401"/>
      <c r="H22" s="401"/>
      <c r="I22" s="401"/>
      <c r="J22" s="401"/>
      <c r="K22" s="401"/>
      <c r="L22" s="401"/>
      <c r="M22" s="401"/>
      <c r="N22" s="401"/>
      <c r="O22" s="401"/>
      <c r="P22" s="401"/>
      <c r="Q22" s="401"/>
      <c r="R22" s="401"/>
      <c r="S22" s="401"/>
      <c r="T22" s="401"/>
      <c r="U22" s="401"/>
      <c r="V22" s="401"/>
      <c r="W22" s="401"/>
      <c r="X22" s="401"/>
      <c r="Y22" s="401"/>
      <c r="Z22" s="401"/>
      <c r="AA22" s="401"/>
    </row>
    <row r="23" spans="1:27" ht="12" customHeight="1">
      <c r="A23" s="401" t="s">
        <v>340</v>
      </c>
      <c r="B23" s="412">
        <v>700000</v>
      </c>
      <c r="C23" s="413">
        <v>500000</v>
      </c>
      <c r="D23" s="410">
        <f t="shared" ref="D23:D46" si="1">SUM(C23-B23)</f>
        <v>-200000</v>
      </c>
      <c r="E23" s="401"/>
      <c r="F23" s="401"/>
      <c r="G23" s="401"/>
      <c r="H23" s="401"/>
      <c r="I23" s="401"/>
      <c r="J23" s="401"/>
      <c r="K23" s="401"/>
      <c r="L23" s="401"/>
      <c r="M23" s="401"/>
      <c r="N23" s="401"/>
      <c r="O23" s="401"/>
      <c r="P23" s="401"/>
      <c r="Q23" s="401"/>
      <c r="R23" s="401"/>
      <c r="S23" s="401"/>
      <c r="T23" s="401"/>
      <c r="U23" s="401"/>
      <c r="V23" s="401"/>
      <c r="W23" s="401"/>
      <c r="X23" s="401"/>
      <c r="Y23" s="401"/>
      <c r="Z23" s="401"/>
      <c r="AA23" s="401"/>
    </row>
    <row r="24" spans="1:27" ht="12" customHeight="1">
      <c r="A24" s="401" t="s">
        <v>341</v>
      </c>
      <c r="B24" s="412">
        <v>55000</v>
      </c>
      <c r="C24" s="413">
        <v>55000</v>
      </c>
      <c r="D24" s="410">
        <f t="shared" si="1"/>
        <v>0</v>
      </c>
      <c r="E24" s="401"/>
      <c r="F24" s="401"/>
      <c r="G24" s="401"/>
      <c r="H24" s="401"/>
      <c r="I24" s="401"/>
      <c r="J24" s="401"/>
      <c r="K24" s="401"/>
      <c r="L24" s="401"/>
      <c r="M24" s="401"/>
      <c r="N24" s="401"/>
      <c r="O24" s="401"/>
      <c r="P24" s="401"/>
      <c r="Q24" s="401"/>
      <c r="R24" s="401"/>
      <c r="S24" s="401"/>
      <c r="T24" s="401"/>
      <c r="U24" s="401"/>
      <c r="V24" s="401"/>
      <c r="W24" s="401"/>
      <c r="X24" s="401"/>
      <c r="Y24" s="401"/>
      <c r="Z24" s="401"/>
      <c r="AA24" s="401"/>
    </row>
    <row r="25" spans="1:27" ht="12" customHeight="1">
      <c r="A25" s="401" t="s">
        <v>342</v>
      </c>
      <c r="B25" s="412">
        <v>16310</v>
      </c>
      <c r="C25" s="413">
        <f>B25</f>
        <v>16310</v>
      </c>
      <c r="D25" s="410">
        <f t="shared" si="1"/>
        <v>0</v>
      </c>
      <c r="E25" s="411"/>
      <c r="F25" s="401"/>
      <c r="G25" s="401"/>
      <c r="H25" s="411"/>
      <c r="I25" s="401"/>
      <c r="J25" s="401"/>
      <c r="K25" s="401"/>
      <c r="L25" s="401"/>
      <c r="M25" s="401"/>
      <c r="N25" s="401"/>
      <c r="O25" s="401"/>
      <c r="P25" s="401"/>
      <c r="Q25" s="401"/>
      <c r="R25" s="401"/>
      <c r="S25" s="401"/>
      <c r="T25" s="401"/>
      <c r="U25" s="401"/>
      <c r="V25" s="401"/>
      <c r="W25" s="401"/>
      <c r="X25" s="401"/>
      <c r="Y25" s="401"/>
      <c r="Z25" s="401"/>
      <c r="AA25" s="401"/>
    </row>
    <row r="26" spans="1:27" ht="12" customHeight="1">
      <c r="A26" s="401" t="s">
        <v>343</v>
      </c>
      <c r="B26" s="412">
        <v>4525</v>
      </c>
      <c r="C26" s="413">
        <v>4525</v>
      </c>
      <c r="D26" s="410">
        <f>SUM(C26-B26)</f>
        <v>0</v>
      </c>
      <c r="E26" s="411"/>
      <c r="F26" s="401"/>
      <c r="G26" s="401"/>
      <c r="H26" s="411"/>
      <c r="I26" s="401"/>
      <c r="J26" s="401"/>
      <c r="K26" s="401"/>
      <c r="L26" s="401"/>
      <c r="M26" s="401"/>
      <c r="N26" s="401"/>
      <c r="O26" s="401"/>
      <c r="P26" s="401"/>
      <c r="Q26" s="401"/>
      <c r="R26" s="401"/>
      <c r="S26" s="401"/>
      <c r="T26" s="401"/>
      <c r="U26" s="401"/>
      <c r="V26" s="401"/>
      <c r="W26" s="401"/>
      <c r="X26" s="401"/>
      <c r="Y26" s="401"/>
      <c r="Z26" s="401"/>
      <c r="AA26" s="401"/>
    </row>
    <row r="27" spans="1:27" ht="12" customHeight="1">
      <c r="A27" s="401" t="s">
        <v>344</v>
      </c>
      <c r="B27" s="412">
        <v>2700</v>
      </c>
      <c r="C27" s="413">
        <v>2700</v>
      </c>
      <c r="D27" s="410">
        <f t="shared" si="1"/>
        <v>0</v>
      </c>
      <c r="E27" s="401"/>
      <c r="F27" s="401"/>
      <c r="G27" s="401"/>
      <c r="H27" s="401"/>
      <c r="I27" s="401"/>
      <c r="J27" s="401"/>
      <c r="K27" s="401"/>
      <c r="L27" s="401"/>
      <c r="M27" s="401"/>
      <c r="N27" s="401"/>
      <c r="O27" s="401"/>
      <c r="P27" s="401"/>
      <c r="Q27" s="401"/>
      <c r="R27" s="401"/>
      <c r="S27" s="401"/>
      <c r="T27" s="401"/>
      <c r="U27" s="401"/>
      <c r="V27" s="401"/>
      <c r="W27" s="401"/>
      <c r="X27" s="401"/>
      <c r="Y27" s="401"/>
      <c r="Z27" s="401"/>
      <c r="AA27" s="401"/>
    </row>
    <row r="28" spans="1:27" ht="12" customHeight="1">
      <c r="A28" s="401" t="s">
        <v>345</v>
      </c>
      <c r="B28" s="412">
        <v>10950</v>
      </c>
      <c r="C28" s="413">
        <v>10950</v>
      </c>
      <c r="D28" s="410">
        <f t="shared" si="1"/>
        <v>0</v>
      </c>
      <c r="E28" s="401"/>
      <c r="F28" s="401"/>
      <c r="G28" s="401"/>
      <c r="H28" s="401"/>
      <c r="I28" s="401"/>
      <c r="J28" s="401"/>
      <c r="K28" s="401"/>
      <c r="L28" s="401"/>
      <c r="M28" s="401"/>
      <c r="N28" s="401"/>
      <c r="O28" s="401"/>
      <c r="P28" s="401"/>
      <c r="Q28" s="401"/>
      <c r="R28" s="401"/>
      <c r="S28" s="401"/>
      <c r="T28" s="401"/>
      <c r="U28" s="401"/>
      <c r="V28" s="401"/>
      <c r="W28" s="401"/>
      <c r="X28" s="401"/>
      <c r="Y28" s="401"/>
      <c r="Z28" s="401"/>
      <c r="AA28" s="401"/>
    </row>
    <row r="29" spans="1:27" ht="12" customHeight="1">
      <c r="A29" s="401" t="s">
        <v>346</v>
      </c>
      <c r="B29" s="412">
        <v>34879</v>
      </c>
      <c r="C29" s="413">
        <v>34879</v>
      </c>
      <c r="D29" s="410">
        <f t="shared" si="1"/>
        <v>0</v>
      </c>
      <c r="E29" s="401"/>
      <c r="F29" s="401"/>
      <c r="G29" s="401"/>
      <c r="H29" s="401"/>
      <c r="I29" s="401"/>
      <c r="J29" s="401"/>
      <c r="K29" s="401"/>
      <c r="L29" s="411"/>
      <c r="M29" s="401"/>
      <c r="N29" s="401"/>
      <c r="O29" s="401"/>
      <c r="P29" s="401"/>
      <c r="Q29" s="401"/>
      <c r="R29" s="401"/>
      <c r="S29" s="401"/>
      <c r="T29" s="401"/>
      <c r="U29" s="401"/>
      <c r="V29" s="401"/>
      <c r="W29" s="401"/>
      <c r="X29" s="401"/>
      <c r="Y29" s="401"/>
      <c r="Z29" s="401"/>
      <c r="AA29" s="401"/>
    </row>
    <row r="30" spans="1:27" ht="12" customHeight="1">
      <c r="A30" s="401" t="s">
        <v>347</v>
      </c>
      <c r="B30" s="412">
        <v>24320</v>
      </c>
      <c r="C30" s="413">
        <v>24320</v>
      </c>
      <c r="D30" s="410">
        <v>0</v>
      </c>
      <c r="E30" s="401"/>
      <c r="F30" s="401"/>
      <c r="G30" s="401"/>
      <c r="H30" s="401"/>
      <c r="I30" s="401"/>
      <c r="J30" s="401"/>
      <c r="K30" s="401"/>
      <c r="L30" s="411"/>
      <c r="M30" s="401"/>
      <c r="N30" s="401"/>
      <c r="O30" s="401"/>
      <c r="P30" s="401"/>
      <c r="Q30" s="401"/>
      <c r="R30" s="401"/>
      <c r="S30" s="401"/>
      <c r="T30" s="401"/>
      <c r="U30" s="401"/>
      <c r="V30" s="401"/>
      <c r="W30" s="401"/>
      <c r="X30" s="401"/>
      <c r="Y30" s="401"/>
      <c r="Z30" s="401"/>
      <c r="AA30" s="401"/>
    </row>
    <row r="31" spans="1:27" ht="12" customHeight="1">
      <c r="A31" s="401" t="s">
        <v>348</v>
      </c>
      <c r="B31" s="412">
        <v>18289</v>
      </c>
      <c r="C31" s="413">
        <v>18289</v>
      </c>
      <c r="D31" s="410">
        <f t="shared" si="1"/>
        <v>0</v>
      </c>
      <c r="E31" s="401"/>
      <c r="F31" s="401"/>
      <c r="G31" s="401"/>
      <c r="H31" s="401"/>
      <c r="I31" s="401"/>
      <c r="J31" s="401"/>
      <c r="K31" s="401"/>
      <c r="L31" s="411"/>
      <c r="M31" s="401"/>
      <c r="N31" s="401"/>
      <c r="O31" s="401"/>
      <c r="P31" s="401"/>
      <c r="Q31" s="401"/>
      <c r="R31" s="401"/>
      <c r="S31" s="401"/>
      <c r="T31" s="401"/>
      <c r="U31" s="401"/>
      <c r="V31" s="401"/>
      <c r="W31" s="401"/>
      <c r="X31" s="401"/>
      <c r="Y31" s="401"/>
      <c r="Z31" s="401"/>
      <c r="AA31" s="401"/>
    </row>
    <row r="32" spans="1:27" ht="12" customHeight="1">
      <c r="A32" s="401" t="s">
        <v>349</v>
      </c>
      <c r="B32" s="412">
        <v>15000</v>
      </c>
      <c r="C32" s="413">
        <v>15000</v>
      </c>
      <c r="D32" s="410">
        <f t="shared" si="1"/>
        <v>0</v>
      </c>
      <c r="E32" s="401"/>
      <c r="F32" s="401"/>
      <c r="G32" s="401"/>
      <c r="H32" s="401"/>
      <c r="I32" s="401"/>
      <c r="J32" s="401"/>
      <c r="K32" s="401"/>
      <c r="L32" s="401"/>
      <c r="M32" s="401"/>
      <c r="N32" s="401"/>
      <c r="O32" s="401"/>
      <c r="P32" s="401"/>
      <c r="Q32" s="401"/>
      <c r="R32" s="401"/>
      <c r="S32" s="401"/>
      <c r="T32" s="401"/>
      <c r="U32" s="401"/>
      <c r="V32" s="401"/>
      <c r="W32" s="401"/>
      <c r="X32" s="401"/>
      <c r="Y32" s="401"/>
      <c r="Z32" s="401"/>
      <c r="AA32" s="401"/>
    </row>
    <row r="33" spans="1:27" ht="12" customHeight="1">
      <c r="A33" s="401" t="s">
        <v>350</v>
      </c>
      <c r="B33" s="412">
        <v>30233</v>
      </c>
      <c r="C33" s="413">
        <v>30233</v>
      </c>
      <c r="D33" s="410">
        <f t="shared" si="1"/>
        <v>0</v>
      </c>
      <c r="E33" s="401"/>
      <c r="F33" s="401"/>
      <c r="G33" s="401"/>
      <c r="H33" s="401"/>
      <c r="I33" s="401"/>
      <c r="J33" s="401"/>
      <c r="K33" s="401"/>
      <c r="L33" s="401"/>
      <c r="M33" s="401"/>
      <c r="N33" s="401"/>
      <c r="O33" s="401"/>
      <c r="P33" s="401"/>
      <c r="Q33" s="401"/>
      <c r="R33" s="401"/>
      <c r="S33" s="401"/>
      <c r="T33" s="401"/>
      <c r="U33" s="401"/>
      <c r="V33" s="401"/>
      <c r="W33" s="401"/>
      <c r="X33" s="401"/>
      <c r="Y33" s="401"/>
      <c r="Z33" s="401"/>
      <c r="AA33" s="401"/>
    </row>
    <row r="34" spans="1:27" ht="12" customHeight="1">
      <c r="A34" s="414" t="s">
        <v>351</v>
      </c>
      <c r="B34" s="412">
        <v>70000</v>
      </c>
      <c r="C34" s="413">
        <v>70000</v>
      </c>
      <c r="D34" s="410">
        <f t="shared" si="1"/>
        <v>0</v>
      </c>
      <c r="E34" s="401"/>
      <c r="F34" s="401"/>
      <c r="G34" s="401"/>
      <c r="H34" s="401"/>
      <c r="I34" s="401"/>
      <c r="J34" s="401"/>
      <c r="K34" s="401"/>
      <c r="L34" s="401"/>
      <c r="M34" s="401"/>
      <c r="N34" s="401"/>
      <c r="O34" s="401"/>
      <c r="P34" s="401"/>
      <c r="Q34" s="401"/>
      <c r="R34" s="401"/>
      <c r="S34" s="401"/>
      <c r="T34" s="401"/>
      <c r="U34" s="401"/>
      <c r="V34" s="401"/>
      <c r="W34" s="401"/>
      <c r="X34" s="401"/>
      <c r="Y34" s="401"/>
      <c r="Z34" s="401"/>
      <c r="AA34" s="401"/>
    </row>
    <row r="35" spans="1:27" ht="12" customHeight="1">
      <c r="A35" s="401" t="s">
        <v>352</v>
      </c>
      <c r="B35" s="412">
        <v>140750</v>
      </c>
      <c r="C35" s="413">
        <v>140750</v>
      </c>
      <c r="D35" s="410">
        <f t="shared" si="1"/>
        <v>0</v>
      </c>
      <c r="E35" s="401"/>
      <c r="F35" s="401"/>
      <c r="G35" s="401"/>
      <c r="H35" s="401"/>
      <c r="I35" s="401"/>
      <c r="J35" s="401"/>
      <c r="K35" s="401"/>
      <c r="L35" s="411"/>
      <c r="M35" s="401"/>
      <c r="N35" s="401"/>
      <c r="O35" s="401"/>
      <c r="P35" s="401"/>
      <c r="Q35" s="401"/>
      <c r="R35" s="401"/>
      <c r="S35" s="401"/>
      <c r="T35" s="401"/>
      <c r="U35" s="401"/>
      <c r="V35" s="401"/>
      <c r="W35" s="401"/>
      <c r="X35" s="401"/>
      <c r="Y35" s="401"/>
      <c r="Z35" s="401"/>
      <c r="AA35" s="401"/>
    </row>
    <row r="36" spans="1:27" ht="12" customHeight="1">
      <c r="A36" s="401" t="s">
        <v>241</v>
      </c>
      <c r="B36" s="412">
        <v>280000</v>
      </c>
      <c r="C36" s="413">
        <v>280000</v>
      </c>
      <c r="D36" s="410">
        <f t="shared" si="1"/>
        <v>0</v>
      </c>
      <c r="E36" s="401"/>
      <c r="F36" s="401"/>
      <c r="G36" s="401"/>
      <c r="H36" s="401"/>
      <c r="I36" s="401"/>
      <c r="J36" s="401"/>
      <c r="K36" s="401"/>
      <c r="L36" s="41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401"/>
      <c r="Z36" s="401"/>
      <c r="AA36" s="401"/>
    </row>
    <row r="37" spans="1:27" ht="12" customHeight="1">
      <c r="A37" s="401" t="s">
        <v>353</v>
      </c>
      <c r="B37" s="412">
        <v>10200</v>
      </c>
      <c r="C37" s="413">
        <v>10200</v>
      </c>
      <c r="D37" s="410">
        <f t="shared" si="1"/>
        <v>0</v>
      </c>
      <c r="E37" s="401"/>
      <c r="F37" s="401"/>
      <c r="G37" s="401"/>
      <c r="H37" s="401"/>
      <c r="I37" s="401"/>
      <c r="J37" s="401"/>
      <c r="K37" s="401"/>
      <c r="L37" s="41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401"/>
      <c r="Z37" s="401"/>
      <c r="AA37" s="401"/>
    </row>
    <row r="38" spans="1:27" ht="12" customHeight="1">
      <c r="A38" s="401" t="s">
        <v>354</v>
      </c>
      <c r="B38" s="412">
        <v>0</v>
      </c>
      <c r="C38" s="413">
        <v>0</v>
      </c>
      <c r="D38" s="410">
        <f t="shared" si="1"/>
        <v>0</v>
      </c>
      <c r="E38" s="401"/>
      <c r="F38" s="401"/>
      <c r="G38" s="401"/>
      <c r="H38" s="401"/>
      <c r="I38" s="401"/>
      <c r="J38" s="401"/>
      <c r="K38" s="401"/>
      <c r="L38" s="41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401"/>
      <c r="Z38" s="401"/>
      <c r="AA38" s="401"/>
    </row>
    <row r="39" spans="1:27" ht="12" customHeight="1">
      <c r="A39" s="401" t="s">
        <v>355</v>
      </c>
      <c r="B39" s="412">
        <v>138130</v>
      </c>
      <c r="C39" s="413">
        <v>138130</v>
      </c>
      <c r="D39" s="410">
        <f t="shared" si="1"/>
        <v>0</v>
      </c>
      <c r="E39" s="401"/>
      <c r="F39" s="401"/>
      <c r="G39" s="401"/>
      <c r="H39" s="401"/>
      <c r="I39" s="401"/>
      <c r="J39" s="401"/>
      <c r="K39" s="401"/>
      <c r="L39" s="401"/>
      <c r="M39" s="401"/>
      <c r="N39" s="401"/>
      <c r="O39" s="401"/>
      <c r="P39" s="401"/>
      <c r="Q39" s="401"/>
      <c r="R39" s="401"/>
      <c r="S39" s="401"/>
      <c r="T39" s="401"/>
      <c r="U39" s="401"/>
      <c r="V39" s="401"/>
      <c r="W39" s="401"/>
      <c r="X39" s="401"/>
      <c r="Y39" s="401"/>
      <c r="Z39" s="401"/>
      <c r="AA39" s="401"/>
    </row>
    <row r="40" spans="1:27" ht="12" customHeight="1">
      <c r="A40" s="401" t="s">
        <v>356</v>
      </c>
      <c r="B40" s="412">
        <v>7900</v>
      </c>
      <c r="C40" s="413">
        <v>7900</v>
      </c>
      <c r="D40" s="410">
        <f t="shared" si="1"/>
        <v>0</v>
      </c>
      <c r="E40" s="401"/>
      <c r="F40" s="401"/>
      <c r="G40" s="401"/>
      <c r="H40" s="401"/>
      <c r="I40" s="401"/>
      <c r="J40" s="401"/>
      <c r="K40" s="401"/>
      <c r="L40" s="401"/>
      <c r="M40" s="401"/>
      <c r="N40" s="401"/>
      <c r="O40" s="401"/>
      <c r="P40" s="401"/>
      <c r="Q40" s="401"/>
      <c r="R40" s="401"/>
      <c r="S40" s="401"/>
      <c r="T40" s="401"/>
      <c r="U40" s="401"/>
      <c r="V40" s="401"/>
      <c r="W40" s="401"/>
      <c r="X40" s="401"/>
      <c r="Y40" s="401"/>
      <c r="Z40" s="401"/>
      <c r="AA40" s="401"/>
    </row>
    <row r="41" spans="1:27" ht="12" customHeight="1">
      <c r="A41" s="401" t="s">
        <v>357</v>
      </c>
      <c r="B41" s="412">
        <v>2900</v>
      </c>
      <c r="C41" s="413">
        <v>2900</v>
      </c>
      <c r="D41" s="416">
        <f t="shared" si="1"/>
        <v>0</v>
      </c>
      <c r="E41" s="401"/>
      <c r="F41" s="401"/>
      <c r="G41" s="401"/>
      <c r="H41" s="401"/>
      <c r="I41" s="401"/>
      <c r="J41" s="401"/>
      <c r="K41" s="401"/>
      <c r="L41" s="401"/>
      <c r="M41" s="401"/>
      <c r="N41" s="401"/>
      <c r="O41" s="401"/>
      <c r="P41" s="401"/>
      <c r="Q41" s="401"/>
      <c r="R41" s="401"/>
      <c r="S41" s="401"/>
      <c r="T41" s="401"/>
      <c r="U41" s="401"/>
      <c r="V41" s="401"/>
      <c r="W41" s="401"/>
      <c r="X41" s="401"/>
      <c r="Y41" s="401"/>
      <c r="Z41" s="401"/>
      <c r="AA41" s="401"/>
    </row>
    <row r="42" spans="1:27" ht="12" customHeight="1">
      <c r="A42" s="401" t="s">
        <v>358</v>
      </c>
      <c r="B42" s="412">
        <v>3800</v>
      </c>
      <c r="C42" s="413">
        <v>3800</v>
      </c>
      <c r="D42" s="416">
        <f t="shared" si="1"/>
        <v>0</v>
      </c>
      <c r="E42" s="401"/>
      <c r="F42" s="401"/>
      <c r="G42" s="401"/>
      <c r="H42" s="401"/>
      <c r="I42" s="401"/>
      <c r="J42" s="401"/>
      <c r="K42" s="401"/>
      <c r="L42" s="401"/>
      <c r="M42" s="401"/>
      <c r="N42" s="401"/>
      <c r="O42" s="401"/>
      <c r="P42" s="401"/>
      <c r="Q42" s="401"/>
      <c r="R42" s="401"/>
      <c r="S42" s="401"/>
      <c r="T42" s="401"/>
      <c r="U42" s="401"/>
      <c r="V42" s="401"/>
      <c r="W42" s="401"/>
      <c r="X42" s="401"/>
      <c r="Y42" s="401"/>
      <c r="Z42" s="401"/>
      <c r="AA42" s="401"/>
    </row>
    <row r="43" spans="1:27">
      <c r="A43" s="401" t="s">
        <v>359</v>
      </c>
      <c r="B43" s="412">
        <v>0</v>
      </c>
      <c r="C43" s="413">
        <v>0</v>
      </c>
      <c r="D43" s="416">
        <f t="shared" si="1"/>
        <v>0</v>
      </c>
      <c r="E43" s="401"/>
      <c r="F43" s="401"/>
    </row>
    <row r="44" spans="1:27">
      <c r="A44" s="401" t="s">
        <v>360</v>
      </c>
      <c r="B44" s="412">
        <v>0</v>
      </c>
      <c r="C44" s="413">
        <v>0</v>
      </c>
      <c r="D44" s="416">
        <f t="shared" si="1"/>
        <v>0</v>
      </c>
      <c r="E44" s="401"/>
      <c r="F44" s="108"/>
    </row>
    <row r="45" spans="1:27">
      <c r="A45" s="401" t="s">
        <v>361</v>
      </c>
      <c r="B45" s="412">
        <v>0</v>
      </c>
      <c r="C45" s="413">
        <v>0</v>
      </c>
      <c r="D45" s="416">
        <f t="shared" si="1"/>
        <v>0</v>
      </c>
      <c r="E45" s="401"/>
      <c r="F45" s="108"/>
    </row>
    <row r="46" spans="1:27">
      <c r="A46" s="401" t="s">
        <v>362</v>
      </c>
      <c r="B46" s="412">
        <v>120000</v>
      </c>
      <c r="C46" s="413">
        <v>120000</v>
      </c>
      <c r="D46" s="416">
        <f t="shared" si="1"/>
        <v>0</v>
      </c>
      <c r="E46" s="401"/>
      <c r="F46" s="108"/>
    </row>
    <row r="47" spans="1:27">
      <c r="A47" s="401"/>
      <c r="B47" s="412"/>
      <c r="C47" s="413"/>
      <c r="D47" s="416"/>
      <c r="E47" s="401"/>
      <c r="F47" s="108"/>
    </row>
    <row r="48" spans="1:27">
      <c r="A48" s="401"/>
      <c r="B48" s="412"/>
      <c r="C48" s="413"/>
      <c r="D48" s="416"/>
      <c r="E48" s="401"/>
      <c r="F48" s="108"/>
    </row>
    <row r="49" spans="1:27">
      <c r="A49" s="400" t="s">
        <v>316</v>
      </c>
      <c r="E49" s="401"/>
      <c r="F49" s="401"/>
      <c r="G49" s="401"/>
    </row>
    <row r="50" spans="1:27" ht="12" customHeight="1">
      <c r="A50" s="402" t="s">
        <v>317</v>
      </c>
      <c r="B50" s="417" t="s">
        <v>108</v>
      </c>
      <c r="C50" s="402" t="s">
        <v>108</v>
      </c>
      <c r="D50" s="417" t="s">
        <v>318</v>
      </c>
      <c r="E50" s="401"/>
      <c r="F50" s="401"/>
      <c r="G50" s="401"/>
      <c r="H50" s="401"/>
      <c r="I50" s="401"/>
      <c r="J50" s="401"/>
      <c r="K50" s="401"/>
      <c r="L50" s="401"/>
      <c r="M50" s="401"/>
      <c r="N50" s="401"/>
      <c r="O50" s="401"/>
      <c r="P50" s="401"/>
      <c r="Q50" s="401"/>
      <c r="R50" s="401"/>
      <c r="S50" s="401"/>
      <c r="T50" s="401"/>
      <c r="U50" s="401"/>
      <c r="V50" s="401"/>
      <c r="W50" s="401"/>
      <c r="X50" s="401"/>
      <c r="Y50" s="401"/>
      <c r="Z50" s="401"/>
      <c r="AA50" s="401"/>
    </row>
    <row r="51" spans="1:27" ht="12" customHeight="1">
      <c r="B51" s="417" t="s">
        <v>319</v>
      </c>
      <c r="C51" s="402" t="s">
        <v>320</v>
      </c>
      <c r="D51" s="417" t="s">
        <v>321</v>
      </c>
      <c r="E51" s="401"/>
      <c r="F51" s="401" t="s">
        <v>322</v>
      </c>
      <c r="G51" s="401"/>
      <c r="H51" s="401"/>
      <c r="I51" s="401"/>
      <c r="J51" s="401"/>
      <c r="K51" s="401"/>
      <c r="L51" s="401"/>
      <c r="M51" s="401"/>
      <c r="N51" s="401"/>
      <c r="O51" s="401"/>
      <c r="P51" s="401"/>
      <c r="Q51" s="401"/>
      <c r="R51" s="401"/>
      <c r="S51" s="401"/>
      <c r="T51" s="401"/>
      <c r="U51" s="401"/>
      <c r="V51" s="401"/>
      <c r="W51" s="401"/>
      <c r="X51" s="401"/>
      <c r="Y51" s="401"/>
      <c r="Z51" s="401"/>
      <c r="AA51" s="401"/>
    </row>
    <row r="52" spans="1:27" ht="12" customHeight="1">
      <c r="A52" s="404"/>
      <c r="B52" s="405" t="s">
        <v>323</v>
      </c>
      <c r="C52" s="406" t="s">
        <v>323</v>
      </c>
      <c r="D52" s="405" t="s">
        <v>324</v>
      </c>
      <c r="E52" s="407"/>
      <c r="F52" s="407"/>
      <c r="G52" s="407"/>
      <c r="H52" s="407"/>
      <c r="I52" s="407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401"/>
      <c r="X52" s="401"/>
      <c r="Y52" s="401"/>
      <c r="Z52" s="401"/>
      <c r="AA52" s="401"/>
    </row>
    <row r="53" spans="1:27">
      <c r="A53" s="404" t="s">
        <v>363</v>
      </c>
      <c r="B53" s="418"/>
      <c r="C53" s="419"/>
      <c r="D53" s="410"/>
      <c r="E53" s="401"/>
      <c r="F53" s="108"/>
    </row>
    <row r="54" spans="1:27">
      <c r="A54" s="401" t="s">
        <v>364</v>
      </c>
      <c r="B54" s="418">
        <v>1106164</v>
      </c>
      <c r="C54" s="419">
        <v>1099459</v>
      </c>
      <c r="D54" s="410">
        <f>SUM(C54-B54)</f>
        <v>-6705</v>
      </c>
      <c r="E54" s="401"/>
      <c r="F54" s="108"/>
    </row>
    <row r="55" spans="1:27">
      <c r="A55" s="401" t="s">
        <v>365</v>
      </c>
      <c r="B55" s="418">
        <v>14621</v>
      </c>
      <c r="C55" s="419">
        <v>14621</v>
      </c>
      <c r="D55" s="410">
        <f>SUM(C55-B55)</f>
        <v>0</v>
      </c>
      <c r="E55" s="401"/>
      <c r="F55" s="108"/>
    </row>
    <row r="56" spans="1:27">
      <c r="A56" s="404" t="s">
        <v>366</v>
      </c>
      <c r="B56" s="420"/>
      <c r="C56" s="420"/>
      <c r="D56" s="410"/>
      <c r="E56" s="401"/>
      <c r="F56" s="108"/>
    </row>
    <row r="57" spans="1:27" ht="12" customHeight="1">
      <c r="A57" s="401" t="s">
        <v>367</v>
      </c>
      <c r="B57" s="410">
        <v>1936547</v>
      </c>
      <c r="C57" s="421">
        <v>1936547</v>
      </c>
      <c r="D57" s="410">
        <f t="shared" ref="D57:D66" si="2">SUM(C57-B57)</f>
        <v>0</v>
      </c>
      <c r="E57" s="401"/>
      <c r="F57" s="401"/>
      <c r="G57" s="401"/>
      <c r="H57" s="401"/>
      <c r="I57" s="401"/>
      <c r="J57" s="401"/>
      <c r="K57" s="401"/>
      <c r="L57" s="401"/>
      <c r="M57" s="401"/>
      <c r="N57" s="401"/>
      <c r="O57" s="401"/>
      <c r="P57" s="401"/>
      <c r="Q57" s="401"/>
      <c r="R57" s="401"/>
      <c r="S57" s="401"/>
      <c r="T57" s="401"/>
      <c r="U57" s="401"/>
      <c r="V57" s="401"/>
      <c r="W57" s="401"/>
      <c r="X57" s="401"/>
      <c r="Y57" s="401"/>
      <c r="Z57" s="401"/>
      <c r="AA57" s="401"/>
    </row>
    <row r="58" spans="1:27" ht="12" customHeight="1">
      <c r="A58" s="401" t="s">
        <v>368</v>
      </c>
      <c r="B58" s="410">
        <v>397381</v>
      </c>
      <c r="C58" s="421">
        <v>397381</v>
      </c>
      <c r="D58" s="410">
        <f t="shared" si="2"/>
        <v>0</v>
      </c>
      <c r="E58" s="401"/>
      <c r="F58" s="401"/>
      <c r="G58" s="401"/>
      <c r="H58" s="401"/>
      <c r="I58" s="401"/>
      <c r="J58" s="401"/>
      <c r="K58" s="401"/>
      <c r="L58" s="401"/>
      <c r="M58" s="401"/>
      <c r="N58" s="401"/>
      <c r="O58" s="401"/>
      <c r="P58" s="401"/>
      <c r="Q58" s="401"/>
      <c r="R58" s="401"/>
      <c r="S58" s="401"/>
      <c r="T58" s="401"/>
      <c r="U58" s="401"/>
      <c r="V58" s="401"/>
      <c r="W58" s="401"/>
      <c r="X58" s="401"/>
      <c r="Y58" s="401"/>
      <c r="Z58" s="401"/>
      <c r="AA58" s="401"/>
    </row>
    <row r="59" spans="1:27" ht="12" customHeight="1">
      <c r="A59" s="401" t="s">
        <v>369</v>
      </c>
      <c r="B59" s="410">
        <v>0</v>
      </c>
      <c r="C59" s="421">
        <v>0</v>
      </c>
      <c r="D59" s="410">
        <f t="shared" si="2"/>
        <v>0</v>
      </c>
      <c r="E59" s="401"/>
      <c r="F59" s="401"/>
      <c r="G59" s="401"/>
      <c r="H59" s="401"/>
      <c r="I59" s="401"/>
      <c r="J59" s="401"/>
      <c r="K59" s="401"/>
      <c r="L59" s="401"/>
      <c r="M59" s="401"/>
      <c r="N59" s="401"/>
      <c r="O59" s="401"/>
      <c r="P59" s="401"/>
      <c r="Q59" s="401"/>
      <c r="R59" s="401"/>
      <c r="S59" s="401"/>
      <c r="T59" s="401"/>
      <c r="U59" s="401"/>
      <c r="V59" s="401"/>
      <c r="W59" s="401"/>
      <c r="X59" s="401"/>
      <c r="Y59" s="401"/>
      <c r="Z59" s="401"/>
      <c r="AA59" s="401"/>
    </row>
    <row r="60" spans="1:27" ht="12" customHeight="1">
      <c r="A60" s="401" t="s">
        <v>370</v>
      </c>
      <c r="B60" s="410">
        <v>75000</v>
      </c>
      <c r="C60" s="421">
        <v>75000</v>
      </c>
      <c r="D60" s="410">
        <f t="shared" si="2"/>
        <v>0</v>
      </c>
      <c r="E60" s="401"/>
      <c r="F60" s="401"/>
      <c r="G60" s="401"/>
      <c r="H60" s="401"/>
      <c r="I60" s="401"/>
      <c r="J60" s="401"/>
      <c r="K60" s="401"/>
      <c r="L60" s="401"/>
      <c r="M60" s="401"/>
      <c r="N60" s="401"/>
      <c r="O60" s="401"/>
      <c r="P60" s="401"/>
      <c r="Q60" s="401"/>
      <c r="R60" s="401"/>
      <c r="S60" s="401"/>
      <c r="T60" s="401"/>
      <c r="U60" s="401"/>
      <c r="V60" s="401"/>
      <c r="W60" s="401"/>
      <c r="X60" s="401"/>
      <c r="Y60" s="401"/>
      <c r="Z60" s="401"/>
      <c r="AA60" s="401"/>
    </row>
    <row r="61" spans="1:27" ht="12" customHeight="1">
      <c r="A61" s="401" t="s">
        <v>371</v>
      </c>
      <c r="B61" s="410">
        <v>0</v>
      </c>
      <c r="C61" s="421">
        <v>0</v>
      </c>
      <c r="D61" s="410">
        <f t="shared" si="2"/>
        <v>0</v>
      </c>
      <c r="E61" s="401"/>
      <c r="F61" s="401"/>
      <c r="G61" s="401"/>
      <c r="H61" s="401"/>
      <c r="I61" s="401"/>
      <c r="J61" s="401"/>
      <c r="K61" s="401"/>
      <c r="L61" s="401"/>
      <c r="M61" s="401"/>
      <c r="N61" s="401"/>
      <c r="O61" s="401"/>
      <c r="P61" s="401"/>
      <c r="Q61" s="401"/>
      <c r="R61" s="401"/>
      <c r="S61" s="401"/>
      <c r="T61" s="401"/>
      <c r="U61" s="401"/>
      <c r="V61" s="401"/>
      <c r="W61" s="401"/>
      <c r="X61" s="401"/>
      <c r="Y61" s="401"/>
      <c r="Z61" s="401"/>
      <c r="AA61" s="401"/>
    </row>
    <row r="62" spans="1:27" ht="12" customHeight="1">
      <c r="A62" s="401" t="s">
        <v>372</v>
      </c>
      <c r="B62" s="410">
        <v>130600</v>
      </c>
      <c r="C62" s="421">
        <v>130600</v>
      </c>
      <c r="D62" s="410">
        <f t="shared" si="2"/>
        <v>0</v>
      </c>
      <c r="E62" s="401"/>
      <c r="F62" s="401"/>
      <c r="G62" s="401"/>
      <c r="H62" s="401"/>
      <c r="I62" s="401"/>
      <c r="J62" s="401"/>
      <c r="K62" s="401"/>
      <c r="L62" s="401"/>
      <c r="M62" s="401"/>
      <c r="N62" s="401"/>
      <c r="O62" s="401"/>
      <c r="P62" s="401"/>
      <c r="Q62" s="401"/>
      <c r="R62" s="401"/>
      <c r="S62" s="401"/>
      <c r="T62" s="401"/>
      <c r="U62" s="401"/>
      <c r="V62" s="401"/>
      <c r="W62" s="401"/>
      <c r="X62" s="401"/>
      <c r="Y62" s="401"/>
      <c r="Z62" s="401"/>
      <c r="AA62" s="401"/>
    </row>
    <row r="63" spans="1:27" ht="12" customHeight="1">
      <c r="A63" s="401" t="s">
        <v>373</v>
      </c>
      <c r="B63" s="410">
        <v>47900</v>
      </c>
      <c r="C63" s="421">
        <v>47900</v>
      </c>
      <c r="D63" s="410">
        <f t="shared" si="2"/>
        <v>0</v>
      </c>
      <c r="E63" s="401"/>
      <c r="F63" s="401"/>
      <c r="G63" s="401"/>
      <c r="H63" s="401"/>
      <c r="I63" s="401"/>
      <c r="J63" s="401"/>
      <c r="K63" s="401"/>
      <c r="L63" s="401"/>
      <c r="M63" s="401"/>
      <c r="N63" s="401"/>
      <c r="O63" s="401"/>
      <c r="P63" s="401"/>
      <c r="Q63" s="401"/>
      <c r="R63" s="401"/>
      <c r="S63" s="401"/>
      <c r="T63" s="401"/>
      <c r="U63" s="401"/>
      <c r="V63" s="401"/>
      <c r="W63" s="401"/>
      <c r="X63" s="401"/>
      <c r="Y63" s="401"/>
      <c r="Z63" s="401"/>
      <c r="AA63" s="401"/>
    </row>
    <row r="64" spans="1:27" ht="12" customHeight="1">
      <c r="A64" s="422" t="s">
        <v>374</v>
      </c>
      <c r="B64" s="423">
        <v>518000</v>
      </c>
      <c r="C64" s="424">
        <v>518000</v>
      </c>
      <c r="D64" s="423">
        <f t="shared" si="2"/>
        <v>0</v>
      </c>
      <c r="E64" s="401"/>
      <c r="F64" s="401"/>
      <c r="G64" s="401"/>
      <c r="H64" s="401"/>
      <c r="I64" s="401"/>
      <c r="J64" s="401"/>
      <c r="K64" s="401"/>
      <c r="L64" s="401"/>
      <c r="M64" s="401"/>
      <c r="N64" s="401"/>
      <c r="O64" s="401"/>
      <c r="P64" s="401"/>
      <c r="Q64" s="401"/>
      <c r="R64" s="401"/>
      <c r="S64" s="401"/>
      <c r="T64" s="401"/>
      <c r="U64" s="401"/>
      <c r="V64" s="401"/>
      <c r="W64" s="401"/>
      <c r="X64" s="401"/>
      <c r="Y64" s="401"/>
      <c r="Z64" s="401"/>
      <c r="AA64" s="401"/>
    </row>
    <row r="65" spans="1:27" ht="12" customHeight="1">
      <c r="A65" s="401" t="s">
        <v>375</v>
      </c>
      <c r="B65" s="410">
        <v>146570</v>
      </c>
      <c r="C65" s="421">
        <v>146570</v>
      </c>
      <c r="D65" s="410">
        <f t="shared" si="2"/>
        <v>0</v>
      </c>
      <c r="E65" s="401"/>
      <c r="F65" s="401"/>
      <c r="G65" s="401"/>
      <c r="H65" s="401"/>
      <c r="I65" s="401"/>
      <c r="J65" s="401"/>
      <c r="K65" s="401"/>
      <c r="L65" s="401"/>
      <c r="M65" s="401"/>
      <c r="N65" s="401"/>
      <c r="O65" s="401"/>
      <c r="P65" s="401"/>
      <c r="Q65" s="401"/>
      <c r="R65" s="401"/>
      <c r="S65" s="401"/>
      <c r="T65" s="401"/>
      <c r="U65" s="401"/>
      <c r="V65" s="401"/>
      <c r="W65" s="401"/>
      <c r="X65" s="401"/>
      <c r="Y65" s="401"/>
      <c r="Z65" s="401"/>
      <c r="AA65" s="401"/>
    </row>
    <row r="66" spans="1:27" ht="12" customHeight="1">
      <c r="A66" s="401" t="s">
        <v>376</v>
      </c>
      <c r="B66" s="410">
        <v>10000</v>
      </c>
      <c r="C66" s="421">
        <v>10000</v>
      </c>
      <c r="D66" s="410">
        <f t="shared" si="2"/>
        <v>0</v>
      </c>
      <c r="E66" s="401"/>
      <c r="F66" s="401"/>
      <c r="G66" s="401"/>
      <c r="H66" s="401"/>
      <c r="I66" s="401"/>
      <c r="J66" s="401"/>
      <c r="K66" s="401"/>
      <c r="L66" s="401"/>
      <c r="M66" s="401"/>
      <c r="N66" s="401"/>
      <c r="O66" s="401"/>
      <c r="P66" s="401"/>
      <c r="Q66" s="401"/>
      <c r="R66" s="401"/>
      <c r="S66" s="401"/>
      <c r="T66" s="401"/>
      <c r="U66" s="401"/>
      <c r="V66" s="401"/>
      <c r="W66" s="401"/>
      <c r="X66" s="401"/>
      <c r="Y66" s="401"/>
      <c r="Z66" s="401"/>
      <c r="AA66" s="401"/>
    </row>
    <row r="67" spans="1:27" ht="12" customHeight="1">
      <c r="A67" s="401" t="s">
        <v>377</v>
      </c>
      <c r="B67" s="410">
        <v>600000</v>
      </c>
      <c r="C67" s="421">
        <v>600000</v>
      </c>
      <c r="D67" s="410">
        <f>SUM(C67-B67)</f>
        <v>0</v>
      </c>
      <c r="E67" s="401"/>
      <c r="F67" s="401"/>
      <c r="G67" s="401"/>
      <c r="H67" s="401"/>
      <c r="I67" s="401"/>
      <c r="J67" s="401"/>
      <c r="K67" s="401"/>
      <c r="L67" s="411"/>
      <c r="M67" s="401"/>
      <c r="N67" s="401"/>
      <c r="O67" s="401"/>
      <c r="P67" s="401"/>
      <c r="Q67" s="401"/>
      <c r="R67" s="401"/>
      <c r="S67" s="401"/>
      <c r="T67" s="401"/>
      <c r="U67" s="401"/>
      <c r="V67" s="401"/>
      <c r="W67" s="401"/>
      <c r="X67" s="401"/>
      <c r="Y67" s="401"/>
      <c r="Z67" s="401"/>
      <c r="AA67" s="401"/>
    </row>
    <row r="68" spans="1:27" ht="12" customHeight="1">
      <c r="A68" s="401" t="s">
        <v>378</v>
      </c>
      <c r="B68" s="410">
        <v>40000</v>
      </c>
      <c r="C68" s="421">
        <v>40000</v>
      </c>
      <c r="D68" s="410">
        <f>SUM(C68-B68)</f>
        <v>0</v>
      </c>
      <c r="E68" s="401"/>
      <c r="F68" s="401"/>
      <c r="G68" s="401"/>
      <c r="H68" s="401"/>
      <c r="I68" s="401"/>
      <c r="J68" s="401"/>
      <c r="K68" s="401"/>
      <c r="L68" s="411"/>
      <c r="M68" s="401"/>
      <c r="N68" s="401"/>
      <c r="O68" s="401"/>
      <c r="P68" s="401"/>
      <c r="Q68" s="401"/>
      <c r="R68" s="401"/>
      <c r="S68" s="401"/>
      <c r="T68" s="401"/>
      <c r="U68" s="401"/>
      <c r="V68" s="401"/>
      <c r="W68" s="401"/>
      <c r="X68" s="401"/>
      <c r="Y68" s="401"/>
      <c r="Z68" s="401"/>
      <c r="AA68" s="401"/>
    </row>
    <row r="69" spans="1:27" ht="12" customHeight="1">
      <c r="A69" s="401" t="s">
        <v>379</v>
      </c>
      <c r="B69" s="410">
        <v>950635</v>
      </c>
      <c r="C69" s="421">
        <v>950635</v>
      </c>
      <c r="D69" s="410">
        <f>SUM(C69-B69)</f>
        <v>0</v>
      </c>
      <c r="E69" s="421"/>
      <c r="F69" s="401"/>
      <c r="G69" s="401"/>
      <c r="H69" s="401"/>
      <c r="I69" s="401"/>
      <c r="J69" s="401"/>
      <c r="K69" s="401"/>
      <c r="L69" s="411"/>
      <c r="M69" s="401"/>
      <c r="N69" s="401"/>
      <c r="O69" s="401"/>
      <c r="P69" s="401"/>
      <c r="Q69" s="401"/>
      <c r="R69" s="401"/>
      <c r="S69" s="401"/>
      <c r="T69" s="401"/>
      <c r="U69" s="401"/>
      <c r="V69" s="401"/>
      <c r="W69" s="401"/>
      <c r="X69" s="401"/>
      <c r="Y69" s="401"/>
      <c r="Z69" s="401"/>
      <c r="AA69" s="401"/>
    </row>
    <row r="70" spans="1:27" ht="12" customHeight="1">
      <c r="A70" s="404" t="s">
        <v>380</v>
      </c>
      <c r="B70" s="425"/>
      <c r="C70" s="401"/>
      <c r="D70" s="410"/>
      <c r="E70" s="401"/>
      <c r="F70" s="401"/>
      <c r="G70" s="401"/>
      <c r="H70" s="401"/>
      <c r="I70" s="401"/>
      <c r="J70" s="401"/>
      <c r="K70" s="401"/>
      <c r="L70" s="401"/>
      <c r="M70" s="401"/>
      <c r="N70" s="401"/>
      <c r="O70" s="401"/>
      <c r="P70" s="401"/>
      <c r="Q70" s="401"/>
      <c r="R70" s="401"/>
      <c r="S70" s="401"/>
      <c r="T70" s="401"/>
      <c r="U70" s="401"/>
      <c r="V70" s="401"/>
      <c r="W70" s="401"/>
      <c r="X70" s="401"/>
      <c r="Y70" s="401"/>
      <c r="Z70" s="401"/>
      <c r="AA70" s="401"/>
    </row>
    <row r="71" spans="1:27" ht="12" customHeight="1">
      <c r="A71" s="401" t="s">
        <v>381</v>
      </c>
      <c r="B71" s="426">
        <v>29400</v>
      </c>
      <c r="C71" s="427">
        <v>19584</v>
      </c>
      <c r="D71" s="410">
        <f>SUM(C71-B71)</f>
        <v>-9816</v>
      </c>
      <c r="E71" s="401"/>
      <c r="F71" s="401"/>
      <c r="G71" s="401"/>
      <c r="H71" s="401"/>
      <c r="I71" s="401"/>
      <c r="J71" s="401"/>
      <c r="K71" s="401"/>
      <c r="L71" s="411"/>
      <c r="M71" s="401"/>
      <c r="N71" s="401"/>
      <c r="O71" s="401"/>
      <c r="P71" s="401"/>
      <c r="Q71" s="401"/>
      <c r="R71" s="401"/>
      <c r="S71" s="401"/>
      <c r="T71" s="401"/>
      <c r="U71" s="401"/>
      <c r="V71" s="401"/>
      <c r="W71" s="401"/>
      <c r="X71" s="401"/>
      <c r="Y71" s="401"/>
      <c r="Z71" s="401"/>
      <c r="AA71" s="401"/>
    </row>
    <row r="72" spans="1:27" ht="12" customHeight="1">
      <c r="A72" s="401" t="s">
        <v>382</v>
      </c>
      <c r="B72" s="426">
        <v>14629</v>
      </c>
      <c r="C72" s="427">
        <v>24445</v>
      </c>
      <c r="D72" s="410">
        <f>SUM(C72-B72)</f>
        <v>9816</v>
      </c>
      <c r="E72" s="401"/>
      <c r="F72" s="401"/>
      <c r="G72" s="401"/>
      <c r="H72" s="401"/>
      <c r="I72" s="401"/>
      <c r="J72" s="401"/>
      <c r="K72" s="401"/>
      <c r="L72" s="411"/>
      <c r="M72" s="401"/>
      <c r="N72" s="401"/>
      <c r="O72" s="401"/>
      <c r="P72" s="401"/>
      <c r="Q72" s="401"/>
      <c r="R72" s="401"/>
      <c r="S72" s="401"/>
      <c r="T72" s="401"/>
      <c r="U72" s="401"/>
      <c r="V72" s="401"/>
      <c r="W72" s="401"/>
      <c r="X72" s="401"/>
      <c r="Y72" s="401"/>
      <c r="Z72" s="401"/>
      <c r="AA72" s="401"/>
    </row>
    <row r="73" spans="1:27" ht="12" customHeight="1">
      <c r="A73" s="404" t="s">
        <v>383</v>
      </c>
      <c r="B73" s="426"/>
      <c r="C73" s="427"/>
      <c r="D73" s="410"/>
      <c r="E73" s="401"/>
      <c r="F73" s="401"/>
      <c r="G73" s="401"/>
      <c r="H73" s="401"/>
      <c r="I73" s="401"/>
      <c r="J73" s="401"/>
      <c r="K73" s="401"/>
      <c r="L73" s="411"/>
      <c r="M73" s="401"/>
      <c r="N73" s="401"/>
      <c r="O73" s="401"/>
      <c r="P73" s="401"/>
      <c r="Q73" s="401"/>
      <c r="R73" s="401"/>
      <c r="S73" s="401"/>
      <c r="T73" s="401"/>
      <c r="U73" s="401"/>
      <c r="V73" s="401"/>
      <c r="W73" s="401"/>
      <c r="X73" s="401"/>
      <c r="Y73" s="401"/>
      <c r="Z73" s="401"/>
      <c r="AA73" s="401"/>
    </row>
    <row r="74" spans="1:27" ht="12" customHeight="1">
      <c r="A74" s="401" t="s">
        <v>384</v>
      </c>
      <c r="B74" s="426">
        <v>122925</v>
      </c>
      <c r="C74" s="427">
        <v>122925</v>
      </c>
      <c r="D74" s="410">
        <f t="shared" ref="D74:D81" si="3">SUM(C74-B74)</f>
        <v>0</v>
      </c>
      <c r="E74" s="401"/>
      <c r="F74" s="401"/>
      <c r="G74" s="401"/>
      <c r="H74" s="401"/>
      <c r="I74" s="401"/>
      <c r="J74" s="401"/>
      <c r="K74" s="401"/>
      <c r="L74" s="411"/>
      <c r="M74" s="401"/>
      <c r="N74" s="401"/>
      <c r="O74" s="401"/>
      <c r="P74" s="401"/>
      <c r="Q74" s="401"/>
      <c r="R74" s="401"/>
      <c r="S74" s="401"/>
      <c r="T74" s="401"/>
      <c r="U74" s="401"/>
      <c r="V74" s="401"/>
      <c r="W74" s="401"/>
      <c r="X74" s="401"/>
      <c r="Y74" s="401"/>
      <c r="Z74" s="401"/>
      <c r="AA74" s="401"/>
    </row>
    <row r="75" spans="1:27" ht="12" customHeight="1">
      <c r="A75" s="401" t="s">
        <v>385</v>
      </c>
      <c r="B75" s="426">
        <v>810965</v>
      </c>
      <c r="C75" s="427">
        <v>810965</v>
      </c>
      <c r="D75" s="410">
        <f t="shared" si="3"/>
        <v>0</v>
      </c>
      <c r="E75" s="401"/>
      <c r="F75" s="401"/>
      <c r="G75" s="401"/>
      <c r="H75" s="401"/>
      <c r="I75" s="401"/>
      <c r="J75" s="401"/>
      <c r="L75" s="401"/>
      <c r="M75" s="401"/>
      <c r="N75" s="401"/>
      <c r="O75" s="401"/>
      <c r="P75" s="401"/>
      <c r="Q75" s="401"/>
      <c r="R75" s="401"/>
      <c r="S75" s="401"/>
      <c r="T75" s="401"/>
      <c r="U75" s="401"/>
      <c r="V75" s="401"/>
      <c r="W75" s="401"/>
      <c r="X75" s="401"/>
      <c r="Y75" s="401"/>
      <c r="Z75" s="401"/>
      <c r="AA75" s="401"/>
    </row>
    <row r="76" spans="1:27" ht="12" customHeight="1">
      <c r="A76" s="401" t="s">
        <v>386</v>
      </c>
      <c r="B76" s="426">
        <v>660000</v>
      </c>
      <c r="C76" s="427">
        <v>0</v>
      </c>
      <c r="D76" s="410">
        <f t="shared" si="3"/>
        <v>-660000</v>
      </c>
      <c r="E76" s="401"/>
      <c r="F76" s="401"/>
      <c r="G76" s="401"/>
      <c r="H76" s="401"/>
      <c r="I76" s="401"/>
      <c r="J76" s="401"/>
      <c r="K76" s="401"/>
      <c r="L76" s="401"/>
      <c r="M76" s="401"/>
      <c r="N76" s="401"/>
      <c r="O76" s="401"/>
      <c r="P76" s="401"/>
      <c r="Q76" s="401"/>
      <c r="R76" s="401"/>
      <c r="S76" s="401"/>
      <c r="T76" s="401"/>
      <c r="U76" s="401"/>
      <c r="V76" s="401"/>
      <c r="W76" s="401"/>
      <c r="X76" s="401"/>
      <c r="Y76" s="401"/>
      <c r="Z76" s="401"/>
      <c r="AA76" s="401"/>
    </row>
    <row r="77" spans="1:27" ht="12" customHeight="1">
      <c r="A77" s="401" t="s">
        <v>387</v>
      </c>
      <c r="B77" s="426">
        <v>83000</v>
      </c>
      <c r="C77" s="427">
        <v>83000</v>
      </c>
      <c r="D77" s="410">
        <f t="shared" si="3"/>
        <v>0</v>
      </c>
      <c r="E77" s="401"/>
      <c r="F77" s="401"/>
      <c r="G77" s="401"/>
      <c r="H77" s="401"/>
      <c r="I77" s="401"/>
      <c r="J77" s="401"/>
      <c r="K77" s="401"/>
      <c r="L77" s="401"/>
      <c r="M77" s="401"/>
      <c r="N77" s="401"/>
      <c r="O77" s="401"/>
      <c r="P77" s="401"/>
      <c r="Q77" s="401"/>
      <c r="R77" s="401"/>
      <c r="S77" s="401"/>
      <c r="T77" s="401"/>
      <c r="U77" s="401"/>
      <c r="V77" s="401"/>
      <c r="W77" s="401"/>
      <c r="X77" s="401"/>
      <c r="Y77" s="401"/>
      <c r="Z77" s="401"/>
      <c r="AA77" s="401"/>
    </row>
    <row r="78" spans="1:27" ht="12" customHeight="1">
      <c r="A78" s="401" t="s">
        <v>388</v>
      </c>
      <c r="B78" s="426">
        <v>64325</v>
      </c>
      <c r="C78" s="427">
        <v>64325</v>
      </c>
      <c r="D78" s="410">
        <f t="shared" si="3"/>
        <v>0</v>
      </c>
      <c r="E78" s="401"/>
      <c r="F78" s="401"/>
      <c r="G78" s="401"/>
      <c r="H78" s="401"/>
      <c r="I78" s="401"/>
      <c r="J78" s="401"/>
      <c r="K78" s="401"/>
      <c r="L78" s="401"/>
      <c r="M78" s="401"/>
      <c r="N78" s="401"/>
      <c r="O78" s="401"/>
      <c r="P78" s="401"/>
      <c r="Q78" s="401"/>
      <c r="R78" s="401"/>
      <c r="S78" s="401"/>
      <c r="T78" s="401"/>
      <c r="U78" s="401"/>
      <c r="V78" s="401"/>
      <c r="W78" s="401"/>
      <c r="X78" s="401"/>
      <c r="Y78" s="401"/>
      <c r="Z78" s="401"/>
      <c r="AA78" s="401"/>
    </row>
    <row r="79" spans="1:27" ht="12" customHeight="1">
      <c r="A79" s="401" t="s">
        <v>389</v>
      </c>
      <c r="B79" s="426">
        <v>0</v>
      </c>
      <c r="C79" s="427">
        <v>0</v>
      </c>
      <c r="D79" s="410">
        <f t="shared" si="3"/>
        <v>0</v>
      </c>
      <c r="E79" s="401"/>
      <c r="F79" s="401"/>
      <c r="G79" s="401"/>
      <c r="H79" s="401"/>
      <c r="I79" s="401"/>
      <c r="J79" s="401"/>
      <c r="K79" s="401"/>
      <c r="L79" s="401"/>
      <c r="M79" s="401"/>
      <c r="N79" s="401"/>
      <c r="O79" s="401"/>
      <c r="P79" s="401"/>
      <c r="Q79" s="401"/>
      <c r="R79" s="401"/>
      <c r="S79" s="401"/>
      <c r="T79" s="401"/>
      <c r="U79" s="401"/>
      <c r="V79" s="401"/>
      <c r="W79" s="401"/>
      <c r="X79" s="401"/>
      <c r="Y79" s="401"/>
      <c r="Z79" s="401"/>
      <c r="AA79" s="401"/>
    </row>
    <row r="80" spans="1:27" ht="12" customHeight="1">
      <c r="A80" s="401" t="s">
        <v>390</v>
      </c>
      <c r="B80" s="426">
        <v>40000</v>
      </c>
      <c r="C80" s="427">
        <v>40000</v>
      </c>
      <c r="D80" s="410">
        <f t="shared" si="3"/>
        <v>0</v>
      </c>
      <c r="E80" s="401"/>
      <c r="F80" s="401"/>
      <c r="G80" s="401"/>
      <c r="H80" s="401"/>
      <c r="I80" s="401"/>
      <c r="J80" s="401"/>
      <c r="K80" s="401"/>
      <c r="L80" s="401"/>
      <c r="M80" s="401"/>
      <c r="N80" s="401"/>
      <c r="O80" s="401"/>
      <c r="P80" s="401"/>
      <c r="Q80" s="401"/>
      <c r="R80" s="401"/>
      <c r="S80" s="401"/>
      <c r="T80" s="401"/>
      <c r="U80" s="401"/>
      <c r="V80" s="401"/>
      <c r="W80" s="401"/>
      <c r="X80" s="401"/>
      <c r="Y80" s="401"/>
      <c r="Z80" s="401"/>
      <c r="AA80" s="401"/>
    </row>
    <row r="81" spans="1:27" ht="12" customHeight="1">
      <c r="A81" s="401" t="s">
        <v>391</v>
      </c>
      <c r="B81" s="426">
        <v>14600</v>
      </c>
      <c r="C81" s="427">
        <v>14600</v>
      </c>
      <c r="D81" s="410">
        <f t="shared" si="3"/>
        <v>0</v>
      </c>
      <c r="E81" s="401"/>
      <c r="F81" s="401"/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401"/>
      <c r="U81" s="401"/>
      <c r="V81" s="401"/>
      <c r="W81" s="401"/>
      <c r="X81" s="401"/>
      <c r="Y81" s="401"/>
      <c r="Z81" s="401"/>
      <c r="AA81" s="401"/>
    </row>
    <row r="82" spans="1:27" ht="12" customHeight="1">
      <c r="A82" s="404" t="s">
        <v>392</v>
      </c>
      <c r="B82" s="426" t="s">
        <v>393</v>
      </c>
      <c r="C82" s="427"/>
      <c r="D82" s="410"/>
      <c r="E82" s="401"/>
      <c r="F82" s="401"/>
      <c r="G82" s="401"/>
      <c r="H82" s="401"/>
      <c r="I82" s="401"/>
      <c r="J82" s="401"/>
      <c r="K82" s="401"/>
      <c r="L82" s="411"/>
      <c r="M82" s="401"/>
      <c r="N82" s="401"/>
      <c r="O82" s="401"/>
      <c r="P82" s="401"/>
      <c r="Q82" s="401"/>
      <c r="R82" s="401"/>
      <c r="S82" s="401"/>
      <c r="T82" s="401"/>
      <c r="U82" s="401"/>
      <c r="V82" s="401"/>
      <c r="W82" s="401"/>
      <c r="X82" s="401"/>
      <c r="Y82" s="401"/>
      <c r="Z82" s="401"/>
      <c r="AA82" s="401"/>
    </row>
    <row r="83" spans="1:27" ht="12" customHeight="1">
      <c r="A83" s="401" t="s">
        <v>394</v>
      </c>
      <c r="B83" s="426">
        <v>5600000</v>
      </c>
      <c r="C83" s="427">
        <v>5600000</v>
      </c>
      <c r="D83" s="410">
        <f>SUM(C83-B83)</f>
        <v>0</v>
      </c>
      <c r="E83" s="401"/>
      <c r="F83" s="401"/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401"/>
      <c r="Z83" s="401"/>
      <c r="AA83" s="401"/>
    </row>
    <row r="84" spans="1:27" ht="12" customHeight="1">
      <c r="A84" s="401" t="s">
        <v>395</v>
      </c>
      <c r="B84" s="426">
        <v>1000000</v>
      </c>
      <c r="C84" s="427">
        <v>0</v>
      </c>
      <c r="D84" s="410">
        <f>SUM(C84-B84)</f>
        <v>-1000000</v>
      </c>
      <c r="E84" s="401"/>
      <c r="F84" s="401"/>
      <c r="G84" s="401"/>
      <c r="H84" s="401"/>
      <c r="I84" s="401"/>
      <c r="J84" s="401"/>
      <c r="K84" s="401"/>
      <c r="L84" s="401"/>
      <c r="M84" s="401"/>
      <c r="N84" s="401"/>
      <c r="O84" s="401"/>
      <c r="P84" s="401"/>
      <c r="Q84" s="401"/>
      <c r="R84" s="401"/>
      <c r="S84" s="401"/>
      <c r="T84" s="401"/>
      <c r="U84" s="401"/>
      <c r="V84" s="401"/>
      <c r="W84" s="401"/>
      <c r="X84" s="401"/>
      <c r="Y84" s="401"/>
      <c r="Z84" s="401"/>
      <c r="AA84" s="401"/>
    </row>
    <row r="85" spans="1:27" ht="12" customHeight="1">
      <c r="A85" s="401" t="s">
        <v>396</v>
      </c>
      <c r="B85" s="426">
        <v>0</v>
      </c>
      <c r="C85" s="427">
        <v>0</v>
      </c>
      <c r="D85" s="410">
        <f>SUM(C85-B85)</f>
        <v>0</v>
      </c>
      <c r="E85" s="401"/>
      <c r="F85" s="401"/>
      <c r="G85" s="401"/>
      <c r="H85" s="401"/>
      <c r="I85" s="401"/>
      <c r="J85" s="401"/>
      <c r="K85" s="401"/>
      <c r="L85" s="401"/>
      <c r="M85" s="401"/>
      <c r="N85" s="401"/>
      <c r="O85" s="401"/>
      <c r="P85" s="401"/>
      <c r="Q85" s="401"/>
      <c r="R85" s="401"/>
      <c r="S85" s="401"/>
      <c r="T85" s="401"/>
      <c r="U85" s="401"/>
      <c r="V85" s="401"/>
      <c r="W85" s="401"/>
      <c r="X85" s="401"/>
      <c r="Y85" s="401"/>
      <c r="Z85" s="401"/>
      <c r="AA85" s="401"/>
    </row>
    <row r="86" spans="1:27" ht="12" customHeight="1">
      <c r="A86" s="401" t="s">
        <v>397</v>
      </c>
      <c r="B86" s="428">
        <v>10000</v>
      </c>
      <c r="C86" s="429">
        <v>10000</v>
      </c>
      <c r="D86" s="430">
        <f>SUM(C86-B86)</f>
        <v>0</v>
      </c>
      <c r="E86" s="401"/>
      <c r="F86" s="401"/>
      <c r="G86" s="401"/>
      <c r="H86" s="401"/>
      <c r="I86" s="401"/>
      <c r="J86" s="401"/>
      <c r="K86" s="401"/>
      <c r="L86" s="401"/>
      <c r="M86" s="401"/>
      <c r="N86" s="401"/>
      <c r="O86" s="401"/>
      <c r="P86" s="401"/>
      <c r="Q86" s="401"/>
      <c r="R86" s="401"/>
      <c r="S86" s="401"/>
      <c r="T86" s="401"/>
      <c r="U86" s="401"/>
      <c r="V86" s="401"/>
      <c r="W86" s="401"/>
      <c r="X86" s="401"/>
      <c r="Y86" s="401"/>
      <c r="Z86" s="401"/>
      <c r="AA86" s="401"/>
    </row>
    <row r="87" spans="1:27" ht="12" customHeight="1">
      <c r="A87" s="404" t="s">
        <v>398</v>
      </c>
      <c r="B87" s="431">
        <f>SUM(B5:B86)</f>
        <v>64936282</v>
      </c>
      <c r="C87" s="432">
        <f>SUM(C5:C86)</f>
        <v>64125439</v>
      </c>
      <c r="D87" s="431">
        <f>SUM(D5:D86)</f>
        <v>-810843</v>
      </c>
      <c r="E87" s="401"/>
      <c r="F87" s="401"/>
      <c r="G87" s="401"/>
      <c r="H87" s="401"/>
      <c r="J87" s="401"/>
      <c r="K87" s="401"/>
      <c r="L87" s="401"/>
      <c r="M87" s="401"/>
      <c r="N87" s="401"/>
      <c r="O87" s="401"/>
      <c r="P87" s="401"/>
      <c r="Q87" s="401"/>
      <c r="R87" s="401"/>
      <c r="S87" s="401"/>
      <c r="T87" s="401"/>
      <c r="U87" s="401"/>
      <c r="V87" s="401"/>
      <c r="W87" s="401"/>
      <c r="X87" s="401"/>
      <c r="Y87" s="401"/>
      <c r="Z87" s="401"/>
      <c r="AA87" s="401"/>
    </row>
    <row r="88" spans="1:27" ht="12" customHeight="1">
      <c r="A88" s="404"/>
      <c r="B88" s="431"/>
      <c r="C88" s="432"/>
      <c r="D88" s="431"/>
      <c r="E88" s="401"/>
      <c r="F88" s="401"/>
      <c r="G88" s="401"/>
      <c r="H88" s="401"/>
      <c r="J88" s="401"/>
      <c r="K88" s="401"/>
      <c r="L88" s="401"/>
      <c r="M88" s="401"/>
      <c r="N88" s="401"/>
      <c r="O88" s="401"/>
      <c r="P88" s="401"/>
      <c r="Q88" s="401"/>
      <c r="R88" s="401"/>
      <c r="S88" s="401"/>
      <c r="T88" s="401"/>
      <c r="U88" s="401"/>
      <c r="V88" s="401"/>
      <c r="W88" s="401"/>
      <c r="X88" s="401"/>
      <c r="Y88" s="401"/>
      <c r="Z88" s="401"/>
      <c r="AA88" s="401"/>
    </row>
    <row r="89" spans="1:27" ht="12" customHeight="1">
      <c r="A89" s="401" t="s">
        <v>399</v>
      </c>
      <c r="B89" s="410">
        <v>0</v>
      </c>
      <c r="C89" s="421">
        <v>0</v>
      </c>
      <c r="D89" s="410">
        <f>SUM(C89-B89)</f>
        <v>0</v>
      </c>
      <c r="E89" s="401" t="s">
        <v>400</v>
      </c>
      <c r="F89" s="401" t="s">
        <v>401</v>
      </c>
      <c r="G89" s="401"/>
      <c r="H89" s="414"/>
      <c r="I89" s="401"/>
      <c r="J89" s="401"/>
      <c r="K89" s="401"/>
      <c r="L89" s="401"/>
      <c r="M89" s="401"/>
      <c r="N89" s="401"/>
      <c r="O89" s="401"/>
      <c r="P89" s="401"/>
      <c r="Q89" s="401"/>
      <c r="R89" s="401"/>
      <c r="S89" s="401"/>
      <c r="T89" s="401"/>
      <c r="U89" s="401"/>
      <c r="V89" s="401"/>
      <c r="W89" s="401"/>
      <c r="X89" s="401"/>
      <c r="Y89" s="401"/>
      <c r="Z89" s="401"/>
      <c r="AA89" s="401"/>
    </row>
    <row r="90" spans="1:27" ht="12" customHeight="1">
      <c r="A90" s="401"/>
      <c r="B90" s="410"/>
      <c r="C90" s="421"/>
      <c r="D90" s="410"/>
      <c r="E90" s="401" t="s">
        <v>402</v>
      </c>
      <c r="F90" s="401" t="s">
        <v>403</v>
      </c>
      <c r="G90" s="401"/>
      <c r="H90" s="414"/>
      <c r="I90" s="401"/>
      <c r="J90" s="401"/>
      <c r="K90" s="401"/>
      <c r="L90" s="401"/>
      <c r="M90" s="401"/>
      <c r="N90" s="401"/>
      <c r="O90" s="401"/>
      <c r="P90" s="401"/>
      <c r="Q90" s="401"/>
      <c r="R90" s="401"/>
      <c r="S90" s="401"/>
      <c r="T90" s="401"/>
      <c r="U90" s="401"/>
      <c r="V90" s="401"/>
      <c r="W90" s="401"/>
      <c r="X90" s="401"/>
      <c r="Y90" s="401"/>
      <c r="Z90" s="401"/>
      <c r="AA90" s="401"/>
    </row>
    <row r="91" spans="1:27" ht="12" customHeight="1">
      <c r="A91" s="401" t="s">
        <v>404</v>
      </c>
      <c r="B91" s="410">
        <v>120709</v>
      </c>
      <c r="C91" s="421">
        <v>121797</v>
      </c>
      <c r="D91" s="410">
        <f>SUM(C91-B91)</f>
        <v>1088</v>
      </c>
      <c r="E91" s="401"/>
      <c r="F91" s="401"/>
      <c r="G91" s="401"/>
      <c r="H91" s="401"/>
      <c r="I91" s="401"/>
      <c r="J91" s="401"/>
      <c r="K91" s="401"/>
      <c r="L91" s="401"/>
      <c r="M91" s="401"/>
      <c r="N91" s="401"/>
      <c r="O91" s="401"/>
      <c r="P91" s="401"/>
      <c r="Q91" s="401"/>
      <c r="R91" s="401"/>
      <c r="S91" s="401"/>
      <c r="T91" s="401"/>
      <c r="U91" s="401"/>
      <c r="V91" s="401"/>
      <c r="W91" s="401"/>
      <c r="X91" s="401"/>
      <c r="Y91" s="401"/>
      <c r="Z91" s="401"/>
      <c r="AA91" s="401"/>
    </row>
    <row r="92" spans="1:27" ht="12" customHeight="1">
      <c r="A92" s="401" t="s">
        <v>405</v>
      </c>
      <c r="B92" s="410">
        <v>1024843</v>
      </c>
      <c r="C92" s="421">
        <v>-4663300</v>
      </c>
      <c r="D92" s="410">
        <f>SUM(C92-B92)</f>
        <v>-5688143</v>
      </c>
      <c r="E92" s="401" t="s">
        <v>406</v>
      </c>
      <c r="F92" s="401"/>
      <c r="G92" s="401"/>
      <c r="H92" s="401"/>
      <c r="I92" s="401"/>
      <c r="J92" s="401"/>
      <c r="K92" s="401"/>
      <c r="L92" s="401"/>
      <c r="M92" s="401"/>
      <c r="N92" s="401"/>
      <c r="O92" s="401"/>
      <c r="P92" s="401"/>
      <c r="Q92" s="401"/>
      <c r="R92" s="401"/>
      <c r="S92" s="401"/>
      <c r="T92" s="401"/>
      <c r="U92" s="401"/>
      <c r="V92" s="401"/>
      <c r="W92" s="401"/>
      <c r="X92" s="401"/>
      <c r="Y92" s="401"/>
      <c r="Z92" s="401"/>
      <c r="AA92" s="401"/>
    </row>
    <row r="93" spans="1:27" ht="12" customHeight="1">
      <c r="A93" s="401" t="s">
        <v>407</v>
      </c>
      <c r="B93" s="430"/>
      <c r="C93" s="433"/>
      <c r="D93" s="430"/>
      <c r="E93" s="401" t="s">
        <v>408</v>
      </c>
      <c r="F93" s="401"/>
      <c r="G93" s="401"/>
      <c r="H93" s="401"/>
      <c r="I93" s="401"/>
      <c r="J93" s="401"/>
      <c r="K93" s="401"/>
      <c r="L93" s="401"/>
      <c r="M93" s="401"/>
      <c r="N93" s="401"/>
      <c r="O93" s="401"/>
      <c r="P93" s="401"/>
      <c r="Q93" s="401"/>
      <c r="R93" s="401"/>
      <c r="S93" s="401"/>
      <c r="T93" s="401"/>
      <c r="U93" s="401"/>
      <c r="V93" s="401"/>
      <c r="W93" s="401"/>
      <c r="X93" s="401"/>
      <c r="Y93" s="401"/>
      <c r="Z93" s="401"/>
      <c r="AA93" s="401"/>
    </row>
    <row r="94" spans="1:27" ht="12" customHeight="1" thickBot="1">
      <c r="A94" s="404" t="s">
        <v>409</v>
      </c>
      <c r="B94" s="434">
        <f>SUM(B87:B93)</f>
        <v>66081834</v>
      </c>
      <c r="C94" s="434">
        <f>SUM(C87:C93)</f>
        <v>59583936</v>
      </c>
      <c r="D94" s="434">
        <f>SUM(D87:D92)</f>
        <v>-6497898</v>
      </c>
      <c r="F94" s="108"/>
      <c r="G94" s="108"/>
      <c r="M94" s="401"/>
      <c r="N94" s="401"/>
      <c r="O94" s="401"/>
      <c r="P94" s="401"/>
      <c r="Q94" s="401"/>
      <c r="R94" s="401"/>
      <c r="S94" s="401"/>
      <c r="T94" s="401"/>
      <c r="U94" s="401"/>
      <c r="V94" s="401"/>
      <c r="W94" s="401"/>
      <c r="X94" s="401"/>
      <c r="Y94" s="401"/>
      <c r="Z94" s="401"/>
      <c r="AA94" s="401"/>
    </row>
    <row r="95" spans="1:27" ht="12" customHeight="1" thickTop="1">
      <c r="A95" s="401" t="s">
        <v>410</v>
      </c>
      <c r="B95" s="401"/>
      <c r="C95" s="401"/>
      <c r="D95" s="401"/>
      <c r="E95" s="401"/>
      <c r="F95" s="401"/>
      <c r="G95" s="401"/>
      <c r="H95" s="401"/>
      <c r="I95" s="401"/>
      <c r="J95" s="401"/>
      <c r="K95" s="401"/>
      <c r="L95" s="411"/>
      <c r="M95" s="401"/>
      <c r="N95" s="401"/>
      <c r="O95" s="401"/>
      <c r="P95" s="401"/>
      <c r="Q95" s="401"/>
      <c r="R95" s="401"/>
      <c r="S95" s="401"/>
      <c r="T95" s="401"/>
      <c r="U95" s="401"/>
      <c r="V95" s="401"/>
      <c r="W95" s="401"/>
      <c r="X95" s="401"/>
      <c r="Y95" s="401"/>
      <c r="Z95" s="401"/>
      <c r="AA95" s="401"/>
    </row>
    <row r="96" spans="1:27" ht="12" customHeight="1">
      <c r="B96" s="401"/>
      <c r="C96" s="401"/>
      <c r="D96" s="401"/>
      <c r="E96" s="401"/>
      <c r="F96" s="401"/>
      <c r="G96" s="401"/>
      <c r="H96" s="401"/>
      <c r="I96" s="401"/>
      <c r="J96" s="401"/>
      <c r="K96" s="401"/>
      <c r="L96" s="401"/>
      <c r="M96" s="401"/>
      <c r="N96" s="401"/>
      <c r="O96" s="401"/>
      <c r="P96" s="401"/>
      <c r="Q96" s="401"/>
      <c r="R96" s="401"/>
      <c r="S96" s="401"/>
      <c r="T96" s="401"/>
      <c r="U96" s="401"/>
      <c r="V96" s="401"/>
      <c r="W96" s="401"/>
      <c r="X96" s="401"/>
      <c r="Y96" s="401"/>
      <c r="Z96" s="401"/>
      <c r="AA96" s="401"/>
    </row>
    <row r="97" spans="2:27">
      <c r="B97" s="490">
        <f>+'PCFP Calcs'!B14</f>
        <v>59233467</v>
      </c>
      <c r="C97" s="490">
        <f>+'PCFP Calcs'!B14</f>
        <v>59233467</v>
      </c>
      <c r="E97" s="401"/>
      <c r="F97" s="401"/>
      <c r="G97" s="401"/>
      <c r="H97" s="401"/>
      <c r="I97" s="401"/>
      <c r="J97" s="401"/>
      <c r="K97" s="401"/>
      <c r="L97" s="401"/>
      <c r="M97" s="401"/>
      <c r="N97" s="401"/>
      <c r="O97" s="401"/>
      <c r="P97" s="401"/>
      <c r="Q97" s="401"/>
      <c r="R97" s="401"/>
      <c r="S97" s="401"/>
      <c r="T97" s="401"/>
      <c r="U97" s="401"/>
      <c r="V97" s="401"/>
      <c r="W97" s="401"/>
      <c r="X97" s="401"/>
      <c r="Y97" s="401"/>
      <c r="Z97" s="401"/>
      <c r="AA97" s="401"/>
    </row>
    <row r="98" spans="2:27">
      <c r="E98" s="401"/>
      <c r="F98" s="401"/>
      <c r="G98" s="401"/>
      <c r="H98" s="401"/>
      <c r="I98" s="401"/>
      <c r="J98" s="401"/>
      <c r="K98" s="401"/>
      <c r="L98" s="411"/>
      <c r="M98" s="401"/>
      <c r="N98" s="401"/>
      <c r="O98" s="401"/>
      <c r="P98" s="401"/>
      <c r="Q98" s="401"/>
      <c r="R98" s="401"/>
      <c r="S98" s="401"/>
      <c r="T98" s="401"/>
      <c r="U98" s="401"/>
      <c r="V98" s="401"/>
      <c r="W98" s="401"/>
      <c r="X98" s="401"/>
      <c r="Y98" s="401"/>
      <c r="Z98" s="401"/>
      <c r="AA98" s="401"/>
    </row>
    <row r="99" spans="2:27">
      <c r="B99" s="435">
        <f>+B87-B97</f>
        <v>5702815</v>
      </c>
      <c r="C99" s="435">
        <f>+C87-C97</f>
        <v>4891972</v>
      </c>
      <c r="E99" s="401"/>
      <c r="F99" s="401"/>
      <c r="G99" s="401"/>
      <c r="H99" s="401"/>
      <c r="I99" s="401"/>
      <c r="J99" s="401"/>
      <c r="K99" s="401"/>
      <c r="L99" s="401"/>
      <c r="M99" s="401"/>
      <c r="N99" s="401"/>
      <c r="O99" s="401"/>
      <c r="P99" s="401"/>
      <c r="Q99" s="401"/>
      <c r="R99" s="401"/>
      <c r="S99" s="401"/>
      <c r="T99" s="401"/>
      <c r="U99" s="401"/>
      <c r="V99" s="401"/>
      <c r="W99" s="401"/>
      <c r="X99" s="401"/>
      <c r="Y99" s="401"/>
      <c r="Z99" s="401"/>
      <c r="AA99" s="401"/>
    </row>
    <row r="100" spans="2:27">
      <c r="E100" s="401"/>
      <c r="F100" s="401"/>
      <c r="G100" s="401"/>
      <c r="H100" s="401"/>
      <c r="I100" s="401"/>
      <c r="J100" s="401"/>
      <c r="K100" s="401"/>
      <c r="L100" s="401"/>
      <c r="M100" s="401"/>
      <c r="N100" s="401"/>
      <c r="O100" s="401"/>
      <c r="P100" s="401"/>
      <c r="Q100" s="401"/>
      <c r="R100" s="401"/>
      <c r="S100" s="401"/>
      <c r="T100" s="401"/>
      <c r="U100" s="401"/>
      <c r="V100" s="401"/>
      <c r="W100" s="401"/>
      <c r="X100" s="401"/>
      <c r="Y100" s="401"/>
      <c r="Z100" s="401"/>
      <c r="AA100" s="401"/>
    </row>
    <row r="101" spans="2:27">
      <c r="B101" s="110">
        <f>+'FY2026-FY2015'!I36+SpEd!E35</f>
        <v>-1425250</v>
      </c>
    </row>
    <row r="103" spans="2:27">
      <c r="B103" s="552">
        <f>-B99+B101</f>
        <v>-7128065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outlinePr summaryBelow="0" summaryRight="0"/>
  </sheetPr>
  <dimension ref="A1:AE209"/>
  <sheetViews>
    <sheetView tabSelected="1" workbookViewId="0">
      <selection activeCell="A30" sqref="A30"/>
    </sheetView>
  </sheetViews>
  <sheetFormatPr defaultColWidth="12.5703125" defaultRowHeight="15.75" customHeight="1"/>
  <cols>
    <col min="1" max="1" width="5" customWidth="1"/>
    <col min="2" max="2" width="6.42578125" customWidth="1"/>
    <col min="3" max="3" width="21.7109375" customWidth="1"/>
    <col min="4" max="4" width="12.5703125" customWidth="1"/>
    <col min="5" max="5" width="9.42578125" customWidth="1"/>
    <col min="6" max="6" width="14.7109375" customWidth="1"/>
    <col min="7" max="11" width="12.5703125" customWidth="1"/>
    <col min="12" max="12" width="9.28515625" customWidth="1"/>
    <col min="13" max="14" width="12.5703125" customWidth="1"/>
    <col min="15" max="15" width="11.85546875" customWidth="1"/>
    <col min="16" max="16" width="12.7109375" customWidth="1"/>
  </cols>
  <sheetData>
    <row r="1" spans="1:31" ht="12.75">
      <c r="A1" s="23" t="s">
        <v>80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ht="12.75">
      <c r="A2" s="23" t="s">
        <v>81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12.75">
      <c r="A3" s="24"/>
      <c r="B3" s="24"/>
      <c r="C3" s="24"/>
      <c r="D3" s="503" t="s">
        <v>412</v>
      </c>
      <c r="E3" s="508"/>
      <c r="F3" s="508"/>
      <c r="G3" s="508"/>
      <c r="H3" s="508"/>
      <c r="I3" s="508"/>
      <c r="J3" s="508"/>
      <c r="K3" s="508"/>
      <c r="L3" s="504"/>
      <c r="M3" s="503" t="s">
        <v>413</v>
      </c>
      <c r="N3" s="504"/>
      <c r="O3" s="2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12.75">
      <c r="D4" s="367" t="s">
        <v>290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12.75">
      <c r="A5" s="4"/>
      <c r="B5" s="4"/>
      <c r="C5" s="4"/>
      <c r="D5" s="4" t="s">
        <v>36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ht="12.75">
      <c r="A6" s="24" t="s">
        <v>82</v>
      </c>
      <c r="B6" s="24" t="s">
        <v>83</v>
      </c>
      <c r="C6" s="24" t="s">
        <v>2</v>
      </c>
      <c r="D6" s="24" t="s">
        <v>3</v>
      </c>
      <c r="E6" s="24" t="s">
        <v>4</v>
      </c>
      <c r="F6" s="24" t="s">
        <v>5</v>
      </c>
      <c r="G6" s="24">
        <f t="shared" ref="G6:M6" si="0">F6-1</f>
        <v>2023</v>
      </c>
      <c r="H6" s="24">
        <f t="shared" si="0"/>
        <v>2022</v>
      </c>
      <c r="I6" s="24">
        <f t="shared" si="0"/>
        <v>2021</v>
      </c>
      <c r="J6" s="24">
        <f t="shared" si="0"/>
        <v>2020</v>
      </c>
      <c r="K6" s="24">
        <f t="shared" si="0"/>
        <v>2019</v>
      </c>
      <c r="L6" s="24">
        <f t="shared" si="0"/>
        <v>2018</v>
      </c>
      <c r="M6" s="24">
        <f t="shared" si="0"/>
        <v>2017</v>
      </c>
      <c r="N6" s="24" t="s">
        <v>411</v>
      </c>
      <c r="O6" s="2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15.75" customHeight="1">
      <c r="D7" s="104">
        <f>+D8/E9-1</f>
        <v>-2.3270440251572322E-2</v>
      </c>
    </row>
    <row r="8" spans="1:31" ht="12.75">
      <c r="C8" s="1" t="s">
        <v>38</v>
      </c>
      <c r="D8" s="2">
        <v>4659</v>
      </c>
      <c r="E8" s="2">
        <v>4797</v>
      </c>
      <c r="F8" s="2">
        <v>5024</v>
      </c>
      <c r="G8" s="2">
        <v>5264</v>
      </c>
      <c r="H8" s="2">
        <f>5281-32</f>
        <v>5249</v>
      </c>
      <c r="I8" s="436">
        <f>5303.7-33</f>
        <v>5270.7</v>
      </c>
      <c r="J8" s="2">
        <f>5655+36</f>
        <v>5691</v>
      </c>
      <c r="K8" s="2">
        <f>5698+1</f>
        <v>5699</v>
      </c>
      <c r="L8" s="2">
        <f>5770.1-26</f>
        <v>5744.1</v>
      </c>
      <c r="M8" s="2">
        <f>5858.2-31.2+52</f>
        <v>5879</v>
      </c>
      <c r="N8" s="2">
        <f>5777-45-219+75+365</f>
        <v>5953</v>
      </c>
      <c r="O8" s="2"/>
      <c r="P8" s="2"/>
    </row>
    <row r="9" spans="1:31" ht="12.75">
      <c r="C9" s="1" t="s">
        <v>84</v>
      </c>
      <c r="D9" s="128">
        <v>4637</v>
      </c>
      <c r="E9" s="128">
        <v>4770</v>
      </c>
      <c r="F9" s="438">
        <v>4980.3999999999996</v>
      </c>
      <c r="G9" s="438">
        <v>5172.3999999999996</v>
      </c>
      <c r="H9" s="128">
        <v>5221</v>
      </c>
      <c r="I9" s="437">
        <v>5249.5</v>
      </c>
      <c r="J9" s="128">
        <f>5665.5</f>
        <v>5665.5</v>
      </c>
      <c r="K9" s="128">
        <v>5676.2</v>
      </c>
      <c r="L9" s="128">
        <f>5724.2</f>
        <v>5724.2</v>
      </c>
      <c r="M9" s="128">
        <v>5858.2</v>
      </c>
      <c r="N9" s="128">
        <v>5777</v>
      </c>
      <c r="O9" s="2"/>
      <c r="P9" s="2"/>
    </row>
    <row r="10" spans="1:31" ht="14.25">
      <c r="A10" s="105"/>
      <c r="B10" s="105"/>
      <c r="C10" s="129" t="s">
        <v>44</v>
      </c>
      <c r="D10" s="133">
        <f t="shared" ref="D10:K10" si="1">+D8-D9</f>
        <v>22</v>
      </c>
      <c r="E10" s="133">
        <f t="shared" si="1"/>
        <v>27</v>
      </c>
      <c r="F10" s="128">
        <f t="shared" si="1"/>
        <v>43.600000000000364</v>
      </c>
      <c r="G10" s="128">
        <f t="shared" si="1"/>
        <v>91.600000000000364</v>
      </c>
      <c r="H10" s="128">
        <f t="shared" si="1"/>
        <v>28</v>
      </c>
      <c r="I10" s="128">
        <f t="shared" si="1"/>
        <v>21.199999999999818</v>
      </c>
      <c r="J10" s="128">
        <f t="shared" si="1"/>
        <v>25.5</v>
      </c>
      <c r="K10" s="128">
        <f t="shared" si="1"/>
        <v>22.800000000000182</v>
      </c>
      <c r="L10" s="128">
        <f>+L8-L9</f>
        <v>19.900000000000546</v>
      </c>
      <c r="M10" s="128">
        <f t="shared" ref="M10:N10" si="2">+M8-M9</f>
        <v>20.800000000000182</v>
      </c>
      <c r="N10" s="128">
        <f t="shared" si="2"/>
        <v>176</v>
      </c>
      <c r="O10" s="128"/>
      <c r="P10" s="2"/>
    </row>
    <row r="11" spans="1:31" ht="21" customHeight="1">
      <c r="B11" s="126" t="s">
        <v>38</v>
      </c>
      <c r="D11" s="2"/>
      <c r="E11" s="103"/>
      <c r="F11" s="2"/>
      <c r="G11" s="2"/>
      <c r="H11" s="2"/>
      <c r="I11" s="1"/>
      <c r="J11" s="2"/>
      <c r="K11" s="2"/>
      <c r="L11" s="2"/>
      <c r="M11" s="2"/>
      <c r="N11" s="2"/>
      <c r="O11" s="2"/>
      <c r="P11" s="2"/>
    </row>
    <row r="12" spans="1:31" ht="12.75">
      <c r="C12" s="1" t="s">
        <v>85</v>
      </c>
      <c r="D12" s="2">
        <f t="shared" ref="D12:J12" si="3">D8-E8</f>
        <v>-138</v>
      </c>
      <c r="E12" s="2">
        <f t="shared" si="3"/>
        <v>-227</v>
      </c>
      <c r="F12" s="2">
        <f t="shared" si="3"/>
        <v>-240</v>
      </c>
      <c r="G12" s="2">
        <f t="shared" si="3"/>
        <v>15</v>
      </c>
      <c r="H12" s="2">
        <f t="shared" si="3"/>
        <v>-21.699999999999818</v>
      </c>
      <c r="I12" s="2">
        <f t="shared" si="3"/>
        <v>-420.30000000000018</v>
      </c>
      <c r="J12" s="2">
        <f t="shared" si="3"/>
        <v>-8</v>
      </c>
      <c r="K12" s="2">
        <f t="shared" ref="K12" si="4">K8-L8</f>
        <v>-45.100000000000364</v>
      </c>
      <c r="L12" s="2">
        <f t="shared" ref="L12" si="5">L8-M8</f>
        <v>-134.89999999999964</v>
      </c>
      <c r="M12" s="2">
        <f t="shared" ref="M12" si="6">M8-N8</f>
        <v>-74</v>
      </c>
      <c r="N12" s="2"/>
      <c r="O12" s="2"/>
      <c r="P12" s="2"/>
    </row>
    <row r="13" spans="1:31" ht="12.75">
      <c r="C13" s="1" t="s">
        <v>86</v>
      </c>
      <c r="D13" s="2">
        <f t="shared" ref="D13:L13" si="7">D8-$N$8</f>
        <v>-1294</v>
      </c>
      <c r="E13" s="2">
        <f t="shared" si="7"/>
        <v>-1156</v>
      </c>
      <c r="F13" s="2">
        <f t="shared" si="7"/>
        <v>-929</v>
      </c>
      <c r="G13" s="2">
        <f t="shared" si="7"/>
        <v>-689</v>
      </c>
      <c r="H13" s="2">
        <f t="shared" si="7"/>
        <v>-704</v>
      </c>
      <c r="I13" s="2">
        <f t="shared" si="7"/>
        <v>-682.30000000000018</v>
      </c>
      <c r="J13" s="2">
        <f t="shared" si="7"/>
        <v>-262</v>
      </c>
      <c r="K13" s="2">
        <f t="shared" si="7"/>
        <v>-254</v>
      </c>
      <c r="L13" s="2">
        <f t="shared" si="7"/>
        <v>-208.89999999999964</v>
      </c>
      <c r="M13" s="2">
        <f>M8-$N$8</f>
        <v>-74</v>
      </c>
      <c r="N13" s="2"/>
      <c r="O13" s="2"/>
      <c r="P13" s="2"/>
    </row>
    <row r="14" spans="1:31" ht="19.5" customHeight="1">
      <c r="B14" s="126" t="s">
        <v>84</v>
      </c>
      <c r="D14" s="10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31" ht="12.75">
      <c r="C15" s="1" t="s">
        <v>85</v>
      </c>
      <c r="D15" s="2">
        <f t="shared" ref="D15:K15" si="8">D9-E9</f>
        <v>-133</v>
      </c>
      <c r="E15" s="2">
        <f t="shared" si="8"/>
        <v>-210.39999999999964</v>
      </c>
      <c r="F15" s="2">
        <f t="shared" si="8"/>
        <v>-192</v>
      </c>
      <c r="G15" s="2">
        <f t="shared" si="8"/>
        <v>-48.600000000000364</v>
      </c>
      <c r="H15" s="2">
        <f t="shared" si="8"/>
        <v>-28.5</v>
      </c>
      <c r="I15" s="2">
        <f t="shared" si="8"/>
        <v>-416</v>
      </c>
      <c r="J15" s="2">
        <f t="shared" si="8"/>
        <v>-10.699999999999818</v>
      </c>
      <c r="K15" s="2">
        <f t="shared" si="8"/>
        <v>-48</v>
      </c>
      <c r="L15" s="2">
        <f t="shared" ref="L15" si="9">L9-M9</f>
        <v>-134</v>
      </c>
      <c r="M15" s="2">
        <f t="shared" ref="M15" si="10">M9-N9</f>
        <v>81.199999999999818</v>
      </c>
      <c r="N15" s="2">
        <v>0</v>
      </c>
      <c r="O15" s="2"/>
      <c r="P15" s="2"/>
    </row>
    <row r="16" spans="1:31" ht="12.75">
      <c r="C16" s="1" t="s">
        <v>86</v>
      </c>
      <c r="D16" s="2">
        <f t="shared" ref="D16:J16" si="11">D9-$N$9</f>
        <v>-1140</v>
      </c>
      <c r="E16" s="2">
        <f t="shared" si="11"/>
        <v>-1007</v>
      </c>
      <c r="F16" s="2">
        <f t="shared" si="11"/>
        <v>-796.60000000000036</v>
      </c>
      <c r="G16" s="2">
        <f t="shared" si="11"/>
        <v>-604.60000000000036</v>
      </c>
      <c r="H16" s="2">
        <f t="shared" si="11"/>
        <v>-556</v>
      </c>
      <c r="I16" s="2">
        <f t="shared" si="11"/>
        <v>-527.5</v>
      </c>
      <c r="J16" s="2">
        <f t="shared" si="11"/>
        <v>-111.5</v>
      </c>
      <c r="K16" s="2">
        <f>K9-$N$9</f>
        <v>-100.80000000000018</v>
      </c>
      <c r="L16" s="2">
        <f>L9-$N$9</f>
        <v>-52.800000000000182</v>
      </c>
      <c r="M16" s="2">
        <f>M9-$N$9</f>
        <v>81.199999999999818</v>
      </c>
      <c r="N16" s="2">
        <v>0</v>
      </c>
      <c r="O16" s="2"/>
      <c r="P16" s="2"/>
    </row>
    <row r="17" spans="1:26" ht="12.75">
      <c r="A17" s="1"/>
      <c r="B17" s="1"/>
      <c r="C17" s="1"/>
      <c r="D17" s="450">
        <f>+D8/L8-1</f>
        <v>-0.18890687836214559</v>
      </c>
      <c r="E17" s="489">
        <f>+E16/N9</f>
        <v>-0.1743119266055046</v>
      </c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26" ht="12.75">
      <c r="A18" s="451"/>
      <c r="B18" s="452"/>
      <c r="C18" s="452"/>
      <c r="D18" s="453"/>
      <c r="E18" s="453"/>
      <c r="F18" s="452"/>
      <c r="G18" s="454"/>
      <c r="H18" s="454"/>
      <c r="I18" s="454"/>
      <c r="J18" s="454"/>
      <c r="K18" s="454"/>
      <c r="L18" s="454"/>
      <c r="M18" s="454"/>
      <c r="N18" s="454"/>
      <c r="O18" s="454"/>
      <c r="P18" s="455"/>
    </row>
    <row r="19" spans="1:26" ht="12.75">
      <c r="A19" s="456" t="s">
        <v>82</v>
      </c>
      <c r="B19" s="457" t="s">
        <v>465</v>
      </c>
      <c r="C19" s="458" t="s">
        <v>87</v>
      </c>
      <c r="D19" s="459" t="s">
        <v>36</v>
      </c>
      <c r="E19" s="460">
        <v>2025</v>
      </c>
      <c r="F19" s="461" t="s">
        <v>36</v>
      </c>
      <c r="G19" s="461"/>
      <c r="H19" s="461"/>
      <c r="I19" s="461"/>
      <c r="J19" s="461"/>
      <c r="K19" s="461"/>
      <c r="L19" s="461">
        <v>2018</v>
      </c>
      <c r="M19" s="462"/>
      <c r="N19" s="462"/>
      <c r="O19" s="462" t="s">
        <v>467</v>
      </c>
      <c r="P19" s="463" t="s">
        <v>271</v>
      </c>
      <c r="Z19" s="104">
        <f>+(4770-5777)/5777</f>
        <v>-0.1743119266055046</v>
      </c>
    </row>
    <row r="20" spans="1:26" ht="22.5" customHeight="1">
      <c r="A20" s="464">
        <v>100</v>
      </c>
      <c r="B20" s="465">
        <v>1000</v>
      </c>
      <c r="C20" s="465" t="s">
        <v>88</v>
      </c>
      <c r="D20" s="466">
        <v>204</v>
      </c>
      <c r="E20" s="466">
        <v>222</v>
      </c>
      <c r="F20" s="466">
        <v>233.6</v>
      </c>
      <c r="G20" s="466">
        <v>234.4</v>
      </c>
      <c r="H20" s="466">
        <v>230.4</v>
      </c>
      <c r="I20" s="466">
        <v>240.27</v>
      </c>
      <c r="J20" s="466">
        <v>238</v>
      </c>
      <c r="K20" s="466">
        <v>239.17</v>
      </c>
      <c r="L20" s="466">
        <v>237.93</v>
      </c>
      <c r="M20" s="454"/>
      <c r="N20" s="454"/>
      <c r="O20" s="484">
        <f t="shared" ref="O20:O45" si="12">+E20-L20</f>
        <v>-15.930000000000007</v>
      </c>
      <c r="P20" s="467">
        <f t="shared" ref="P20:P45" si="13">+O20/L20</f>
        <v>-6.6952465010717471E-2</v>
      </c>
    </row>
    <row r="21" spans="1:26" ht="12.75">
      <c r="A21" s="468">
        <v>100</v>
      </c>
      <c r="B21" s="469">
        <v>1000</v>
      </c>
      <c r="C21" s="469" t="s">
        <v>89</v>
      </c>
      <c r="D21" s="470">
        <v>30</v>
      </c>
      <c r="E21" s="470">
        <v>44</v>
      </c>
      <c r="F21" s="470">
        <v>28.97</v>
      </c>
      <c r="G21" s="470">
        <v>24.63</v>
      </c>
      <c r="H21" s="470">
        <f>25.5</f>
        <v>25.5</v>
      </c>
      <c r="I21" s="471">
        <v>28.09</v>
      </c>
      <c r="J21" s="471">
        <v>26.03</v>
      </c>
      <c r="K21" s="471">
        <v>26.13</v>
      </c>
      <c r="L21" s="471">
        <v>24.16</v>
      </c>
      <c r="M21" s="167"/>
      <c r="N21" s="167"/>
      <c r="O21" s="485">
        <f t="shared" si="12"/>
        <v>19.84</v>
      </c>
      <c r="P21" s="472">
        <f t="shared" si="13"/>
        <v>0.82119205298013243</v>
      </c>
    </row>
    <row r="22" spans="1:26" ht="12.75">
      <c r="A22" s="468">
        <v>200</v>
      </c>
      <c r="B22" s="469">
        <v>1000</v>
      </c>
      <c r="C22" s="469" t="s">
        <v>88</v>
      </c>
      <c r="D22" s="473">
        <v>0</v>
      </c>
      <c r="E22" s="473">
        <v>0</v>
      </c>
      <c r="F22" s="473">
        <v>0</v>
      </c>
      <c r="G22" s="473">
        <f>1.4+1.5</f>
        <v>2.9</v>
      </c>
      <c r="H22" s="473">
        <f>6.4+5.5</f>
        <v>11.9</v>
      </c>
      <c r="I22" s="473"/>
      <c r="J22" s="473"/>
      <c r="K22" s="473"/>
      <c r="L22" s="473"/>
      <c r="M22" s="167"/>
      <c r="N22" s="167"/>
      <c r="O22" s="485">
        <f t="shared" si="12"/>
        <v>0</v>
      </c>
      <c r="P22" s="472" t="e">
        <f t="shared" si="13"/>
        <v>#DIV/0!</v>
      </c>
    </row>
    <row r="23" spans="1:26" ht="12.75">
      <c r="A23" s="468"/>
      <c r="B23" s="469">
        <v>1000</v>
      </c>
      <c r="C23" s="469" t="s">
        <v>89</v>
      </c>
      <c r="D23" s="473">
        <v>0</v>
      </c>
      <c r="E23" s="473">
        <v>0</v>
      </c>
      <c r="F23" s="473">
        <v>0</v>
      </c>
      <c r="G23" s="473">
        <v>0</v>
      </c>
      <c r="H23" s="473">
        <f>5+1</f>
        <v>6</v>
      </c>
      <c r="I23" s="473"/>
      <c r="J23" s="473"/>
      <c r="K23" s="473"/>
      <c r="L23" s="473"/>
      <c r="M23" s="167"/>
      <c r="N23" s="167"/>
      <c r="O23" s="485">
        <f t="shared" si="12"/>
        <v>0</v>
      </c>
      <c r="P23" s="472" t="e">
        <f t="shared" si="13"/>
        <v>#DIV/0!</v>
      </c>
    </row>
    <row r="24" spans="1:26" ht="12.75">
      <c r="A24" s="468">
        <v>300</v>
      </c>
      <c r="B24" s="469">
        <v>1000</v>
      </c>
      <c r="C24" s="469" t="s">
        <v>88</v>
      </c>
      <c r="D24" s="470">
        <v>8</v>
      </c>
      <c r="E24" s="470">
        <v>7</v>
      </c>
      <c r="F24" s="470">
        <v>7</v>
      </c>
      <c r="G24" s="470">
        <v>6</v>
      </c>
      <c r="H24" s="470">
        <v>7</v>
      </c>
      <c r="I24" s="471">
        <v>10</v>
      </c>
      <c r="J24" s="471">
        <v>9.6999999999999993</v>
      </c>
      <c r="K24" s="471">
        <v>9.5399999999999991</v>
      </c>
      <c r="L24" s="471">
        <v>9.5</v>
      </c>
      <c r="M24" s="167"/>
      <c r="N24" s="167"/>
      <c r="O24" s="485">
        <f t="shared" si="12"/>
        <v>-2.5</v>
      </c>
      <c r="P24" s="472">
        <f t="shared" si="13"/>
        <v>-0.26315789473684209</v>
      </c>
    </row>
    <row r="25" spans="1:26" ht="12.75">
      <c r="A25" s="468"/>
      <c r="B25" s="469">
        <v>1000</v>
      </c>
      <c r="C25" s="469" t="s">
        <v>89</v>
      </c>
      <c r="D25" s="473">
        <v>0</v>
      </c>
      <c r="E25" s="473">
        <v>0</v>
      </c>
      <c r="F25" s="473">
        <v>0</v>
      </c>
      <c r="G25" s="473">
        <v>0</v>
      </c>
      <c r="H25" s="473">
        <v>0</v>
      </c>
      <c r="I25" s="473"/>
      <c r="J25" s="473"/>
      <c r="K25" s="473"/>
      <c r="L25" s="473"/>
      <c r="M25" s="167"/>
      <c r="N25" s="167"/>
      <c r="O25" s="485">
        <f t="shared" si="12"/>
        <v>0</v>
      </c>
      <c r="P25" s="472" t="e">
        <f t="shared" si="13"/>
        <v>#DIV/0!</v>
      </c>
    </row>
    <row r="26" spans="1:26" ht="12.75">
      <c r="A26" s="468">
        <v>400</v>
      </c>
      <c r="B26" s="469">
        <v>1000</v>
      </c>
      <c r="C26" s="469" t="s">
        <v>88</v>
      </c>
      <c r="D26" s="470">
        <v>7</v>
      </c>
      <c r="E26" s="470">
        <v>8</v>
      </c>
      <c r="F26" s="470">
        <v>2</v>
      </c>
      <c r="G26" s="470">
        <v>2</v>
      </c>
      <c r="H26" s="470">
        <v>2</v>
      </c>
      <c r="I26" s="471">
        <v>14.5</v>
      </c>
      <c r="J26" s="471">
        <v>15</v>
      </c>
      <c r="K26" s="471">
        <v>15.5</v>
      </c>
      <c r="L26" s="471">
        <v>14.5</v>
      </c>
      <c r="M26" s="167"/>
      <c r="N26" s="167"/>
      <c r="O26" s="485">
        <f t="shared" si="12"/>
        <v>-6.5</v>
      </c>
      <c r="P26" s="472">
        <f t="shared" si="13"/>
        <v>-0.44827586206896552</v>
      </c>
    </row>
    <row r="27" spans="1:26" ht="12.75">
      <c r="A27" s="468"/>
      <c r="B27" s="469">
        <v>1000</v>
      </c>
      <c r="C27" s="469" t="s">
        <v>89</v>
      </c>
      <c r="D27" s="470">
        <v>7</v>
      </c>
      <c r="E27" s="470">
        <v>7</v>
      </c>
      <c r="F27" s="470">
        <v>5</v>
      </c>
      <c r="G27" s="470">
        <v>5</v>
      </c>
      <c r="H27" s="470">
        <v>5</v>
      </c>
      <c r="I27" s="471">
        <v>6</v>
      </c>
      <c r="J27" s="471">
        <v>6.88</v>
      </c>
      <c r="K27" s="471">
        <v>7.75</v>
      </c>
      <c r="L27" s="471">
        <v>8.1</v>
      </c>
      <c r="M27" s="167"/>
      <c r="N27" s="167"/>
      <c r="O27" s="485">
        <f t="shared" si="12"/>
        <v>-1.0999999999999996</v>
      </c>
      <c r="P27" s="472">
        <f t="shared" si="13"/>
        <v>-0.13580246913580243</v>
      </c>
    </row>
    <row r="28" spans="1:26" ht="12.75">
      <c r="A28" s="468">
        <v>600</v>
      </c>
      <c r="B28" s="469">
        <v>1000</v>
      </c>
      <c r="C28" s="469" t="s">
        <v>88</v>
      </c>
      <c r="D28" s="473"/>
      <c r="E28" s="473"/>
      <c r="F28" s="473"/>
      <c r="G28" s="473"/>
      <c r="H28" s="473"/>
      <c r="I28" s="473"/>
      <c r="J28" s="473"/>
      <c r="K28" s="473"/>
      <c r="L28" s="473"/>
      <c r="M28" s="167"/>
      <c r="N28" s="167"/>
      <c r="O28" s="485">
        <f t="shared" si="12"/>
        <v>0</v>
      </c>
      <c r="P28" s="472" t="e">
        <f t="shared" si="13"/>
        <v>#DIV/0!</v>
      </c>
    </row>
    <row r="29" spans="1:26" ht="12.75">
      <c r="A29" s="468"/>
      <c r="B29" s="469">
        <v>1000</v>
      </c>
      <c r="C29" s="469" t="s">
        <v>89</v>
      </c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485">
        <f t="shared" si="12"/>
        <v>0</v>
      </c>
      <c r="P29" s="472" t="e">
        <f t="shared" si="13"/>
        <v>#DIV/0!</v>
      </c>
    </row>
    <row r="30" spans="1:26" ht="12.75">
      <c r="A30" s="468">
        <v>900</v>
      </c>
      <c r="B30" s="469">
        <v>1000</v>
      </c>
      <c r="C30" s="469" t="s">
        <v>88</v>
      </c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485">
        <f t="shared" si="12"/>
        <v>0</v>
      </c>
      <c r="P30" s="472" t="e">
        <f t="shared" si="13"/>
        <v>#DIV/0!</v>
      </c>
    </row>
    <row r="31" spans="1:26" ht="12.75">
      <c r="A31" s="474"/>
      <c r="B31" s="469">
        <v>1000</v>
      </c>
      <c r="C31" s="469" t="s">
        <v>89</v>
      </c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485">
        <f t="shared" si="12"/>
        <v>0</v>
      </c>
      <c r="P31" s="472" t="e">
        <f t="shared" si="13"/>
        <v>#DIV/0!</v>
      </c>
    </row>
    <row r="32" spans="1:26" ht="12.75">
      <c r="A32" s="474"/>
      <c r="B32" s="469">
        <v>2100</v>
      </c>
      <c r="C32" s="469" t="s">
        <v>88</v>
      </c>
      <c r="D32" s="167">
        <v>26</v>
      </c>
      <c r="E32" s="167">
        <v>31</v>
      </c>
      <c r="F32" s="167">
        <v>22</v>
      </c>
      <c r="G32" s="167">
        <v>22</v>
      </c>
      <c r="H32" s="167">
        <v>20.5</v>
      </c>
      <c r="I32" s="475">
        <v>18</v>
      </c>
      <c r="J32" s="167">
        <v>16</v>
      </c>
      <c r="K32" s="167">
        <v>16.5</v>
      </c>
      <c r="L32" s="167">
        <v>17</v>
      </c>
      <c r="M32" s="167"/>
      <c r="N32" s="167"/>
      <c r="O32" s="485">
        <f t="shared" si="12"/>
        <v>14</v>
      </c>
      <c r="P32" s="472">
        <f t="shared" si="13"/>
        <v>0.82352941176470584</v>
      </c>
    </row>
    <row r="33" spans="1:16" ht="12.75">
      <c r="A33" s="474"/>
      <c r="B33" s="469">
        <v>2100</v>
      </c>
      <c r="C33" s="469" t="s">
        <v>89</v>
      </c>
      <c r="D33" s="167">
        <v>8</v>
      </c>
      <c r="E33" s="167">
        <v>12</v>
      </c>
      <c r="F33" s="167">
        <v>13.08</v>
      </c>
      <c r="G33" s="167">
        <v>13.08</v>
      </c>
      <c r="H33" s="167">
        <v>12.7</v>
      </c>
      <c r="I33" s="475">
        <v>14.8</v>
      </c>
      <c r="J33" s="476">
        <v>14.08</v>
      </c>
      <c r="K33" s="167">
        <v>14.08</v>
      </c>
      <c r="L33" s="167">
        <v>14.1</v>
      </c>
      <c r="M33" s="167"/>
      <c r="N33" s="167"/>
      <c r="O33" s="485">
        <f t="shared" si="12"/>
        <v>-2.0999999999999996</v>
      </c>
      <c r="P33" s="472">
        <f t="shared" si="13"/>
        <v>-0.14893617021276592</v>
      </c>
    </row>
    <row r="34" spans="1:16" ht="12.75">
      <c r="A34" s="474"/>
      <c r="B34" s="469">
        <v>2200</v>
      </c>
      <c r="C34" s="469" t="s">
        <v>88</v>
      </c>
      <c r="D34" s="167">
        <v>8</v>
      </c>
      <c r="E34" s="167">
        <v>8</v>
      </c>
      <c r="F34" s="167">
        <v>6.3</v>
      </c>
      <c r="G34" s="167">
        <v>6.3</v>
      </c>
      <c r="H34" s="167">
        <v>6.3</v>
      </c>
      <c r="I34" s="475">
        <v>6.6</v>
      </c>
      <c r="J34" s="167">
        <v>9</v>
      </c>
      <c r="K34" s="167">
        <v>6</v>
      </c>
      <c r="L34" s="167">
        <v>6</v>
      </c>
      <c r="M34" s="167"/>
      <c r="N34" s="167"/>
      <c r="O34" s="485">
        <f t="shared" si="12"/>
        <v>2</v>
      </c>
      <c r="P34" s="472">
        <f t="shared" si="13"/>
        <v>0.33333333333333331</v>
      </c>
    </row>
    <row r="35" spans="1:16" ht="12.75">
      <c r="A35" s="474"/>
      <c r="B35" s="469">
        <v>2200</v>
      </c>
      <c r="C35" s="469" t="s">
        <v>89</v>
      </c>
      <c r="D35" s="167">
        <v>8</v>
      </c>
      <c r="E35" s="167">
        <v>8</v>
      </c>
      <c r="F35" s="167">
        <v>8.1300000000000008</v>
      </c>
      <c r="G35" s="167">
        <v>8.1300000000000008</v>
      </c>
      <c r="H35" s="167">
        <v>8.1</v>
      </c>
      <c r="I35" s="475">
        <v>8.1300000000000008</v>
      </c>
      <c r="J35" s="167">
        <v>8.1300000000000008</v>
      </c>
      <c r="K35" s="167">
        <v>7.63</v>
      </c>
      <c r="L35" s="167">
        <v>8.1</v>
      </c>
      <c r="M35" s="167"/>
      <c r="N35" s="167"/>
      <c r="O35" s="485">
        <f t="shared" si="12"/>
        <v>-9.9999999999999645E-2</v>
      </c>
      <c r="P35" s="472">
        <f t="shared" si="13"/>
        <v>-1.2345679012345635E-2</v>
      </c>
    </row>
    <row r="36" spans="1:16" ht="12.75">
      <c r="A36" s="474"/>
      <c r="B36" s="469">
        <v>2300</v>
      </c>
      <c r="C36" s="469" t="s">
        <v>88</v>
      </c>
      <c r="D36" s="167">
        <v>1</v>
      </c>
      <c r="E36" s="167">
        <v>1</v>
      </c>
      <c r="F36" s="167">
        <v>1</v>
      </c>
      <c r="G36" s="167">
        <v>1</v>
      </c>
      <c r="H36" s="167">
        <v>1</v>
      </c>
      <c r="I36" s="475">
        <v>1</v>
      </c>
      <c r="J36" s="167">
        <v>1</v>
      </c>
      <c r="K36" s="167">
        <v>1</v>
      </c>
      <c r="L36" s="167">
        <v>1</v>
      </c>
      <c r="M36" s="167"/>
      <c r="N36" s="167"/>
      <c r="O36" s="485">
        <f t="shared" si="12"/>
        <v>0</v>
      </c>
      <c r="P36" s="472">
        <f t="shared" si="13"/>
        <v>0</v>
      </c>
    </row>
    <row r="37" spans="1:16" ht="12.75">
      <c r="A37" s="474"/>
      <c r="B37" s="469">
        <v>2300</v>
      </c>
      <c r="C37" s="469" t="s">
        <v>89</v>
      </c>
      <c r="D37" s="167">
        <v>3</v>
      </c>
      <c r="E37" s="167">
        <v>3</v>
      </c>
      <c r="F37" s="167">
        <v>3</v>
      </c>
      <c r="G37" s="167">
        <v>3</v>
      </c>
      <c r="H37" s="167">
        <v>1</v>
      </c>
      <c r="I37" s="475">
        <v>1</v>
      </c>
      <c r="J37" s="167">
        <v>1</v>
      </c>
      <c r="K37" s="167">
        <v>1</v>
      </c>
      <c r="L37" s="167">
        <v>1</v>
      </c>
      <c r="M37" s="167"/>
      <c r="N37" s="167"/>
      <c r="O37" s="485">
        <f t="shared" si="12"/>
        <v>2</v>
      </c>
      <c r="P37" s="472">
        <f t="shared" si="13"/>
        <v>2</v>
      </c>
    </row>
    <row r="38" spans="1:16" ht="12.75">
      <c r="A38" s="474"/>
      <c r="B38" s="469">
        <v>2400</v>
      </c>
      <c r="C38" s="469" t="s">
        <v>88</v>
      </c>
      <c r="D38" s="167">
        <v>22</v>
      </c>
      <c r="E38" s="167">
        <v>23</v>
      </c>
      <c r="F38" s="167">
        <v>22.5</v>
      </c>
      <c r="G38" s="167">
        <v>22.5</v>
      </c>
      <c r="H38" s="167">
        <v>23</v>
      </c>
      <c r="I38" s="475">
        <v>23</v>
      </c>
      <c r="J38" s="167">
        <v>21</v>
      </c>
      <c r="K38" s="167">
        <v>21</v>
      </c>
      <c r="L38" s="167">
        <v>21</v>
      </c>
      <c r="M38" s="167"/>
      <c r="N38" s="167"/>
      <c r="O38" s="485">
        <f t="shared" si="12"/>
        <v>2</v>
      </c>
      <c r="P38" s="472">
        <f t="shared" si="13"/>
        <v>9.5238095238095233E-2</v>
      </c>
    </row>
    <row r="39" spans="1:16" ht="12.75">
      <c r="A39" s="474"/>
      <c r="B39" s="469">
        <v>2400</v>
      </c>
      <c r="C39" s="469" t="s">
        <v>89</v>
      </c>
      <c r="D39" s="167">
        <v>28</v>
      </c>
      <c r="E39" s="167">
        <v>29</v>
      </c>
      <c r="F39" s="167">
        <v>28.3</v>
      </c>
      <c r="G39" s="167">
        <v>28.3</v>
      </c>
      <c r="H39" s="167">
        <v>27</v>
      </c>
      <c r="I39" s="475">
        <v>32.200000000000003</v>
      </c>
      <c r="J39" s="167">
        <v>31.9</v>
      </c>
      <c r="K39" s="167">
        <v>33.72</v>
      </c>
      <c r="L39" s="167">
        <v>33</v>
      </c>
      <c r="M39" s="167"/>
      <c r="N39" s="167"/>
      <c r="O39" s="485">
        <f t="shared" si="12"/>
        <v>-4</v>
      </c>
      <c r="P39" s="472">
        <f t="shared" si="13"/>
        <v>-0.12121212121212122</v>
      </c>
    </row>
    <row r="40" spans="1:16" ht="12.75">
      <c r="A40" s="474"/>
      <c r="B40" s="469">
        <v>2500</v>
      </c>
      <c r="C40" s="469" t="s">
        <v>88</v>
      </c>
      <c r="D40" s="167">
        <v>1</v>
      </c>
      <c r="E40" s="167">
        <v>1</v>
      </c>
      <c r="F40" s="167">
        <v>1</v>
      </c>
      <c r="G40" s="167">
        <v>1</v>
      </c>
      <c r="H40" s="167">
        <v>1</v>
      </c>
      <c r="I40" s="475">
        <v>1</v>
      </c>
      <c r="J40" s="167">
        <v>1</v>
      </c>
      <c r="K40" s="167">
        <v>1</v>
      </c>
      <c r="L40" s="167">
        <v>1</v>
      </c>
      <c r="M40" s="167"/>
      <c r="N40" s="167"/>
      <c r="O40" s="485">
        <f t="shared" si="12"/>
        <v>0</v>
      </c>
      <c r="P40" s="472">
        <f t="shared" si="13"/>
        <v>0</v>
      </c>
    </row>
    <row r="41" spans="1:16" ht="12.75">
      <c r="A41" s="474"/>
      <c r="B41" s="469">
        <v>2500</v>
      </c>
      <c r="C41" s="469" t="s">
        <v>89</v>
      </c>
      <c r="D41" s="167">
        <v>15</v>
      </c>
      <c r="E41" s="167">
        <v>15</v>
      </c>
      <c r="F41" s="167">
        <v>15</v>
      </c>
      <c r="G41" s="167">
        <v>15</v>
      </c>
      <c r="H41" s="167">
        <v>15.8</v>
      </c>
      <c r="I41" s="475">
        <v>15.9</v>
      </c>
      <c r="J41" s="167">
        <v>17</v>
      </c>
      <c r="K41" s="167">
        <v>17.88</v>
      </c>
      <c r="L41" s="167">
        <v>16.899999999999999</v>
      </c>
      <c r="M41" s="167"/>
      <c r="N41" s="167"/>
      <c r="O41" s="485">
        <f t="shared" si="12"/>
        <v>-1.8999999999999986</v>
      </c>
      <c r="P41" s="472">
        <f t="shared" si="13"/>
        <v>-0.1124260355029585</v>
      </c>
    </row>
    <row r="42" spans="1:16" ht="12.75">
      <c r="A42" s="474"/>
      <c r="B42" s="469">
        <v>2600</v>
      </c>
      <c r="C42" s="469" t="s">
        <v>88</v>
      </c>
      <c r="D42" s="167">
        <v>0</v>
      </c>
      <c r="E42" s="167">
        <v>0</v>
      </c>
      <c r="F42" s="167">
        <v>0</v>
      </c>
      <c r="G42" s="167">
        <v>0</v>
      </c>
      <c r="H42" s="167">
        <v>0</v>
      </c>
      <c r="I42" s="475">
        <v>0</v>
      </c>
      <c r="J42" s="167"/>
      <c r="K42" s="167"/>
      <c r="L42" s="167">
        <v>0</v>
      </c>
      <c r="M42" s="167"/>
      <c r="N42" s="167"/>
      <c r="O42" s="485">
        <f t="shared" si="12"/>
        <v>0</v>
      </c>
      <c r="P42" s="472" t="e">
        <f t="shared" si="13"/>
        <v>#DIV/0!</v>
      </c>
    </row>
    <row r="43" spans="1:16" ht="12.75">
      <c r="A43" s="474"/>
      <c r="B43" s="469">
        <v>2600</v>
      </c>
      <c r="C43" s="469" t="s">
        <v>89</v>
      </c>
      <c r="D43" s="167">
        <v>60</v>
      </c>
      <c r="E43" s="167">
        <v>64</v>
      </c>
      <c r="F43" s="167">
        <v>61.13</v>
      </c>
      <c r="G43" s="167">
        <v>61.13</v>
      </c>
      <c r="H43" s="167">
        <v>60.3</v>
      </c>
      <c r="I43" s="475">
        <v>65</v>
      </c>
      <c r="J43" s="167">
        <v>61</v>
      </c>
      <c r="K43" s="167">
        <v>60.8</v>
      </c>
      <c r="L43" s="167">
        <v>61.3</v>
      </c>
      <c r="M43" s="167"/>
      <c r="N43" s="167"/>
      <c r="O43" s="485">
        <f t="shared" si="12"/>
        <v>2.7000000000000028</v>
      </c>
      <c r="P43" s="472">
        <f t="shared" si="13"/>
        <v>4.4045676998368727E-2</v>
      </c>
    </row>
    <row r="44" spans="1:16" ht="12.75">
      <c r="A44" s="474"/>
      <c r="B44" s="469">
        <v>2700</v>
      </c>
      <c r="C44" s="469" t="s">
        <v>88</v>
      </c>
      <c r="D44" s="167">
        <v>0</v>
      </c>
      <c r="E44" s="167">
        <v>0</v>
      </c>
      <c r="F44" s="167">
        <v>0</v>
      </c>
      <c r="G44" s="167">
        <v>0</v>
      </c>
      <c r="H44" s="167">
        <v>0</v>
      </c>
      <c r="I44" s="167"/>
      <c r="J44" s="167"/>
      <c r="K44" s="167"/>
      <c r="L44" s="167"/>
      <c r="M44" s="167"/>
      <c r="N44" s="167"/>
      <c r="O44" s="485">
        <f t="shared" si="12"/>
        <v>0</v>
      </c>
      <c r="P44" s="472" t="e">
        <f t="shared" si="13"/>
        <v>#DIV/0!</v>
      </c>
    </row>
    <row r="45" spans="1:16" ht="12.75">
      <c r="A45" s="474"/>
      <c r="B45" s="469">
        <v>2700</v>
      </c>
      <c r="C45" s="469" t="s">
        <v>89</v>
      </c>
      <c r="D45" s="477">
        <v>47</v>
      </c>
      <c r="E45" s="477">
        <v>47</v>
      </c>
      <c r="F45" s="477">
        <v>42.88</v>
      </c>
      <c r="G45" s="477">
        <v>43.38</v>
      </c>
      <c r="H45" s="477">
        <v>41.6</v>
      </c>
      <c r="I45" s="477">
        <v>45.6</v>
      </c>
      <c r="J45" s="477">
        <v>46.8</v>
      </c>
      <c r="K45" s="477">
        <v>46.25</v>
      </c>
      <c r="L45" s="477">
        <v>47.5</v>
      </c>
      <c r="M45" s="167"/>
      <c r="N45" s="167"/>
      <c r="O45" s="486">
        <f t="shared" si="12"/>
        <v>-0.5</v>
      </c>
      <c r="P45" s="478">
        <f t="shared" si="13"/>
        <v>-1.0526315789473684E-2</v>
      </c>
    </row>
    <row r="46" spans="1:16" ht="12.75">
      <c r="A46" s="474"/>
      <c r="B46" s="469">
        <v>2900</v>
      </c>
      <c r="C46" s="469" t="s">
        <v>88</v>
      </c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485"/>
      <c r="P46" s="479"/>
    </row>
    <row r="47" spans="1:16" ht="12.75">
      <c r="A47" s="474"/>
      <c r="B47" s="469">
        <v>2900</v>
      </c>
      <c r="C47" s="469" t="s">
        <v>89</v>
      </c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485"/>
      <c r="P47" s="479"/>
    </row>
    <row r="48" spans="1:16" ht="12.75">
      <c r="A48" s="474"/>
      <c r="B48" s="469">
        <v>3100</v>
      </c>
      <c r="C48" s="469" t="s">
        <v>88</v>
      </c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485"/>
      <c r="P48" s="479"/>
    </row>
    <row r="49" spans="1:16" ht="12.75">
      <c r="A49" s="474"/>
      <c r="B49" s="469">
        <v>3100</v>
      </c>
      <c r="C49" s="469" t="s">
        <v>89</v>
      </c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485"/>
      <c r="P49" s="479"/>
    </row>
    <row r="50" spans="1:16" ht="12.75">
      <c r="A50" s="474"/>
      <c r="B50" s="469">
        <v>3300</v>
      </c>
      <c r="C50" s="469" t="s">
        <v>88</v>
      </c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485"/>
      <c r="P50" s="479"/>
    </row>
    <row r="51" spans="1:16" ht="12.75">
      <c r="A51" s="474"/>
      <c r="B51" s="469">
        <v>3300</v>
      </c>
      <c r="C51" s="469" t="s">
        <v>89</v>
      </c>
      <c r="D51" s="480"/>
      <c r="E51" s="480"/>
      <c r="F51" s="480"/>
      <c r="G51" s="480"/>
      <c r="H51" s="480"/>
      <c r="I51" s="480"/>
      <c r="J51" s="480"/>
      <c r="K51" s="480"/>
      <c r="L51" s="480"/>
      <c r="M51" s="480"/>
      <c r="N51" s="480"/>
      <c r="O51" s="487"/>
      <c r="P51" s="479"/>
    </row>
    <row r="52" spans="1:16" ht="12.75">
      <c r="A52" s="474"/>
      <c r="B52" s="166"/>
      <c r="C52" s="166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485"/>
      <c r="P52" s="479"/>
    </row>
    <row r="53" spans="1:16" ht="12.75">
      <c r="A53" s="474"/>
      <c r="B53" s="166"/>
      <c r="C53" s="469" t="s">
        <v>90</v>
      </c>
      <c r="D53" s="167">
        <f t="shared" ref="D53:O53" si="14">SUM(D20:D51)</f>
        <v>483</v>
      </c>
      <c r="E53" s="167">
        <f t="shared" si="14"/>
        <v>530</v>
      </c>
      <c r="F53" s="167">
        <f t="shared" si="14"/>
        <v>500.89</v>
      </c>
      <c r="G53" s="167">
        <f t="shared" si="14"/>
        <v>499.75</v>
      </c>
      <c r="H53" s="167">
        <f t="shared" si="14"/>
        <v>506.10000000000008</v>
      </c>
      <c r="I53" s="167">
        <f t="shared" si="14"/>
        <v>531.09</v>
      </c>
      <c r="J53" s="167">
        <f t="shared" si="14"/>
        <v>523.51999999999987</v>
      </c>
      <c r="K53" s="167">
        <f t="shared" si="14"/>
        <v>524.95000000000005</v>
      </c>
      <c r="L53" s="167">
        <f t="shared" si="14"/>
        <v>522.09000000000015</v>
      </c>
      <c r="M53" s="167">
        <f t="shared" si="14"/>
        <v>0</v>
      </c>
      <c r="N53" s="167"/>
      <c r="O53" s="485">
        <f t="shared" si="14"/>
        <v>7.9099999999999984</v>
      </c>
      <c r="P53" s="472">
        <f>+O53/L53</f>
        <v>1.5150644524890337E-2</v>
      </c>
    </row>
    <row r="54" spans="1:16" ht="12.75">
      <c r="A54" s="474"/>
      <c r="B54" s="166"/>
      <c r="C54" s="166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485"/>
      <c r="P54" s="472"/>
    </row>
    <row r="55" spans="1:16" ht="12.75">
      <c r="A55" s="474"/>
      <c r="B55" s="166"/>
      <c r="C55" s="469" t="s">
        <v>88</v>
      </c>
      <c r="D55" s="167">
        <f t="shared" ref="D55:O55" si="15">SUMIF($C$19:$C$53,+$C55,D$19:D$53)</f>
        <v>277</v>
      </c>
      <c r="E55" s="167">
        <f t="shared" si="15"/>
        <v>301</v>
      </c>
      <c r="F55" s="167">
        <f t="shared" si="15"/>
        <v>295.40000000000003</v>
      </c>
      <c r="G55" s="167">
        <f t="shared" si="15"/>
        <v>298.10000000000002</v>
      </c>
      <c r="H55" s="167">
        <f t="shared" si="15"/>
        <v>303.10000000000002</v>
      </c>
      <c r="I55" s="167">
        <f t="shared" si="15"/>
        <v>314.37</v>
      </c>
      <c r="J55" s="167">
        <f t="shared" si="15"/>
        <v>310.7</v>
      </c>
      <c r="K55" s="167">
        <f t="shared" si="15"/>
        <v>309.70999999999998</v>
      </c>
      <c r="L55" s="167">
        <f t="shared" si="15"/>
        <v>307.93</v>
      </c>
      <c r="M55" s="167">
        <f t="shared" si="15"/>
        <v>0</v>
      </c>
      <c r="N55" s="167"/>
      <c r="O55" s="485">
        <f t="shared" si="15"/>
        <v>-6.9300000000000068</v>
      </c>
      <c r="P55" s="472">
        <f>+O55/L55</f>
        <v>-2.2505114798817935E-2</v>
      </c>
    </row>
    <row r="56" spans="1:16" ht="12.75">
      <c r="A56" s="474"/>
      <c r="B56" s="166"/>
      <c r="C56" s="469" t="s">
        <v>89</v>
      </c>
      <c r="D56" s="480">
        <f t="shared" ref="D56:O56" si="16">SUMIF($C$19:$C$53,+$C56,D$19:D$53)</f>
        <v>206</v>
      </c>
      <c r="E56" s="480">
        <f t="shared" si="16"/>
        <v>229</v>
      </c>
      <c r="F56" s="480">
        <f t="shared" si="16"/>
        <v>205.49</v>
      </c>
      <c r="G56" s="480">
        <f t="shared" si="16"/>
        <v>201.65</v>
      </c>
      <c r="H56" s="480">
        <f t="shared" si="16"/>
        <v>203</v>
      </c>
      <c r="I56" s="480">
        <f t="shared" si="16"/>
        <v>216.72</v>
      </c>
      <c r="J56" s="480">
        <f t="shared" si="16"/>
        <v>212.82</v>
      </c>
      <c r="K56" s="480">
        <f t="shared" si="16"/>
        <v>215.24</v>
      </c>
      <c r="L56" s="480">
        <f t="shared" si="16"/>
        <v>214.16000000000003</v>
      </c>
      <c r="M56" s="480">
        <f t="shared" si="16"/>
        <v>0</v>
      </c>
      <c r="N56" s="480"/>
      <c r="O56" s="487">
        <f t="shared" si="16"/>
        <v>14.840000000000003</v>
      </c>
      <c r="P56" s="478">
        <f>+O56/L56</f>
        <v>6.9293985805005606E-2</v>
      </c>
    </row>
    <row r="57" spans="1:16" ht="12.75">
      <c r="A57" s="474"/>
      <c r="B57" s="166"/>
      <c r="C57" s="166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485"/>
      <c r="P57" s="472" t="s">
        <v>466</v>
      </c>
    </row>
    <row r="58" spans="1:16" ht="12.75">
      <c r="A58" s="474"/>
      <c r="B58" s="166"/>
      <c r="C58" s="469" t="s">
        <v>91</v>
      </c>
      <c r="D58" s="167">
        <f t="shared" ref="D58:O58" si="17">SUM(D55:D57)</f>
        <v>483</v>
      </c>
      <c r="E58" s="167">
        <f t="shared" si="17"/>
        <v>530</v>
      </c>
      <c r="F58" s="167">
        <f t="shared" si="17"/>
        <v>500.89000000000004</v>
      </c>
      <c r="G58" s="167">
        <f t="shared" si="17"/>
        <v>499.75</v>
      </c>
      <c r="H58" s="167">
        <f t="shared" si="17"/>
        <v>506.1</v>
      </c>
      <c r="I58" s="167">
        <f t="shared" si="17"/>
        <v>531.09</v>
      </c>
      <c r="J58" s="167">
        <f t="shared" si="17"/>
        <v>523.52</v>
      </c>
      <c r="K58" s="167">
        <f t="shared" si="17"/>
        <v>524.95000000000005</v>
      </c>
      <c r="L58" s="167">
        <f t="shared" si="17"/>
        <v>522.09</v>
      </c>
      <c r="M58" s="167">
        <f t="shared" si="17"/>
        <v>0</v>
      </c>
      <c r="N58" s="167"/>
      <c r="O58" s="485">
        <f t="shared" si="17"/>
        <v>7.9099999999999966</v>
      </c>
      <c r="P58" s="472">
        <f>+O58/L58</f>
        <v>1.5150644524890337E-2</v>
      </c>
    </row>
    <row r="59" spans="1:16" ht="12.75">
      <c r="A59" s="481"/>
      <c r="B59" s="482"/>
      <c r="C59" s="482"/>
      <c r="D59" s="477"/>
      <c r="E59" s="477"/>
      <c r="F59" s="477"/>
      <c r="G59" s="477"/>
      <c r="H59" s="477"/>
      <c r="I59" s="477"/>
      <c r="J59" s="477"/>
      <c r="K59" s="477"/>
      <c r="L59" s="477"/>
      <c r="M59" s="477"/>
      <c r="N59" s="477"/>
      <c r="O59" s="483"/>
      <c r="P59" s="488"/>
    </row>
    <row r="60" spans="1:16" ht="12.75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ht="12.75"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ht="12.75">
      <c r="C62" t="s">
        <v>266</v>
      </c>
      <c r="D62" s="2">
        <f>SUM(D22:D27)</f>
        <v>22</v>
      </c>
      <c r="E62" s="2">
        <f t="shared" ref="E62:L62" si="18">SUM(E22:E27)</f>
        <v>22</v>
      </c>
      <c r="F62" s="2">
        <f t="shared" si="18"/>
        <v>14</v>
      </c>
      <c r="G62" s="2">
        <f t="shared" si="18"/>
        <v>15.9</v>
      </c>
      <c r="H62" s="2">
        <f t="shared" si="18"/>
        <v>31.9</v>
      </c>
      <c r="I62" s="2">
        <f t="shared" si="18"/>
        <v>30.5</v>
      </c>
      <c r="J62" s="2">
        <f t="shared" si="18"/>
        <v>31.58</v>
      </c>
      <c r="K62" s="2">
        <f t="shared" si="18"/>
        <v>32.79</v>
      </c>
      <c r="L62" s="2">
        <f t="shared" si="18"/>
        <v>32.1</v>
      </c>
      <c r="M62" s="2"/>
      <c r="N62" s="2"/>
      <c r="O62" s="2"/>
      <c r="P62" s="2"/>
    </row>
    <row r="63" spans="1:16" ht="12.75"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ht="12.75">
      <c r="C64" t="s">
        <v>291</v>
      </c>
      <c r="D64" s="368">
        <f>885.17*12</f>
        <v>10622.039999999999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ht="12.75">
      <c r="D65" s="2">
        <f>+D64*D9</f>
        <v>49254399.479999997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ht="12.75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ht="12.75">
      <c r="A67" s="166"/>
      <c r="B67" s="166"/>
      <c r="C67" s="166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2"/>
      <c r="P67" s="2"/>
    </row>
    <row r="68" spans="1:16" ht="14.25">
      <c r="A68" s="179"/>
      <c r="B68" s="172" t="s">
        <v>273</v>
      </c>
      <c r="C68" s="173"/>
      <c r="D68" s="188" t="s">
        <v>3</v>
      </c>
      <c r="E68" s="170" t="s">
        <v>4</v>
      </c>
      <c r="F68" s="170" t="s">
        <v>5</v>
      </c>
      <c r="G68" s="170">
        <f t="shared" ref="G68" si="19">F68-1</f>
        <v>2023</v>
      </c>
      <c r="H68" s="186">
        <f t="shared" ref="H68" si="20">G68-1</f>
        <v>2022</v>
      </c>
      <c r="I68" s="170">
        <f t="shared" ref="I68" si="21">H68-1</f>
        <v>2021</v>
      </c>
      <c r="J68" s="170">
        <f t="shared" ref="J68" si="22">I68-1</f>
        <v>2020</v>
      </c>
      <c r="K68" s="170">
        <f t="shared" ref="K68" si="23">J68-1</f>
        <v>2019</v>
      </c>
      <c r="L68" s="184">
        <f t="shared" ref="L68" si="24">K68-1</f>
        <v>2018</v>
      </c>
      <c r="M68" s="177"/>
      <c r="N68" s="177"/>
      <c r="O68" s="2"/>
      <c r="P68" s="2"/>
    </row>
    <row r="69" spans="1:16" ht="12.75">
      <c r="A69" s="166"/>
      <c r="B69" s="174">
        <v>1000</v>
      </c>
      <c r="C69" s="123" t="s">
        <v>92</v>
      </c>
      <c r="D69" s="153">
        <f t="shared" ref="D69:L69" si="25">SUMIF($B$20:$B$51,"1000",D$20:D$51)</f>
        <v>256</v>
      </c>
      <c r="E69" s="153">
        <f t="shared" si="25"/>
        <v>288</v>
      </c>
      <c r="F69" s="153">
        <f t="shared" si="25"/>
        <v>276.57</v>
      </c>
      <c r="G69" s="153">
        <f t="shared" si="25"/>
        <v>274.93</v>
      </c>
      <c r="H69" s="153">
        <f t="shared" si="25"/>
        <v>287.8</v>
      </c>
      <c r="I69" s="153">
        <f t="shared" si="25"/>
        <v>298.86</v>
      </c>
      <c r="J69" s="153">
        <f t="shared" si="25"/>
        <v>295.60999999999996</v>
      </c>
      <c r="K69" s="153">
        <f t="shared" si="25"/>
        <v>298.09000000000003</v>
      </c>
      <c r="L69" s="154">
        <f t="shared" si="25"/>
        <v>294.19000000000005</v>
      </c>
      <c r="M69" s="167"/>
      <c r="N69" s="167"/>
      <c r="O69" s="2"/>
      <c r="P69" s="2"/>
    </row>
    <row r="70" spans="1:16" ht="12.75">
      <c r="A70" s="166"/>
      <c r="B70" s="175">
        <v>2100</v>
      </c>
      <c r="C70" s="1" t="s">
        <v>20</v>
      </c>
      <c r="D70" s="2">
        <f t="shared" ref="D70:L70" si="26">SUMIF($B$20:$B$51,"2100",D$20:D$51)</f>
        <v>34</v>
      </c>
      <c r="E70" s="2">
        <f t="shared" si="26"/>
        <v>43</v>
      </c>
      <c r="F70" s="2">
        <f t="shared" si="26"/>
        <v>35.08</v>
      </c>
      <c r="G70" s="2">
        <f t="shared" si="26"/>
        <v>35.08</v>
      </c>
      <c r="H70" s="2">
        <f t="shared" si="26"/>
        <v>33.200000000000003</v>
      </c>
      <c r="I70" s="2">
        <f t="shared" si="26"/>
        <v>32.799999999999997</v>
      </c>
      <c r="J70" s="2">
        <f t="shared" si="26"/>
        <v>30.08</v>
      </c>
      <c r="K70" s="2">
        <f t="shared" si="26"/>
        <v>30.58</v>
      </c>
      <c r="L70" s="155">
        <f t="shared" si="26"/>
        <v>31.1</v>
      </c>
      <c r="M70" s="167"/>
      <c r="N70" s="167"/>
      <c r="O70" s="2"/>
      <c r="P70" s="2"/>
    </row>
    <row r="71" spans="1:16" ht="12.75">
      <c r="A71" s="166"/>
      <c r="B71" s="175">
        <v>2200</v>
      </c>
      <c r="C71" s="1" t="s">
        <v>93</v>
      </c>
      <c r="D71" s="2">
        <f t="shared" ref="D71:L71" si="27">SUMIF($B$20:$B$51,"2200",D$20:D$51)</f>
        <v>16</v>
      </c>
      <c r="E71" s="2">
        <f t="shared" si="27"/>
        <v>16</v>
      </c>
      <c r="F71" s="2">
        <f t="shared" si="27"/>
        <v>14.43</v>
      </c>
      <c r="G71" s="2">
        <f t="shared" si="27"/>
        <v>14.43</v>
      </c>
      <c r="H71" s="2">
        <f t="shared" si="27"/>
        <v>14.399999999999999</v>
      </c>
      <c r="I71" s="2">
        <f t="shared" si="27"/>
        <v>14.73</v>
      </c>
      <c r="J71" s="2">
        <f t="shared" si="27"/>
        <v>17.130000000000003</v>
      </c>
      <c r="K71" s="2">
        <f t="shared" si="27"/>
        <v>13.629999999999999</v>
      </c>
      <c r="L71" s="155">
        <f t="shared" si="27"/>
        <v>14.1</v>
      </c>
      <c r="M71" s="167"/>
      <c r="N71" s="167"/>
      <c r="O71" s="2"/>
      <c r="P71" s="2"/>
    </row>
    <row r="72" spans="1:16" ht="12.75">
      <c r="A72" s="166"/>
      <c r="B72" s="175">
        <v>2300</v>
      </c>
      <c r="C72" s="1" t="s">
        <v>22</v>
      </c>
      <c r="D72" s="2">
        <f t="shared" ref="D72:L72" si="28">SUMIF($B$20:$B$51,"2300",D$20:D$51)</f>
        <v>4</v>
      </c>
      <c r="E72" s="2">
        <f t="shared" si="28"/>
        <v>4</v>
      </c>
      <c r="F72" s="2">
        <f t="shared" si="28"/>
        <v>4</v>
      </c>
      <c r="G72" s="2">
        <f t="shared" si="28"/>
        <v>4</v>
      </c>
      <c r="H72" s="2">
        <f t="shared" si="28"/>
        <v>2</v>
      </c>
      <c r="I72" s="2">
        <f t="shared" si="28"/>
        <v>2</v>
      </c>
      <c r="J72" s="2">
        <f t="shared" si="28"/>
        <v>2</v>
      </c>
      <c r="K72" s="2">
        <f t="shared" si="28"/>
        <v>2</v>
      </c>
      <c r="L72" s="155">
        <f t="shared" si="28"/>
        <v>2</v>
      </c>
      <c r="M72" s="167"/>
      <c r="N72" s="167"/>
      <c r="O72" s="2"/>
      <c r="P72" s="2"/>
    </row>
    <row r="73" spans="1:16" ht="12.75">
      <c r="A73" s="166"/>
      <c r="B73" s="175">
        <v>2400</v>
      </c>
      <c r="C73" s="1" t="s">
        <v>94</v>
      </c>
      <c r="D73" s="2">
        <f t="shared" ref="D73:L73" si="29">SUMIF($B$20:$B$51,"2400",D$20:D$51)</f>
        <v>50</v>
      </c>
      <c r="E73" s="2">
        <f t="shared" si="29"/>
        <v>52</v>
      </c>
      <c r="F73" s="2">
        <f t="shared" si="29"/>
        <v>50.8</v>
      </c>
      <c r="G73" s="2">
        <f t="shared" si="29"/>
        <v>50.8</v>
      </c>
      <c r="H73" s="2">
        <f t="shared" si="29"/>
        <v>50</v>
      </c>
      <c r="I73" s="2">
        <f t="shared" si="29"/>
        <v>55.2</v>
      </c>
      <c r="J73" s="2">
        <f t="shared" si="29"/>
        <v>52.9</v>
      </c>
      <c r="K73" s="2">
        <f t="shared" si="29"/>
        <v>54.72</v>
      </c>
      <c r="L73" s="155">
        <f t="shared" si="29"/>
        <v>54</v>
      </c>
      <c r="M73" s="167"/>
      <c r="N73" s="167"/>
      <c r="O73" s="2"/>
      <c r="P73" s="2"/>
    </row>
    <row r="74" spans="1:16" ht="12.75">
      <c r="A74" s="166"/>
      <c r="B74" s="175">
        <v>2500</v>
      </c>
      <c r="C74" s="1" t="s">
        <v>95</v>
      </c>
      <c r="D74" s="2">
        <f t="shared" ref="D74:L74" si="30">SUMIF($B$20:$B$51,"2500",D$20:D$51)</f>
        <v>16</v>
      </c>
      <c r="E74" s="2">
        <f t="shared" si="30"/>
        <v>16</v>
      </c>
      <c r="F74" s="2">
        <f t="shared" si="30"/>
        <v>16</v>
      </c>
      <c r="G74" s="2">
        <f t="shared" si="30"/>
        <v>16</v>
      </c>
      <c r="H74" s="2">
        <f t="shared" si="30"/>
        <v>16.8</v>
      </c>
      <c r="I74" s="2">
        <f t="shared" si="30"/>
        <v>16.899999999999999</v>
      </c>
      <c r="J74" s="2">
        <f t="shared" si="30"/>
        <v>18</v>
      </c>
      <c r="K74" s="2">
        <f t="shared" si="30"/>
        <v>18.88</v>
      </c>
      <c r="L74" s="155">
        <f t="shared" si="30"/>
        <v>17.899999999999999</v>
      </c>
      <c r="M74" s="167"/>
      <c r="N74" s="167"/>
      <c r="O74" s="2"/>
      <c r="P74" s="2"/>
    </row>
    <row r="75" spans="1:16" ht="12.75">
      <c r="A75" s="166"/>
      <c r="B75" s="175">
        <v>2600</v>
      </c>
      <c r="C75" s="1" t="s">
        <v>96</v>
      </c>
      <c r="D75" s="2">
        <f t="shared" ref="D75:L75" si="31">SUMIF($B$20:$B$51,"2600",D$20:D$51)</f>
        <v>60</v>
      </c>
      <c r="E75" s="2">
        <f t="shared" si="31"/>
        <v>64</v>
      </c>
      <c r="F75" s="2">
        <f t="shared" si="31"/>
        <v>61.13</v>
      </c>
      <c r="G75" s="2">
        <f t="shared" si="31"/>
        <v>61.13</v>
      </c>
      <c r="H75" s="2">
        <f t="shared" si="31"/>
        <v>60.3</v>
      </c>
      <c r="I75" s="2">
        <f t="shared" si="31"/>
        <v>65</v>
      </c>
      <c r="J75" s="2">
        <f t="shared" si="31"/>
        <v>61</v>
      </c>
      <c r="K75" s="2">
        <f t="shared" si="31"/>
        <v>60.8</v>
      </c>
      <c r="L75" s="155">
        <f t="shared" si="31"/>
        <v>61.3</v>
      </c>
      <c r="M75" s="167"/>
      <c r="N75" s="167"/>
      <c r="O75" s="2"/>
      <c r="P75" s="2"/>
    </row>
    <row r="76" spans="1:16" ht="12.75">
      <c r="A76" s="166"/>
      <c r="B76" s="175">
        <v>2700</v>
      </c>
      <c r="C76" s="1" t="s">
        <v>97</v>
      </c>
      <c r="D76" s="2">
        <f t="shared" ref="D76:L76" si="32">SUMIF($B$20:$B$51,"2700",D$20:D$51)</f>
        <v>47</v>
      </c>
      <c r="E76" s="2">
        <f t="shared" si="32"/>
        <v>47</v>
      </c>
      <c r="F76" s="2">
        <f t="shared" si="32"/>
        <v>42.88</v>
      </c>
      <c r="G76" s="2">
        <f t="shared" si="32"/>
        <v>43.38</v>
      </c>
      <c r="H76" s="2">
        <f t="shared" si="32"/>
        <v>41.6</v>
      </c>
      <c r="I76" s="2">
        <f t="shared" si="32"/>
        <v>45.6</v>
      </c>
      <c r="J76" s="2">
        <f t="shared" si="32"/>
        <v>46.8</v>
      </c>
      <c r="K76" s="2">
        <f t="shared" si="32"/>
        <v>46.25</v>
      </c>
      <c r="L76" s="155">
        <f t="shared" si="32"/>
        <v>47.5</v>
      </c>
      <c r="M76" s="167"/>
      <c r="N76" s="167"/>
      <c r="O76" s="2"/>
      <c r="P76" s="2"/>
    </row>
    <row r="77" spans="1:16" ht="12.75">
      <c r="A77" s="166"/>
      <c r="B77" s="175">
        <v>2900</v>
      </c>
      <c r="C77" s="1" t="s">
        <v>27</v>
      </c>
      <c r="D77" s="2">
        <f t="shared" ref="D77:L77" si="33">SUMIF($B$20:$B$51,"2900",D$20:D$51)</f>
        <v>0</v>
      </c>
      <c r="E77" s="2">
        <f t="shared" si="33"/>
        <v>0</v>
      </c>
      <c r="F77" s="2">
        <f t="shared" si="33"/>
        <v>0</v>
      </c>
      <c r="G77" s="2">
        <f t="shared" si="33"/>
        <v>0</v>
      </c>
      <c r="H77" s="2">
        <f t="shared" si="33"/>
        <v>0</v>
      </c>
      <c r="I77" s="2">
        <f t="shared" si="33"/>
        <v>0</v>
      </c>
      <c r="J77" s="2">
        <f t="shared" si="33"/>
        <v>0</v>
      </c>
      <c r="K77" s="2">
        <f t="shared" si="33"/>
        <v>0</v>
      </c>
      <c r="L77" s="155">
        <f t="shared" si="33"/>
        <v>0</v>
      </c>
      <c r="M77" s="167"/>
      <c r="N77" s="167"/>
      <c r="O77" s="2"/>
      <c r="P77" s="2"/>
    </row>
    <row r="78" spans="1:16" ht="12.75">
      <c r="A78" s="166"/>
      <c r="B78" s="175">
        <v>3000</v>
      </c>
      <c r="C78" s="1" t="s">
        <v>19</v>
      </c>
      <c r="D78" s="5">
        <f t="shared" ref="D78:L78" si="34">SUMIF($B$20:$B$51,"3000",D$20:D$51)</f>
        <v>0</v>
      </c>
      <c r="E78" s="5">
        <f t="shared" si="34"/>
        <v>0</v>
      </c>
      <c r="F78" s="5">
        <f t="shared" si="34"/>
        <v>0</v>
      </c>
      <c r="G78" s="5">
        <f t="shared" si="34"/>
        <v>0</v>
      </c>
      <c r="H78" s="5">
        <f t="shared" si="34"/>
        <v>0</v>
      </c>
      <c r="I78" s="5">
        <f t="shared" si="34"/>
        <v>0</v>
      </c>
      <c r="J78" s="5">
        <f t="shared" si="34"/>
        <v>0</v>
      </c>
      <c r="K78" s="5">
        <f t="shared" si="34"/>
        <v>0</v>
      </c>
      <c r="L78" s="176">
        <f t="shared" si="34"/>
        <v>0</v>
      </c>
      <c r="M78" s="167"/>
      <c r="N78" s="167"/>
      <c r="O78" s="2"/>
      <c r="P78" s="2"/>
    </row>
    <row r="79" spans="1:16" ht="15.75" customHeight="1">
      <c r="A79" s="166"/>
      <c r="B79" s="107"/>
      <c r="L79" s="113"/>
      <c r="M79" s="166"/>
      <c r="N79" s="166"/>
    </row>
    <row r="80" spans="1:16" ht="14.25">
      <c r="A80" s="166"/>
      <c r="B80" s="116"/>
      <c r="C80" s="127" t="s">
        <v>91</v>
      </c>
      <c r="D80" s="189">
        <f>SUM(D69:D79)</f>
        <v>483</v>
      </c>
      <c r="E80" s="128">
        <f t="shared" ref="E80:L80" si="35">SUM(E69:E79)</f>
        <v>530</v>
      </c>
      <c r="F80" s="128">
        <f t="shared" si="35"/>
        <v>500.89</v>
      </c>
      <c r="G80" s="128">
        <f t="shared" si="35"/>
        <v>499.75</v>
      </c>
      <c r="H80" s="187">
        <f t="shared" si="35"/>
        <v>506.1</v>
      </c>
      <c r="I80" s="128">
        <f t="shared" si="35"/>
        <v>531.09</v>
      </c>
      <c r="J80" s="128">
        <f t="shared" si="35"/>
        <v>523.51999999999987</v>
      </c>
      <c r="K80" s="128">
        <f t="shared" si="35"/>
        <v>524.95000000000005</v>
      </c>
      <c r="L80" s="185">
        <f t="shared" si="35"/>
        <v>522.09000000000015</v>
      </c>
      <c r="M80" s="167"/>
      <c r="N80" s="167"/>
      <c r="O80" s="2"/>
      <c r="P80" s="2"/>
    </row>
    <row r="81" spans="1:25" ht="12.75">
      <c r="A81" s="166"/>
      <c r="C81" s="1"/>
      <c r="D81" s="2"/>
      <c r="E81" s="2"/>
      <c r="F81" s="2"/>
      <c r="G81" s="2"/>
      <c r="H81" s="2"/>
      <c r="I81" s="2"/>
      <c r="J81" s="2"/>
      <c r="K81" s="2"/>
      <c r="L81" s="2"/>
      <c r="M81" s="167"/>
      <c r="N81" s="167"/>
      <c r="O81" s="2"/>
      <c r="P81" s="2"/>
    </row>
    <row r="82" spans="1:25" ht="15.75" customHeight="1">
      <c r="A82" s="166"/>
      <c r="B82" s="181" t="s">
        <v>274</v>
      </c>
      <c r="C82" s="166"/>
      <c r="D82" s="166"/>
      <c r="E82" s="166"/>
      <c r="F82" s="166"/>
      <c r="G82" s="166"/>
      <c r="H82" s="166"/>
      <c r="I82" s="166"/>
      <c r="J82" s="166"/>
      <c r="K82" s="166"/>
      <c r="L82" s="166"/>
      <c r="M82" s="166"/>
      <c r="N82" s="166"/>
      <c r="O82" s="166"/>
      <c r="P82" s="166"/>
      <c r="Q82" s="166"/>
      <c r="R82" s="166"/>
      <c r="S82" s="166"/>
      <c r="T82" s="166"/>
      <c r="U82" s="166"/>
      <c r="V82" s="166"/>
      <c r="W82" s="166"/>
      <c r="X82" s="166"/>
      <c r="Y82" s="166"/>
    </row>
    <row r="83" spans="1:25" ht="15.75" customHeight="1">
      <c r="A83" s="166"/>
      <c r="B83" s="172" t="s">
        <v>273</v>
      </c>
      <c r="C83" s="173"/>
      <c r="D83" s="169" t="s">
        <v>3</v>
      </c>
      <c r="E83" s="170" t="s">
        <v>4</v>
      </c>
      <c r="F83" s="170" t="s">
        <v>5</v>
      </c>
      <c r="G83" s="170">
        <f t="shared" ref="G83" si="36">F83-1</f>
        <v>2023</v>
      </c>
      <c r="H83" s="170">
        <f t="shared" ref="H83" si="37">G83-1</f>
        <v>2022</v>
      </c>
      <c r="I83" s="170">
        <f t="shared" ref="I83" si="38">H83-1</f>
        <v>2021</v>
      </c>
      <c r="J83" s="170">
        <f t="shared" ref="J83" si="39">I83-1</f>
        <v>2020</v>
      </c>
      <c r="K83" s="170">
        <f t="shared" ref="K83" si="40">J83-1</f>
        <v>2019</v>
      </c>
      <c r="L83" s="171">
        <f t="shared" ref="L83" si="41">K83-1</f>
        <v>2018</v>
      </c>
      <c r="M83" s="166"/>
      <c r="N83" s="166"/>
      <c r="Q83" s="4"/>
      <c r="R83" s="4"/>
      <c r="S83" s="4"/>
      <c r="T83" s="4"/>
      <c r="U83" s="4"/>
      <c r="V83" s="4"/>
      <c r="W83" s="4"/>
      <c r="X83" s="4"/>
      <c r="Y83" s="4"/>
    </row>
    <row r="84" spans="1:25" ht="15.75" customHeight="1">
      <c r="A84" s="166"/>
      <c r="B84" s="174">
        <v>1000</v>
      </c>
      <c r="C84" s="123" t="s">
        <v>92</v>
      </c>
      <c r="D84" s="182">
        <f t="shared" ref="D84:J95" si="42">+D69/E69-1</f>
        <v>-0.11111111111111116</v>
      </c>
      <c r="E84" s="182">
        <f t="shared" si="42"/>
        <v>4.1327692808330596E-2</v>
      </c>
      <c r="F84" s="182">
        <f t="shared" si="42"/>
        <v>5.9651547666679239E-3</v>
      </c>
      <c r="G84" s="182">
        <f t="shared" si="42"/>
        <v>-4.4718554551772094E-2</v>
      </c>
      <c r="H84" s="182">
        <f t="shared" si="42"/>
        <v>-3.7007294385330902E-2</v>
      </c>
      <c r="I84" s="182">
        <f t="shared" si="42"/>
        <v>1.0994215351307624E-2</v>
      </c>
      <c r="J84" s="182">
        <f t="shared" si="42"/>
        <v>-8.3196350095611216E-3</v>
      </c>
      <c r="K84" s="182">
        <f t="shared" ref="K84:K91" si="43">+K69/L69-1</f>
        <v>1.3256738842244653E-2</v>
      </c>
      <c r="L84" s="154"/>
      <c r="M84" s="166"/>
      <c r="N84" s="166"/>
      <c r="O84" s="1"/>
      <c r="P84" s="1"/>
      <c r="Q84" s="182"/>
      <c r="R84" s="182"/>
      <c r="S84" s="182"/>
      <c r="T84" s="182"/>
      <c r="U84" s="182"/>
      <c r="V84" s="182"/>
      <c r="W84" s="182"/>
      <c r="X84" s="182"/>
      <c r="Y84" s="2"/>
    </row>
    <row r="85" spans="1:25" ht="15.75" customHeight="1">
      <c r="A85" s="166"/>
      <c r="B85" s="175">
        <v>2100</v>
      </c>
      <c r="C85" s="1" t="s">
        <v>20</v>
      </c>
      <c r="D85" s="182">
        <f t="shared" si="42"/>
        <v>-0.20930232558139539</v>
      </c>
      <c r="E85" s="182">
        <f t="shared" si="42"/>
        <v>0.22576966932725195</v>
      </c>
      <c r="F85" s="182">
        <f t="shared" si="42"/>
        <v>0</v>
      </c>
      <c r="G85" s="182">
        <f t="shared" si="42"/>
        <v>5.6626506024096246E-2</v>
      </c>
      <c r="H85" s="182">
        <f t="shared" si="42"/>
        <v>1.2195121951219745E-2</v>
      </c>
      <c r="I85" s="182">
        <f t="shared" si="42"/>
        <v>9.0425531914893664E-2</v>
      </c>
      <c r="J85" s="182">
        <f t="shared" si="42"/>
        <v>-1.6350555918901222E-2</v>
      </c>
      <c r="K85" s="182">
        <f t="shared" si="43"/>
        <v>-1.672025723472681E-2</v>
      </c>
      <c r="L85" s="155"/>
      <c r="M85" s="166"/>
      <c r="N85" s="166"/>
      <c r="O85" s="1"/>
      <c r="P85" s="1"/>
      <c r="Q85" s="182"/>
      <c r="R85" s="182"/>
      <c r="S85" s="182"/>
      <c r="T85" s="182"/>
      <c r="U85" s="182"/>
      <c r="V85" s="182"/>
      <c r="W85" s="182"/>
      <c r="X85" s="182"/>
      <c r="Y85" s="2"/>
    </row>
    <row r="86" spans="1:25" ht="15.75" customHeight="1">
      <c r="A86" s="166"/>
      <c r="B86" s="175">
        <v>2200</v>
      </c>
      <c r="C86" s="1" t="s">
        <v>93</v>
      </c>
      <c r="D86" s="182">
        <f t="shared" si="42"/>
        <v>0</v>
      </c>
      <c r="E86" s="182">
        <f t="shared" si="42"/>
        <v>0.10880110880110871</v>
      </c>
      <c r="F86" s="182">
        <f t="shared" si="42"/>
        <v>0</v>
      </c>
      <c r="G86" s="182">
        <f t="shared" si="42"/>
        <v>2.083333333333437E-3</v>
      </c>
      <c r="H86" s="182">
        <f t="shared" si="42"/>
        <v>-2.2403258655804614E-2</v>
      </c>
      <c r="I86" s="182">
        <f t="shared" si="42"/>
        <v>-0.14010507880910694</v>
      </c>
      <c r="J86" s="182">
        <f t="shared" si="42"/>
        <v>0.25678650036683814</v>
      </c>
      <c r="K86" s="182">
        <f t="shared" si="43"/>
        <v>-3.3333333333333326E-2</v>
      </c>
      <c r="L86" s="155"/>
      <c r="M86" s="166"/>
      <c r="N86" s="166"/>
      <c r="O86" s="1"/>
      <c r="P86" s="1"/>
      <c r="Q86" s="182"/>
      <c r="R86" s="182"/>
      <c r="S86" s="182"/>
      <c r="T86" s="182"/>
      <c r="U86" s="182"/>
      <c r="V86" s="182"/>
      <c r="W86" s="182"/>
      <c r="X86" s="182"/>
      <c r="Y86" s="2"/>
    </row>
    <row r="87" spans="1:25" ht="15.75" customHeight="1">
      <c r="A87" s="166"/>
      <c r="B87" s="175">
        <v>2300</v>
      </c>
      <c r="C87" s="1" t="s">
        <v>22</v>
      </c>
      <c r="D87" s="182">
        <f t="shared" si="42"/>
        <v>0</v>
      </c>
      <c r="E87" s="182">
        <f t="shared" si="42"/>
        <v>0</v>
      </c>
      <c r="F87" s="182">
        <f t="shared" si="42"/>
        <v>0</v>
      </c>
      <c r="G87" s="182">
        <f t="shared" si="42"/>
        <v>1</v>
      </c>
      <c r="H87" s="182">
        <f t="shared" si="42"/>
        <v>0</v>
      </c>
      <c r="I87" s="182">
        <f t="shared" si="42"/>
        <v>0</v>
      </c>
      <c r="J87" s="182">
        <f t="shared" si="42"/>
        <v>0</v>
      </c>
      <c r="K87" s="182">
        <f t="shared" si="43"/>
        <v>0</v>
      </c>
      <c r="L87" s="155"/>
      <c r="M87" s="166"/>
      <c r="N87" s="166"/>
      <c r="O87" s="1"/>
      <c r="P87" s="1"/>
      <c r="Q87" s="182"/>
      <c r="R87" s="182"/>
      <c r="S87" s="182"/>
      <c r="T87" s="182"/>
      <c r="U87" s="182"/>
      <c r="V87" s="182"/>
      <c r="W87" s="182"/>
      <c r="X87" s="182"/>
      <c r="Y87" s="2"/>
    </row>
    <row r="88" spans="1:25" ht="15.75" customHeight="1">
      <c r="A88" s="166"/>
      <c r="B88" s="175">
        <v>2400</v>
      </c>
      <c r="C88" s="1" t="s">
        <v>94</v>
      </c>
      <c r="D88" s="182">
        <f t="shared" si="42"/>
        <v>-3.8461538461538436E-2</v>
      </c>
      <c r="E88" s="182">
        <f t="shared" si="42"/>
        <v>2.3622047244094446E-2</v>
      </c>
      <c r="F88" s="182">
        <f t="shared" si="42"/>
        <v>0</v>
      </c>
      <c r="G88" s="182">
        <f t="shared" si="42"/>
        <v>1.6000000000000014E-2</v>
      </c>
      <c r="H88" s="182">
        <f t="shared" si="42"/>
        <v>-9.4202898550724723E-2</v>
      </c>
      <c r="I88" s="182">
        <f t="shared" si="42"/>
        <v>4.3478260869565188E-2</v>
      </c>
      <c r="J88" s="182">
        <f t="shared" si="42"/>
        <v>-3.3260233918128712E-2</v>
      </c>
      <c r="K88" s="182">
        <f t="shared" si="43"/>
        <v>1.3333333333333419E-2</v>
      </c>
      <c r="L88" s="155"/>
      <c r="M88" s="166"/>
      <c r="N88" s="166"/>
      <c r="O88" s="1"/>
      <c r="P88" s="1"/>
      <c r="Q88" s="182"/>
      <c r="R88" s="182"/>
      <c r="S88" s="182"/>
      <c r="T88" s="182"/>
      <c r="U88" s="182"/>
      <c r="V88" s="182"/>
      <c r="W88" s="182"/>
      <c r="X88" s="182"/>
      <c r="Y88" s="2"/>
    </row>
    <row r="89" spans="1:25" ht="15.75" customHeight="1">
      <c r="A89" s="166"/>
      <c r="B89" s="175">
        <v>2500</v>
      </c>
      <c r="C89" s="1" t="s">
        <v>95</v>
      </c>
      <c r="D89" s="182">
        <f t="shared" si="42"/>
        <v>0</v>
      </c>
      <c r="E89" s="182">
        <f t="shared" si="42"/>
        <v>0</v>
      </c>
      <c r="F89" s="182">
        <f t="shared" si="42"/>
        <v>0</v>
      </c>
      <c r="G89" s="182">
        <f t="shared" si="42"/>
        <v>-4.7619047619047672E-2</v>
      </c>
      <c r="H89" s="182">
        <f t="shared" si="42"/>
        <v>-5.9171597633135287E-3</v>
      </c>
      <c r="I89" s="182">
        <f t="shared" si="42"/>
        <v>-6.1111111111111227E-2</v>
      </c>
      <c r="J89" s="182">
        <f t="shared" si="42"/>
        <v>-4.6610169491525411E-2</v>
      </c>
      <c r="K89" s="182">
        <f t="shared" si="43"/>
        <v>5.4748603351955305E-2</v>
      </c>
      <c r="L89" s="155"/>
      <c r="M89" s="166"/>
      <c r="N89" s="166"/>
      <c r="O89" s="1"/>
      <c r="P89" s="1"/>
      <c r="Q89" s="182"/>
      <c r="R89" s="182"/>
      <c r="S89" s="182"/>
      <c r="T89" s="182"/>
      <c r="U89" s="182"/>
      <c r="V89" s="182"/>
      <c r="W89" s="182"/>
      <c r="X89" s="182"/>
      <c r="Y89" s="2"/>
    </row>
    <row r="90" spans="1:25" ht="15.75" customHeight="1">
      <c r="A90" s="166"/>
      <c r="B90" s="175">
        <v>2600</v>
      </c>
      <c r="C90" s="1" t="s">
        <v>96</v>
      </c>
      <c r="D90" s="182">
        <f t="shared" si="42"/>
        <v>-6.25E-2</v>
      </c>
      <c r="E90" s="182">
        <f t="shared" si="42"/>
        <v>4.6949124815965915E-2</v>
      </c>
      <c r="F90" s="182">
        <f t="shared" si="42"/>
        <v>0</v>
      </c>
      <c r="G90" s="182">
        <f t="shared" si="42"/>
        <v>1.376451077943619E-2</v>
      </c>
      <c r="H90" s="182">
        <f t="shared" si="42"/>
        <v>-7.2307692307692406E-2</v>
      </c>
      <c r="I90" s="182">
        <f t="shared" si="42"/>
        <v>6.5573770491803351E-2</v>
      </c>
      <c r="J90" s="182">
        <f t="shared" si="42"/>
        <v>3.2894736842106198E-3</v>
      </c>
      <c r="K90" s="182">
        <f t="shared" si="43"/>
        <v>-8.1566068515497303E-3</v>
      </c>
      <c r="L90" s="155"/>
      <c r="M90" s="166"/>
      <c r="N90" s="166"/>
      <c r="O90" s="1"/>
      <c r="P90" s="1"/>
      <c r="Q90" s="182"/>
      <c r="R90" s="182"/>
      <c r="S90" s="182"/>
      <c r="T90" s="182"/>
      <c r="U90" s="182"/>
      <c r="V90" s="182"/>
      <c r="W90" s="182"/>
      <c r="X90" s="182"/>
      <c r="Y90" s="2"/>
    </row>
    <row r="91" spans="1:25" ht="15.75" customHeight="1">
      <c r="A91" s="166"/>
      <c r="B91" s="175">
        <v>2700</v>
      </c>
      <c r="C91" s="1" t="s">
        <v>97</v>
      </c>
      <c r="D91" s="182">
        <f t="shared" si="42"/>
        <v>0</v>
      </c>
      <c r="E91" s="182">
        <f t="shared" si="42"/>
        <v>9.6082089552238736E-2</v>
      </c>
      <c r="F91" s="182">
        <f t="shared" si="42"/>
        <v>-1.152604887044717E-2</v>
      </c>
      <c r="G91" s="182">
        <f t="shared" si="42"/>
        <v>4.2788461538461497E-2</v>
      </c>
      <c r="H91" s="182">
        <f t="shared" si="42"/>
        <v>-8.7719298245614086E-2</v>
      </c>
      <c r="I91" s="182">
        <f t="shared" si="42"/>
        <v>-2.564102564102555E-2</v>
      </c>
      <c r="J91" s="182">
        <f t="shared" si="42"/>
        <v>1.189189189189177E-2</v>
      </c>
      <c r="K91" s="182">
        <f t="shared" si="43"/>
        <v>-2.6315789473684181E-2</v>
      </c>
      <c r="L91" s="155"/>
      <c r="M91" s="166"/>
      <c r="N91" s="166"/>
      <c r="O91" s="1"/>
      <c r="P91" s="1"/>
      <c r="Q91" s="182"/>
      <c r="R91" s="182"/>
      <c r="S91" s="182"/>
      <c r="T91" s="182"/>
      <c r="U91" s="182"/>
      <c r="V91" s="182"/>
      <c r="W91" s="182"/>
      <c r="X91" s="182"/>
      <c r="Y91" s="2"/>
    </row>
    <row r="92" spans="1:25" ht="15.75" customHeight="1">
      <c r="A92" s="166"/>
      <c r="B92" s="175">
        <v>2900</v>
      </c>
      <c r="C92" s="1" t="s">
        <v>27</v>
      </c>
      <c r="D92" s="182"/>
      <c r="E92" s="182"/>
      <c r="F92" s="182"/>
      <c r="G92" s="182"/>
      <c r="H92" s="182"/>
      <c r="I92" s="182"/>
      <c r="J92" s="182"/>
      <c r="K92" s="182"/>
      <c r="L92" s="155"/>
      <c r="M92" s="166"/>
      <c r="N92" s="166"/>
      <c r="O92" s="1"/>
      <c r="P92" s="1"/>
      <c r="Q92" s="182"/>
      <c r="R92" s="182"/>
      <c r="S92" s="182"/>
      <c r="T92" s="182"/>
      <c r="U92" s="182"/>
      <c r="V92" s="182"/>
      <c r="W92" s="182"/>
      <c r="X92" s="182"/>
      <c r="Y92" s="2"/>
    </row>
    <row r="93" spans="1:25" ht="15.75" customHeight="1">
      <c r="A93" s="166"/>
      <c r="B93" s="175">
        <v>3000</v>
      </c>
      <c r="C93" s="1" t="s">
        <v>19</v>
      </c>
      <c r="D93" s="147"/>
      <c r="E93" s="147"/>
      <c r="F93" s="147"/>
      <c r="G93" s="147"/>
      <c r="H93" s="147"/>
      <c r="I93" s="147"/>
      <c r="J93" s="147"/>
      <c r="K93" s="147"/>
      <c r="L93" s="176"/>
      <c r="M93" s="166"/>
      <c r="N93" s="166"/>
      <c r="O93" s="1"/>
      <c r="P93" s="1"/>
      <c r="Q93" s="182"/>
      <c r="R93" s="182"/>
      <c r="S93" s="182"/>
      <c r="T93" s="182"/>
      <c r="U93" s="182"/>
      <c r="V93" s="182"/>
      <c r="W93" s="182"/>
      <c r="X93" s="182"/>
      <c r="Y93" s="2"/>
    </row>
    <row r="94" spans="1:25" ht="15.75" customHeight="1">
      <c r="A94" s="166"/>
      <c r="B94" s="107"/>
      <c r="D94" s="182"/>
      <c r="E94" s="182"/>
      <c r="F94" s="182"/>
      <c r="G94" s="182"/>
      <c r="H94" s="182"/>
      <c r="I94" s="182"/>
      <c r="J94" s="182"/>
      <c r="K94" s="182"/>
      <c r="L94" s="113"/>
      <c r="M94" s="166"/>
      <c r="N94" s="166"/>
      <c r="Q94" s="182"/>
      <c r="R94" s="182"/>
      <c r="S94" s="182"/>
      <c r="T94" s="182"/>
      <c r="U94" s="182"/>
      <c r="V94" s="182"/>
      <c r="W94" s="182"/>
      <c r="X94" s="182"/>
    </row>
    <row r="95" spans="1:25" ht="15.75" customHeight="1">
      <c r="A95" s="166"/>
      <c r="B95" s="116"/>
      <c r="C95" s="127" t="s">
        <v>91</v>
      </c>
      <c r="D95" s="147">
        <f t="shared" si="42"/>
        <v>-8.8679245283018848E-2</v>
      </c>
      <c r="E95" s="147">
        <f t="shared" si="42"/>
        <v>5.8116552536485067E-2</v>
      </c>
      <c r="F95" s="147">
        <f t="shared" si="42"/>
        <v>2.2811405702851673E-3</v>
      </c>
      <c r="G95" s="147">
        <f t="shared" si="42"/>
        <v>-1.2546927484686887E-2</v>
      </c>
      <c r="H95" s="147">
        <f t="shared" si="42"/>
        <v>-4.7054171609331785E-2</v>
      </c>
      <c r="I95" s="147">
        <f t="shared" si="42"/>
        <v>1.4459810513447691E-2</v>
      </c>
      <c r="J95" s="147">
        <f t="shared" si="42"/>
        <v>-2.7240689589488332E-3</v>
      </c>
      <c r="K95" s="147">
        <f>+K80/L80-1</f>
        <v>5.4779827232851463E-3</v>
      </c>
      <c r="L95" s="157">
        <f t="shared" ref="L95" si="44">SUM(L84:L94)</f>
        <v>0</v>
      </c>
      <c r="M95" s="166"/>
      <c r="N95" s="166"/>
      <c r="O95" s="1"/>
      <c r="P95" s="1"/>
      <c r="Q95" s="182"/>
      <c r="R95" s="182"/>
      <c r="S95" s="182"/>
      <c r="T95" s="182"/>
      <c r="U95" s="182"/>
      <c r="V95" s="182"/>
      <c r="W95" s="182"/>
      <c r="X95" s="182"/>
      <c r="Y95" s="2"/>
    </row>
    <row r="96" spans="1:25" ht="15.75" customHeight="1">
      <c r="A96" s="166"/>
      <c r="B96" s="166"/>
      <c r="C96" s="166"/>
      <c r="D96" s="166"/>
      <c r="E96" s="166"/>
      <c r="F96" s="166"/>
      <c r="G96" s="166"/>
      <c r="H96" s="166"/>
      <c r="I96" s="166"/>
      <c r="J96" s="166"/>
      <c r="K96" s="166"/>
      <c r="L96" s="166"/>
      <c r="M96" s="166"/>
      <c r="N96" s="166"/>
    </row>
    <row r="97" spans="1:26" ht="15.75" customHeight="1">
      <c r="A97" s="166"/>
      <c r="B97" s="181" t="s">
        <v>275</v>
      </c>
      <c r="C97" s="166"/>
      <c r="D97" s="166"/>
      <c r="E97" s="166"/>
      <c r="F97" s="166"/>
      <c r="G97" s="166"/>
      <c r="H97" s="166"/>
      <c r="I97" s="166"/>
      <c r="J97" s="166"/>
      <c r="K97" s="166"/>
      <c r="L97" s="166"/>
      <c r="M97" s="166"/>
      <c r="N97" s="166"/>
      <c r="O97" s="181" t="s">
        <v>277</v>
      </c>
      <c r="P97" s="166"/>
      <c r="Q97" s="166"/>
      <c r="R97" s="166"/>
      <c r="S97" s="166"/>
      <c r="T97" s="166"/>
      <c r="U97" s="166"/>
      <c r="V97" s="166"/>
      <c r="W97" s="166"/>
      <c r="X97" s="166"/>
      <c r="Y97" s="166"/>
      <c r="Z97" s="166"/>
    </row>
    <row r="98" spans="1:26" ht="15.75" customHeight="1">
      <c r="A98" s="166"/>
      <c r="B98" s="172" t="s">
        <v>273</v>
      </c>
      <c r="C98" s="173"/>
      <c r="D98" s="198" t="s">
        <v>3</v>
      </c>
      <c r="E98" s="183" t="s">
        <v>4</v>
      </c>
      <c r="F98" s="183" t="s">
        <v>5</v>
      </c>
      <c r="G98" s="183">
        <f t="shared" ref="G98" si="45">F98-1</f>
        <v>2023</v>
      </c>
      <c r="H98" s="183">
        <f t="shared" ref="H98" si="46">G98-1</f>
        <v>2022</v>
      </c>
      <c r="I98" s="183">
        <f t="shared" ref="I98" si="47">H98-1</f>
        <v>2021</v>
      </c>
      <c r="J98" s="183">
        <f t="shared" ref="J98" si="48">I98-1</f>
        <v>2020</v>
      </c>
      <c r="K98" s="183">
        <f t="shared" ref="K98" si="49">J98-1</f>
        <v>2019</v>
      </c>
      <c r="L98" s="190">
        <f t="shared" ref="L98" si="50">K98-1</f>
        <v>2018</v>
      </c>
      <c r="M98" s="166"/>
      <c r="N98" s="166"/>
      <c r="O98" s="172" t="s">
        <v>273</v>
      </c>
      <c r="P98" s="173"/>
      <c r="Q98" s="159"/>
      <c r="R98" s="169" t="s">
        <v>3</v>
      </c>
      <c r="S98" s="170" t="s">
        <v>4</v>
      </c>
      <c r="T98" s="170" t="s">
        <v>5</v>
      </c>
      <c r="U98" s="170">
        <f t="shared" ref="U98" si="51">T98-1</f>
        <v>2023</v>
      </c>
      <c r="V98" s="190">
        <f t="shared" ref="V98" si="52">U98-1</f>
        <v>2022</v>
      </c>
      <c r="W98" s="170">
        <f t="shared" ref="W98" si="53">V98-1</f>
        <v>2021</v>
      </c>
      <c r="X98" s="170">
        <f t="shared" ref="X98" si="54">W98-1</f>
        <v>2020</v>
      </c>
      <c r="Y98" s="170">
        <f t="shared" ref="Y98" si="55">X98-1</f>
        <v>2019</v>
      </c>
      <c r="Z98" s="171">
        <f t="shared" ref="Z98" si="56">Y98-1</f>
        <v>2018</v>
      </c>
    </row>
    <row r="99" spans="1:26" ht="15.75" customHeight="1">
      <c r="A99" s="166"/>
      <c r="B99" s="174">
        <v>1000</v>
      </c>
      <c r="C99" s="123" t="s">
        <v>92</v>
      </c>
      <c r="D99" s="182">
        <f t="shared" ref="D99:J106" si="57">+D69/$L69-1</f>
        <v>-0.12981406573982812</v>
      </c>
      <c r="E99" s="182">
        <f t="shared" si="57"/>
        <v>-2.1040823957306665E-2</v>
      </c>
      <c r="F99" s="182">
        <f t="shared" si="57"/>
        <v>-5.9893266256501043E-2</v>
      </c>
      <c r="G99" s="182">
        <f t="shared" si="57"/>
        <v>-6.5467894897855317E-2</v>
      </c>
      <c r="H99" s="182">
        <f t="shared" si="57"/>
        <v>-2.1720656718447362E-2</v>
      </c>
      <c r="I99" s="182">
        <f t="shared" si="57"/>
        <v>1.5874094972636588E-2</v>
      </c>
      <c r="J99" s="182">
        <f t="shared" si="57"/>
        <v>4.8268126040991177E-3</v>
      </c>
      <c r="K99" s="182">
        <f>+K69/$L69-1</f>
        <v>1.3256738842244653E-2</v>
      </c>
      <c r="L99" s="193"/>
      <c r="M99" s="166"/>
      <c r="N99" s="166"/>
      <c r="O99" s="174">
        <v>1000</v>
      </c>
      <c r="P99" s="123" t="s">
        <v>92</v>
      </c>
      <c r="Q99" s="1"/>
      <c r="R99" s="182">
        <f t="shared" ref="R99:U106" si="58">+D69/$H69-1</f>
        <v>-0.11049339819318971</v>
      </c>
      <c r="S99" s="182">
        <f t="shared" si="58"/>
        <v>6.9492703266149647E-4</v>
      </c>
      <c r="T99" s="182">
        <f t="shared" si="58"/>
        <v>-3.9020152883947223E-2</v>
      </c>
      <c r="U99" s="182">
        <f t="shared" si="58"/>
        <v>-4.4718554551772094E-2</v>
      </c>
      <c r="V99" s="191"/>
      <c r="W99" s="182"/>
      <c r="X99" s="182"/>
      <c r="Y99" s="182"/>
      <c r="Z99" s="154"/>
    </row>
    <row r="100" spans="1:26" ht="15.75" customHeight="1">
      <c r="A100" s="166"/>
      <c r="B100" s="175">
        <v>2100</v>
      </c>
      <c r="C100" s="1" t="s">
        <v>20</v>
      </c>
      <c r="D100" s="182">
        <f t="shared" si="57"/>
        <v>9.3247588424437255E-2</v>
      </c>
      <c r="E100" s="182">
        <f t="shared" si="57"/>
        <v>0.38263665594855301</v>
      </c>
      <c r="F100" s="182">
        <f t="shared" si="57"/>
        <v>0.12797427652733107</v>
      </c>
      <c r="G100" s="182">
        <f t="shared" si="57"/>
        <v>0.12797427652733107</v>
      </c>
      <c r="H100" s="182">
        <f t="shared" si="57"/>
        <v>6.7524115755627001E-2</v>
      </c>
      <c r="I100" s="182">
        <f t="shared" si="57"/>
        <v>5.4662379421221763E-2</v>
      </c>
      <c r="J100" s="182">
        <f t="shared" si="57"/>
        <v>-3.2797427652733191E-2</v>
      </c>
      <c r="K100" s="182">
        <f t="shared" ref="K100:K106" si="59">+K70/$L70-1</f>
        <v>-1.672025723472681E-2</v>
      </c>
      <c r="L100" s="194"/>
      <c r="M100" s="166"/>
      <c r="N100" s="166"/>
      <c r="O100" s="175">
        <v>2100</v>
      </c>
      <c r="P100" s="1" t="s">
        <v>20</v>
      </c>
      <c r="Q100" s="1"/>
      <c r="R100" s="182">
        <f t="shared" si="58"/>
        <v>2.409638554216853E-2</v>
      </c>
      <c r="S100" s="182">
        <f t="shared" si="58"/>
        <v>0.29518072289156616</v>
      </c>
      <c r="T100" s="182">
        <f t="shared" si="58"/>
        <v>5.6626506024096246E-2</v>
      </c>
      <c r="U100" s="182">
        <f t="shared" si="58"/>
        <v>5.6626506024096246E-2</v>
      </c>
      <c r="V100" s="191"/>
      <c r="W100" s="182"/>
      <c r="X100" s="182"/>
      <c r="Y100" s="182"/>
      <c r="Z100" s="155"/>
    </row>
    <row r="101" spans="1:26" ht="15.75" customHeight="1">
      <c r="A101" s="166"/>
      <c r="B101" s="175">
        <v>2200</v>
      </c>
      <c r="C101" s="1" t="s">
        <v>93</v>
      </c>
      <c r="D101" s="182">
        <f t="shared" si="57"/>
        <v>0.13475177304964547</v>
      </c>
      <c r="E101" s="182">
        <f t="shared" si="57"/>
        <v>0.13475177304964547</v>
      </c>
      <c r="F101" s="182">
        <f t="shared" si="57"/>
        <v>2.3404255319148914E-2</v>
      </c>
      <c r="G101" s="182">
        <f t="shared" si="57"/>
        <v>2.3404255319148914E-2</v>
      </c>
      <c r="H101" s="182">
        <f t="shared" si="57"/>
        <v>2.1276595744680771E-2</v>
      </c>
      <c r="I101" s="182">
        <f t="shared" si="57"/>
        <v>4.4680851063829907E-2</v>
      </c>
      <c r="J101" s="182">
        <f t="shared" si="57"/>
        <v>0.21489361702127674</v>
      </c>
      <c r="K101" s="182">
        <f t="shared" si="59"/>
        <v>-3.3333333333333326E-2</v>
      </c>
      <c r="L101" s="194"/>
      <c r="M101" s="166"/>
      <c r="N101" s="166"/>
      <c r="O101" s="175">
        <v>2200</v>
      </c>
      <c r="P101" s="1" t="s">
        <v>93</v>
      </c>
      <c r="Q101" s="1"/>
      <c r="R101" s="182">
        <f t="shared" si="58"/>
        <v>0.11111111111111116</v>
      </c>
      <c r="S101" s="182">
        <f t="shared" si="58"/>
        <v>0.11111111111111116</v>
      </c>
      <c r="T101" s="182">
        <f t="shared" si="58"/>
        <v>2.083333333333437E-3</v>
      </c>
      <c r="U101" s="182">
        <f t="shared" si="58"/>
        <v>2.083333333333437E-3</v>
      </c>
      <c r="V101" s="191"/>
      <c r="W101" s="182"/>
      <c r="X101" s="182"/>
      <c r="Y101" s="182"/>
      <c r="Z101" s="155"/>
    </row>
    <row r="102" spans="1:26" ht="15.75" customHeight="1">
      <c r="A102" s="166"/>
      <c r="B102" s="175">
        <v>2300</v>
      </c>
      <c r="C102" s="1" t="s">
        <v>22</v>
      </c>
      <c r="D102" s="182">
        <f t="shared" si="57"/>
        <v>1</v>
      </c>
      <c r="E102" s="182">
        <f t="shared" si="57"/>
        <v>1</v>
      </c>
      <c r="F102" s="182">
        <f t="shared" si="57"/>
        <v>1</v>
      </c>
      <c r="G102" s="182">
        <f t="shared" si="57"/>
        <v>1</v>
      </c>
      <c r="H102" s="182">
        <f t="shared" si="57"/>
        <v>0</v>
      </c>
      <c r="I102" s="182">
        <f t="shared" si="57"/>
        <v>0</v>
      </c>
      <c r="J102" s="182">
        <f t="shared" si="57"/>
        <v>0</v>
      </c>
      <c r="K102" s="182">
        <f t="shared" si="59"/>
        <v>0</v>
      </c>
      <c r="L102" s="194"/>
      <c r="M102" s="166"/>
      <c r="N102" s="166"/>
      <c r="O102" s="175">
        <v>2300</v>
      </c>
      <c r="P102" s="1" t="s">
        <v>22</v>
      </c>
      <c r="Q102" s="1"/>
      <c r="R102" s="182">
        <f t="shared" si="58"/>
        <v>1</v>
      </c>
      <c r="S102" s="182">
        <f t="shared" si="58"/>
        <v>1</v>
      </c>
      <c r="T102" s="182">
        <f t="shared" si="58"/>
        <v>1</v>
      </c>
      <c r="U102" s="182">
        <f t="shared" si="58"/>
        <v>1</v>
      </c>
      <c r="V102" s="191"/>
      <c r="W102" s="182"/>
      <c r="X102" s="182"/>
      <c r="Y102" s="182"/>
      <c r="Z102" s="155"/>
    </row>
    <row r="103" spans="1:26" ht="15.75" customHeight="1">
      <c r="A103" s="166"/>
      <c r="B103" s="175">
        <v>2400</v>
      </c>
      <c r="C103" s="1" t="s">
        <v>94</v>
      </c>
      <c r="D103" s="182">
        <f t="shared" si="57"/>
        <v>-7.407407407407407E-2</v>
      </c>
      <c r="E103" s="182">
        <f t="shared" si="57"/>
        <v>-3.703703703703709E-2</v>
      </c>
      <c r="F103" s="182">
        <f t="shared" si="57"/>
        <v>-5.9259259259259345E-2</v>
      </c>
      <c r="G103" s="182">
        <f t="shared" si="57"/>
        <v>-5.9259259259259345E-2</v>
      </c>
      <c r="H103" s="182">
        <f t="shared" si="57"/>
        <v>-7.407407407407407E-2</v>
      </c>
      <c r="I103" s="182">
        <f t="shared" si="57"/>
        <v>2.2222222222222365E-2</v>
      </c>
      <c r="J103" s="182">
        <f t="shared" si="57"/>
        <v>-2.0370370370370372E-2</v>
      </c>
      <c r="K103" s="182">
        <f t="shared" si="59"/>
        <v>1.3333333333333419E-2</v>
      </c>
      <c r="L103" s="194"/>
      <c r="M103" s="166"/>
      <c r="N103" s="166"/>
      <c r="O103" s="175">
        <v>2400</v>
      </c>
      <c r="P103" s="1" t="s">
        <v>94</v>
      </c>
      <c r="Q103" s="1"/>
      <c r="R103" s="182">
        <f t="shared" si="58"/>
        <v>0</v>
      </c>
      <c r="S103" s="182">
        <f t="shared" si="58"/>
        <v>4.0000000000000036E-2</v>
      </c>
      <c r="T103" s="182">
        <f t="shared" si="58"/>
        <v>1.6000000000000014E-2</v>
      </c>
      <c r="U103" s="182">
        <f t="shared" si="58"/>
        <v>1.6000000000000014E-2</v>
      </c>
      <c r="V103" s="191"/>
      <c r="W103" s="182"/>
      <c r="X103" s="182"/>
      <c r="Y103" s="182"/>
      <c r="Z103" s="155"/>
    </row>
    <row r="104" spans="1:26" ht="15.75" customHeight="1">
      <c r="A104" s="166"/>
      <c r="B104" s="175">
        <v>2500</v>
      </c>
      <c r="C104" s="1" t="s">
        <v>95</v>
      </c>
      <c r="D104" s="182">
        <f t="shared" si="57"/>
        <v>-0.10614525139664799</v>
      </c>
      <c r="E104" s="182">
        <f t="shared" si="57"/>
        <v>-0.10614525139664799</v>
      </c>
      <c r="F104" s="182">
        <f t="shared" si="57"/>
        <v>-0.10614525139664799</v>
      </c>
      <c r="G104" s="182">
        <f t="shared" si="57"/>
        <v>-0.10614525139664799</v>
      </c>
      <c r="H104" s="182">
        <f t="shared" si="57"/>
        <v>-6.1452513966480327E-2</v>
      </c>
      <c r="I104" s="182">
        <f t="shared" si="57"/>
        <v>-5.5865921787709549E-2</v>
      </c>
      <c r="J104" s="182">
        <f t="shared" si="57"/>
        <v>5.5865921787709993E-3</v>
      </c>
      <c r="K104" s="182">
        <f t="shared" si="59"/>
        <v>5.4748603351955305E-2</v>
      </c>
      <c r="L104" s="194"/>
      <c r="M104" s="166"/>
      <c r="N104" s="166"/>
      <c r="O104" s="175">
        <v>2500</v>
      </c>
      <c r="P104" s="1" t="s">
        <v>95</v>
      </c>
      <c r="Q104" s="1"/>
      <c r="R104" s="182">
        <f t="shared" si="58"/>
        <v>-4.7619047619047672E-2</v>
      </c>
      <c r="S104" s="182">
        <f t="shared" si="58"/>
        <v>-4.7619047619047672E-2</v>
      </c>
      <c r="T104" s="182">
        <f t="shared" si="58"/>
        <v>-4.7619047619047672E-2</v>
      </c>
      <c r="U104" s="182">
        <f t="shared" si="58"/>
        <v>-4.7619047619047672E-2</v>
      </c>
      <c r="V104" s="191"/>
      <c r="W104" s="182"/>
      <c r="X104" s="182"/>
      <c r="Y104" s="182"/>
      <c r="Z104" s="155"/>
    </row>
    <row r="105" spans="1:26" ht="15.75" customHeight="1">
      <c r="A105" s="166"/>
      <c r="B105" s="175">
        <v>2600</v>
      </c>
      <c r="C105" s="1" t="s">
        <v>96</v>
      </c>
      <c r="D105" s="182">
        <f t="shared" si="57"/>
        <v>-2.1207177814029365E-2</v>
      </c>
      <c r="E105" s="182">
        <f t="shared" si="57"/>
        <v>4.404567699836881E-2</v>
      </c>
      <c r="F105" s="182">
        <f t="shared" si="57"/>
        <v>-2.7732463295268017E-3</v>
      </c>
      <c r="G105" s="182">
        <f t="shared" si="57"/>
        <v>-2.7732463295268017E-3</v>
      </c>
      <c r="H105" s="182">
        <f t="shared" si="57"/>
        <v>-1.6313213703099461E-2</v>
      </c>
      <c r="I105" s="182">
        <f t="shared" si="57"/>
        <v>6.0358890701468271E-2</v>
      </c>
      <c r="J105" s="182">
        <f t="shared" si="57"/>
        <v>-4.8939641109297938E-3</v>
      </c>
      <c r="K105" s="182">
        <f t="shared" si="59"/>
        <v>-8.1566068515497303E-3</v>
      </c>
      <c r="L105" s="194"/>
      <c r="M105" s="166"/>
      <c r="N105" s="166"/>
      <c r="O105" s="175">
        <v>2600</v>
      </c>
      <c r="P105" s="1" t="s">
        <v>96</v>
      </c>
      <c r="Q105" s="1"/>
      <c r="R105" s="182">
        <f t="shared" si="58"/>
        <v>-4.9751243781094301E-3</v>
      </c>
      <c r="S105" s="182">
        <f t="shared" si="58"/>
        <v>6.1359867330016638E-2</v>
      </c>
      <c r="T105" s="182">
        <f t="shared" si="58"/>
        <v>1.376451077943619E-2</v>
      </c>
      <c r="U105" s="182">
        <f t="shared" si="58"/>
        <v>1.376451077943619E-2</v>
      </c>
      <c r="V105" s="191"/>
      <c r="W105" s="182"/>
      <c r="X105" s="182"/>
      <c r="Y105" s="182"/>
      <c r="Z105" s="155"/>
    </row>
    <row r="106" spans="1:26" ht="15.75" customHeight="1">
      <c r="A106" s="166"/>
      <c r="B106" s="175">
        <v>2700</v>
      </c>
      <c r="C106" s="1" t="s">
        <v>97</v>
      </c>
      <c r="D106" s="182">
        <f t="shared" si="57"/>
        <v>-1.0526315789473717E-2</v>
      </c>
      <c r="E106" s="182">
        <f t="shared" si="57"/>
        <v>-1.0526315789473717E-2</v>
      </c>
      <c r="F106" s="182">
        <f t="shared" si="57"/>
        <v>-9.7263157894736829E-2</v>
      </c>
      <c r="G106" s="182">
        <f t="shared" si="57"/>
        <v>-8.6736842105263112E-2</v>
      </c>
      <c r="H106" s="182">
        <f t="shared" si="57"/>
        <v>-0.12421052631578944</v>
      </c>
      <c r="I106" s="182">
        <f t="shared" si="57"/>
        <v>-3.9999999999999925E-2</v>
      </c>
      <c r="J106" s="182">
        <f t="shared" si="57"/>
        <v>-1.473684210526327E-2</v>
      </c>
      <c r="K106" s="182">
        <f t="shared" si="59"/>
        <v>-2.6315789473684181E-2</v>
      </c>
      <c r="L106" s="194"/>
      <c r="M106" s="166"/>
      <c r="N106" s="166"/>
      <c r="O106" s="175">
        <v>2700</v>
      </c>
      <c r="P106" s="1" t="s">
        <v>97</v>
      </c>
      <c r="Q106" s="1"/>
      <c r="R106" s="182">
        <f t="shared" si="58"/>
        <v>0.12980769230769229</v>
      </c>
      <c r="S106" s="182">
        <f t="shared" si="58"/>
        <v>0.12980769230769229</v>
      </c>
      <c r="T106" s="182">
        <f t="shared" si="58"/>
        <v>3.0769230769230882E-2</v>
      </c>
      <c r="U106" s="182">
        <f t="shared" si="58"/>
        <v>4.2788461538461497E-2</v>
      </c>
      <c r="V106" s="191"/>
      <c r="W106" s="182"/>
      <c r="X106" s="182"/>
      <c r="Y106" s="182"/>
      <c r="Z106" s="155"/>
    </row>
    <row r="107" spans="1:26" ht="15.75" customHeight="1">
      <c r="A107" s="166"/>
      <c r="B107" s="175">
        <v>2900</v>
      </c>
      <c r="C107" s="1" t="s">
        <v>27</v>
      </c>
      <c r="D107" s="182"/>
      <c r="E107" s="182"/>
      <c r="F107" s="182"/>
      <c r="G107" s="182"/>
      <c r="H107" s="182"/>
      <c r="I107" s="182"/>
      <c r="J107" s="182"/>
      <c r="K107" s="182"/>
      <c r="L107" s="194"/>
      <c r="M107" s="166"/>
      <c r="N107" s="166"/>
      <c r="O107" s="175">
        <v>2900</v>
      </c>
      <c r="P107" s="1" t="s">
        <v>27</v>
      </c>
      <c r="Q107" s="1"/>
      <c r="R107" s="182"/>
      <c r="S107" s="182"/>
      <c r="T107" s="182"/>
      <c r="U107" s="182"/>
      <c r="V107" s="191"/>
      <c r="W107" s="182"/>
      <c r="X107" s="182"/>
      <c r="Y107" s="182"/>
      <c r="Z107" s="155"/>
    </row>
    <row r="108" spans="1:26" ht="15.75" customHeight="1">
      <c r="A108" s="166"/>
      <c r="B108" s="175">
        <v>3000</v>
      </c>
      <c r="C108" s="1" t="s">
        <v>19</v>
      </c>
      <c r="D108" s="147"/>
      <c r="E108" s="147"/>
      <c r="F108" s="147"/>
      <c r="G108" s="147"/>
      <c r="H108" s="147"/>
      <c r="I108" s="147"/>
      <c r="J108" s="147"/>
      <c r="K108" s="147"/>
      <c r="L108" s="195"/>
      <c r="M108" s="166"/>
      <c r="N108" s="166"/>
      <c r="O108" s="175">
        <v>3000</v>
      </c>
      <c r="P108" s="1" t="s">
        <v>19</v>
      </c>
      <c r="Q108" s="1"/>
      <c r="R108" s="147"/>
      <c r="S108" s="147"/>
      <c r="T108" s="147"/>
      <c r="U108" s="147"/>
      <c r="V108" s="192"/>
      <c r="W108" s="147"/>
      <c r="X108" s="147"/>
      <c r="Y108" s="147"/>
      <c r="Z108" s="176"/>
    </row>
    <row r="109" spans="1:26" ht="15.75" customHeight="1">
      <c r="A109" s="166"/>
      <c r="B109" s="107"/>
      <c r="D109" s="182"/>
      <c r="E109" s="182"/>
      <c r="F109" s="182"/>
      <c r="G109" s="182"/>
      <c r="H109" s="182"/>
      <c r="I109" s="182"/>
      <c r="J109" s="182"/>
      <c r="K109" s="182"/>
      <c r="L109" s="196"/>
      <c r="M109" s="166"/>
      <c r="N109" s="166"/>
      <c r="O109" s="107"/>
      <c r="R109" s="182"/>
      <c r="S109" s="182"/>
      <c r="T109" s="182"/>
      <c r="U109" s="182"/>
      <c r="V109" s="191"/>
      <c r="W109" s="182"/>
      <c r="X109" s="182"/>
      <c r="Y109" s="182"/>
      <c r="Z109" s="113"/>
    </row>
    <row r="110" spans="1:26" ht="15.75" customHeight="1">
      <c r="A110" s="166"/>
      <c r="B110" s="116"/>
      <c r="C110" s="127" t="s">
        <v>91</v>
      </c>
      <c r="D110" s="147">
        <f t="shared" ref="D110:J110" si="60">+D80/$L80-1</f>
        <v>-7.4872148480147338E-2</v>
      </c>
      <c r="E110" s="147">
        <f t="shared" si="60"/>
        <v>1.5150644524890122E-2</v>
      </c>
      <c r="F110" s="147">
        <f t="shared" si="60"/>
        <v>-4.0606025780995925E-2</v>
      </c>
      <c r="G110" s="147">
        <f t="shared" si="60"/>
        <v>-4.2789557356011643E-2</v>
      </c>
      <c r="H110" s="147">
        <f t="shared" si="60"/>
        <v>-3.0626903407458661E-2</v>
      </c>
      <c r="I110" s="147">
        <f t="shared" si="60"/>
        <v>1.7238407171177084E-2</v>
      </c>
      <c r="J110" s="147">
        <f t="shared" si="60"/>
        <v>2.7389913616420181E-3</v>
      </c>
      <c r="K110" s="147">
        <f>+K80/$L80-1</f>
        <v>5.4779827232851463E-3</v>
      </c>
      <c r="L110" s="197">
        <f t="shared" ref="L110" si="61">SUM(L99:L109)</f>
        <v>0</v>
      </c>
      <c r="M110" s="166"/>
      <c r="N110" s="166"/>
      <c r="O110" s="116"/>
      <c r="P110" s="127" t="s">
        <v>276</v>
      </c>
      <c r="Q110" s="127"/>
      <c r="R110" s="147">
        <f>+D80/$H80-1</f>
        <v>-4.5643153526971014E-2</v>
      </c>
      <c r="S110" s="147">
        <f>+E80/$H80-1</f>
        <v>4.722386880063234E-2</v>
      </c>
      <c r="T110" s="147">
        <f>+F80/$H80-1</f>
        <v>-1.0294408219719497E-2</v>
      </c>
      <c r="U110" s="147">
        <f>+G80/$H80-1</f>
        <v>-1.2546927484686887E-2</v>
      </c>
      <c r="V110" s="192">
        <f>+U80/$L80-1</f>
        <v>-1</v>
      </c>
      <c r="W110" s="147">
        <f>+V80/$L80-1</f>
        <v>-1</v>
      </c>
      <c r="X110" s="147">
        <f>+W80/$L80-1</f>
        <v>-1</v>
      </c>
      <c r="Y110" s="147">
        <f>+X80/$L80-1</f>
        <v>-1</v>
      </c>
      <c r="Z110" s="157">
        <f t="shared" ref="Z110" si="62">SUM(Z99:Z109)</f>
        <v>0</v>
      </c>
    </row>
    <row r="111" spans="1:26" ht="15.75" customHeight="1">
      <c r="A111" s="166"/>
      <c r="B111" s="166"/>
      <c r="C111" s="166"/>
      <c r="D111" s="166"/>
      <c r="E111" s="166"/>
      <c r="F111" s="166"/>
      <c r="G111" s="166"/>
      <c r="H111" s="166"/>
      <c r="I111" s="166"/>
      <c r="J111" s="166"/>
      <c r="K111" s="166"/>
      <c r="L111" s="166"/>
      <c r="M111" s="166"/>
      <c r="N111" s="166"/>
    </row>
    <row r="112" spans="1:26" ht="15.75" customHeight="1">
      <c r="A112" s="166"/>
      <c r="B112" s="166"/>
      <c r="C112" s="166"/>
      <c r="D112" s="166"/>
      <c r="E112" s="166"/>
      <c r="F112" s="166"/>
      <c r="G112" s="166"/>
      <c r="H112" s="166"/>
      <c r="I112" s="166"/>
      <c r="J112" s="166"/>
      <c r="K112" s="166"/>
      <c r="L112" s="166"/>
      <c r="M112" s="166"/>
      <c r="N112" s="166"/>
    </row>
    <row r="113" spans="1:16" ht="12.75">
      <c r="A113" s="9" t="s">
        <v>98</v>
      </c>
      <c r="D113" s="25"/>
      <c r="E113" s="25"/>
      <c r="F113" s="25"/>
      <c r="G113" s="25"/>
      <c r="H113" s="25"/>
      <c r="I113" s="25"/>
      <c r="J113" s="25"/>
      <c r="K113" s="25"/>
      <c r="L113" s="25"/>
      <c r="M113" s="178"/>
      <c r="N113" s="178"/>
      <c r="O113" s="25"/>
      <c r="P113" s="25"/>
    </row>
    <row r="114" spans="1:16" ht="12.75">
      <c r="B114" s="1">
        <v>1000</v>
      </c>
      <c r="C114" s="1" t="s">
        <v>92</v>
      </c>
      <c r="D114" s="25">
        <f t="shared" ref="D114:K114" si="63">IFERROR(+D$8/D69," ")</f>
        <v>18.19921875</v>
      </c>
      <c r="E114" s="25">
        <f t="shared" si="63"/>
        <v>16.65625</v>
      </c>
      <c r="F114" s="25">
        <f t="shared" si="63"/>
        <v>18.165383085656433</v>
      </c>
      <c r="G114" s="25">
        <f t="shared" si="63"/>
        <v>19.146691885207144</v>
      </c>
      <c r="H114" s="25">
        <f t="shared" si="63"/>
        <v>18.238359972202918</v>
      </c>
      <c r="I114" s="25">
        <f t="shared" si="63"/>
        <v>17.636016864083516</v>
      </c>
      <c r="J114" s="25">
        <f t="shared" si="63"/>
        <v>19.251716789012555</v>
      </c>
      <c r="K114" s="25">
        <f t="shared" si="63"/>
        <v>19.118387064309434</v>
      </c>
      <c r="L114" s="25">
        <f>IFERROR(+L$8/L69," ")</f>
        <v>19.525136816343178</v>
      </c>
      <c r="M114" s="25"/>
      <c r="N114" s="25"/>
      <c r="O114" s="25"/>
      <c r="P114" s="25"/>
    </row>
    <row r="115" spans="1:16" ht="12.75">
      <c r="B115" s="1">
        <v>2100</v>
      </c>
      <c r="C115" s="1" t="s">
        <v>20</v>
      </c>
      <c r="D115" s="25">
        <f t="shared" ref="D115:K123" si="64">IFERROR(+D$8/D70," ")</f>
        <v>137.02941176470588</v>
      </c>
      <c r="E115" s="25">
        <f t="shared" si="64"/>
        <v>111.55813953488372</v>
      </c>
      <c r="F115" s="25">
        <f t="shared" si="64"/>
        <v>143.21550741163057</v>
      </c>
      <c r="G115" s="25">
        <f t="shared" si="64"/>
        <v>150.05701254275942</v>
      </c>
      <c r="H115" s="25">
        <f t="shared" si="64"/>
        <v>158.10240963855421</v>
      </c>
      <c r="I115" s="25">
        <f t="shared" si="64"/>
        <v>160.6920731707317</v>
      </c>
      <c r="J115" s="25">
        <f t="shared" si="64"/>
        <v>189.19547872340428</v>
      </c>
      <c r="K115" s="25">
        <f t="shared" si="64"/>
        <v>186.36363636363637</v>
      </c>
      <c r="L115" s="25">
        <f>IFERROR(+L$8/L70," ")</f>
        <v>184.69774919614147</v>
      </c>
      <c r="M115" s="25"/>
      <c r="N115" s="25"/>
      <c r="O115" s="25"/>
      <c r="P115" s="25"/>
    </row>
    <row r="116" spans="1:16" ht="12.75">
      <c r="B116" s="1">
        <v>2200</v>
      </c>
      <c r="C116" s="1" t="s">
        <v>93</v>
      </c>
      <c r="D116" s="25">
        <f t="shared" si="64"/>
        <v>291.1875</v>
      </c>
      <c r="E116" s="25">
        <f t="shared" si="64"/>
        <v>299.8125</v>
      </c>
      <c r="F116" s="25">
        <f t="shared" si="64"/>
        <v>348.16354816354817</v>
      </c>
      <c r="G116" s="25">
        <f t="shared" si="64"/>
        <v>364.79556479556481</v>
      </c>
      <c r="H116" s="25">
        <f t="shared" si="64"/>
        <v>364.51388888888891</v>
      </c>
      <c r="I116" s="25">
        <f t="shared" si="64"/>
        <v>357.82077393075355</v>
      </c>
      <c r="J116" s="25">
        <f t="shared" si="64"/>
        <v>332.22416812609453</v>
      </c>
      <c r="K116" s="25">
        <f t="shared" si="64"/>
        <v>418.12179016874546</v>
      </c>
      <c r="L116" s="25">
        <f t="shared" ref="L116:L123" si="65">IFERROR(+L$8/L71," ")</f>
        <v>407.38297872340428</v>
      </c>
      <c r="M116" s="25"/>
      <c r="N116" s="25"/>
      <c r="O116" s="25"/>
      <c r="P116" s="25"/>
    </row>
    <row r="117" spans="1:16" ht="12.75">
      <c r="B117" s="1">
        <v>2300</v>
      </c>
      <c r="C117" s="1" t="s">
        <v>22</v>
      </c>
      <c r="D117" s="25">
        <f t="shared" si="64"/>
        <v>1164.75</v>
      </c>
      <c r="E117" s="25">
        <f t="shared" si="64"/>
        <v>1199.25</v>
      </c>
      <c r="F117" s="25">
        <f t="shared" si="64"/>
        <v>1256</v>
      </c>
      <c r="G117" s="25">
        <f t="shared" si="64"/>
        <v>1316</v>
      </c>
      <c r="H117" s="25">
        <f t="shared" si="64"/>
        <v>2624.5</v>
      </c>
      <c r="I117" s="25">
        <f t="shared" si="64"/>
        <v>2635.35</v>
      </c>
      <c r="J117" s="25">
        <f t="shared" si="64"/>
        <v>2845.5</v>
      </c>
      <c r="K117" s="25">
        <f t="shared" si="64"/>
        <v>2849.5</v>
      </c>
      <c r="L117" s="25">
        <f t="shared" si="65"/>
        <v>2872.05</v>
      </c>
      <c r="M117" s="25"/>
      <c r="N117" s="25"/>
      <c r="O117" s="25"/>
      <c r="P117" s="25"/>
    </row>
    <row r="118" spans="1:16" ht="12.75">
      <c r="B118" s="1">
        <v>2400</v>
      </c>
      <c r="C118" s="1" t="s">
        <v>94</v>
      </c>
      <c r="D118" s="25">
        <f t="shared" si="64"/>
        <v>93.18</v>
      </c>
      <c r="E118" s="25">
        <f t="shared" si="64"/>
        <v>92.25</v>
      </c>
      <c r="F118" s="25">
        <f t="shared" si="64"/>
        <v>98.8976377952756</v>
      </c>
      <c r="G118" s="25">
        <f t="shared" si="64"/>
        <v>103.62204724409449</v>
      </c>
      <c r="H118" s="25">
        <f t="shared" si="64"/>
        <v>104.98</v>
      </c>
      <c r="I118" s="25">
        <f t="shared" si="64"/>
        <v>95.483695652173907</v>
      </c>
      <c r="J118" s="25">
        <f t="shared" si="64"/>
        <v>107.58034026465029</v>
      </c>
      <c r="K118" s="25">
        <f t="shared" si="64"/>
        <v>104.1483918128655</v>
      </c>
      <c r="L118" s="25">
        <f t="shared" si="65"/>
        <v>106.37222222222223</v>
      </c>
      <c r="M118" s="25"/>
      <c r="N118" s="25"/>
      <c r="O118" s="25"/>
      <c r="P118" s="25"/>
    </row>
    <row r="119" spans="1:16" ht="12.75">
      <c r="B119" s="1">
        <v>2500</v>
      </c>
      <c r="C119" s="1" t="s">
        <v>95</v>
      </c>
      <c r="D119" s="25">
        <f t="shared" si="64"/>
        <v>291.1875</v>
      </c>
      <c r="E119" s="25">
        <f t="shared" si="64"/>
        <v>299.8125</v>
      </c>
      <c r="F119" s="25">
        <f t="shared" si="64"/>
        <v>314</v>
      </c>
      <c r="G119" s="25">
        <f t="shared" si="64"/>
        <v>329</v>
      </c>
      <c r="H119" s="25">
        <f t="shared" si="64"/>
        <v>312.4404761904762</v>
      </c>
      <c r="I119" s="25">
        <f t="shared" si="64"/>
        <v>311.87573964497045</v>
      </c>
      <c r="J119" s="25">
        <f t="shared" si="64"/>
        <v>316.16666666666669</v>
      </c>
      <c r="K119" s="25">
        <f t="shared" si="64"/>
        <v>301.85381355932208</v>
      </c>
      <c r="L119" s="25">
        <f t="shared" si="65"/>
        <v>320.89944134078218</v>
      </c>
      <c r="M119" s="25"/>
      <c r="N119" s="25"/>
      <c r="O119" s="25"/>
      <c r="P119" s="25"/>
    </row>
    <row r="120" spans="1:16" ht="12.75">
      <c r="B120" s="1">
        <v>2600</v>
      </c>
      <c r="C120" s="1" t="s">
        <v>96</v>
      </c>
      <c r="D120" s="25">
        <f t="shared" si="64"/>
        <v>77.650000000000006</v>
      </c>
      <c r="E120" s="25">
        <f t="shared" si="64"/>
        <v>74.953125</v>
      </c>
      <c r="F120" s="25">
        <f t="shared" si="64"/>
        <v>82.185506298053326</v>
      </c>
      <c r="G120" s="25">
        <f t="shared" si="64"/>
        <v>86.111565516113203</v>
      </c>
      <c r="H120" s="25">
        <f t="shared" si="64"/>
        <v>87.048092868988391</v>
      </c>
      <c r="I120" s="25">
        <f t="shared" si="64"/>
        <v>81.087692307692308</v>
      </c>
      <c r="J120" s="25">
        <f t="shared" si="64"/>
        <v>93.295081967213122</v>
      </c>
      <c r="K120" s="25">
        <f t="shared" si="64"/>
        <v>93.733552631578945</v>
      </c>
      <c r="L120" s="25">
        <f t="shared" si="65"/>
        <v>93.704730831973905</v>
      </c>
      <c r="M120" s="25"/>
      <c r="N120" s="25"/>
      <c r="O120" s="25"/>
      <c r="P120" s="25"/>
    </row>
    <row r="121" spans="1:16" ht="12.75">
      <c r="B121" s="1">
        <v>2700</v>
      </c>
      <c r="C121" s="1" t="s">
        <v>97</v>
      </c>
      <c r="D121" s="25">
        <f t="shared" si="64"/>
        <v>99.127659574468083</v>
      </c>
      <c r="E121" s="25">
        <f t="shared" si="64"/>
        <v>102.06382978723404</v>
      </c>
      <c r="F121" s="25">
        <f t="shared" si="64"/>
        <v>117.16417910447761</v>
      </c>
      <c r="G121" s="25">
        <f t="shared" si="64"/>
        <v>121.34624250806823</v>
      </c>
      <c r="H121" s="25">
        <f t="shared" si="64"/>
        <v>126.17788461538461</v>
      </c>
      <c r="I121" s="25">
        <f t="shared" si="64"/>
        <v>115.58552631578947</v>
      </c>
      <c r="J121" s="25">
        <f t="shared" si="64"/>
        <v>121.60256410256412</v>
      </c>
      <c r="K121" s="25">
        <f t="shared" si="64"/>
        <v>123.22162162162162</v>
      </c>
      <c r="L121" s="25">
        <f t="shared" si="65"/>
        <v>120.92842105263159</v>
      </c>
      <c r="M121" s="25"/>
      <c r="N121" s="25"/>
      <c r="O121" s="25"/>
      <c r="P121" s="25"/>
    </row>
    <row r="122" spans="1:16" ht="12.75">
      <c r="B122" s="1">
        <v>2900</v>
      </c>
      <c r="C122" s="1" t="s">
        <v>27</v>
      </c>
      <c r="D122" s="25" t="str">
        <f t="shared" si="64"/>
        <v xml:space="preserve"> </v>
      </c>
      <c r="E122" s="25" t="str">
        <f t="shared" si="64"/>
        <v xml:space="preserve"> </v>
      </c>
      <c r="F122" s="25" t="str">
        <f t="shared" si="64"/>
        <v xml:space="preserve"> </v>
      </c>
      <c r="G122" s="25" t="str">
        <f t="shared" si="64"/>
        <v xml:space="preserve"> </v>
      </c>
      <c r="H122" s="25" t="str">
        <f t="shared" si="64"/>
        <v xml:space="preserve"> </v>
      </c>
      <c r="I122" s="25" t="str">
        <f t="shared" si="64"/>
        <v xml:space="preserve"> </v>
      </c>
      <c r="J122" s="25" t="str">
        <f t="shared" si="64"/>
        <v xml:space="preserve"> </v>
      </c>
      <c r="K122" s="25" t="str">
        <f t="shared" si="64"/>
        <v xml:space="preserve"> </v>
      </c>
      <c r="L122" s="25" t="str">
        <f t="shared" si="65"/>
        <v xml:space="preserve"> </v>
      </c>
      <c r="M122" s="25"/>
      <c r="N122" s="25"/>
      <c r="O122" s="25"/>
      <c r="P122" s="25"/>
    </row>
    <row r="123" spans="1:16" ht="12.75">
      <c r="B123" s="1">
        <v>3000</v>
      </c>
      <c r="C123" s="1" t="s">
        <v>19</v>
      </c>
      <c r="D123" s="25" t="str">
        <f t="shared" si="64"/>
        <v xml:space="preserve"> </v>
      </c>
      <c r="E123" s="25" t="str">
        <f t="shared" si="64"/>
        <v xml:space="preserve"> </v>
      </c>
      <c r="F123" s="25" t="str">
        <f t="shared" si="64"/>
        <v xml:space="preserve"> </v>
      </c>
      <c r="G123" s="25" t="str">
        <f t="shared" si="64"/>
        <v xml:space="preserve"> </v>
      </c>
      <c r="H123" s="25" t="str">
        <f t="shared" si="64"/>
        <v xml:space="preserve"> </v>
      </c>
      <c r="I123" s="25" t="str">
        <f t="shared" si="64"/>
        <v xml:space="preserve"> </v>
      </c>
      <c r="J123" s="25" t="str">
        <f t="shared" si="64"/>
        <v xml:space="preserve"> </v>
      </c>
      <c r="K123" s="25" t="str">
        <f t="shared" si="64"/>
        <v xml:space="preserve"> </v>
      </c>
      <c r="L123" s="25" t="str">
        <f t="shared" si="65"/>
        <v xml:space="preserve"> </v>
      </c>
      <c r="M123" s="25"/>
      <c r="N123" s="25"/>
      <c r="O123" s="25"/>
      <c r="P123" s="25"/>
    </row>
    <row r="124" spans="1:16" ht="12.75"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</row>
    <row r="125" spans="1:16" ht="12.75"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</row>
    <row r="127" spans="1:16" ht="12.75">
      <c r="A127" s="9" t="s">
        <v>99</v>
      </c>
    </row>
    <row r="128" spans="1:16" ht="12.75">
      <c r="B128" s="1">
        <v>1000</v>
      </c>
      <c r="C128" s="1" t="s">
        <v>92</v>
      </c>
      <c r="D128" s="25">
        <f>IFERROR(D$9/D69,0)</f>
        <v>18.11328125</v>
      </c>
      <c r="E128" s="25">
        <f t="shared" ref="E128:K128" si="66">IFERROR(E$9/E69,0)</f>
        <v>16.5625</v>
      </c>
      <c r="F128" s="25">
        <f t="shared" si="66"/>
        <v>18.00773764327295</v>
      </c>
      <c r="G128" s="25">
        <f t="shared" si="66"/>
        <v>18.813516167751789</v>
      </c>
      <c r="H128" s="25">
        <f t="shared" si="66"/>
        <v>18.141070187630298</v>
      </c>
      <c r="I128" s="25">
        <f t="shared" si="66"/>
        <v>17.565080639764439</v>
      </c>
      <c r="J128" s="25">
        <f t="shared" si="66"/>
        <v>19.165454483948448</v>
      </c>
      <c r="K128" s="25">
        <f t="shared" si="66"/>
        <v>19.041900097286053</v>
      </c>
      <c r="L128" s="25">
        <f>IFERROR(L$9/L69,0)</f>
        <v>19.457493456609669</v>
      </c>
    </row>
    <row r="129" spans="1:12" ht="12.75">
      <c r="B129" s="1">
        <v>2100</v>
      </c>
      <c r="C129" s="1" t="s">
        <v>20</v>
      </c>
      <c r="D129" s="25">
        <f t="shared" ref="D129:L133" si="67">IFERROR(D$9/D70,0)</f>
        <v>136.38235294117646</v>
      </c>
      <c r="E129" s="25">
        <f t="shared" si="67"/>
        <v>110.93023255813954</v>
      </c>
      <c r="F129" s="25">
        <f t="shared" si="67"/>
        <v>141.97263397947549</v>
      </c>
      <c r="G129" s="25">
        <f t="shared" si="67"/>
        <v>147.44583808437855</v>
      </c>
      <c r="H129" s="25">
        <f t="shared" si="67"/>
        <v>157.25903614457829</v>
      </c>
      <c r="I129" s="25">
        <f t="shared" si="67"/>
        <v>160.04573170731709</v>
      </c>
      <c r="J129" s="25">
        <f t="shared" si="67"/>
        <v>188.34773936170214</v>
      </c>
      <c r="K129" s="25">
        <f t="shared" si="67"/>
        <v>185.61805101373446</v>
      </c>
      <c r="L129" s="25">
        <f t="shared" si="67"/>
        <v>184.0578778135048</v>
      </c>
    </row>
    <row r="130" spans="1:12" ht="12.75">
      <c r="B130" s="1">
        <v>2200</v>
      </c>
      <c r="C130" s="1" t="s">
        <v>93</v>
      </c>
      <c r="D130" s="25">
        <f t="shared" si="67"/>
        <v>289.8125</v>
      </c>
      <c r="E130" s="25">
        <f t="shared" si="67"/>
        <v>298.125</v>
      </c>
      <c r="F130" s="25">
        <f t="shared" si="67"/>
        <v>345.14206514206512</v>
      </c>
      <c r="G130" s="25">
        <f t="shared" si="67"/>
        <v>358.44767844767841</v>
      </c>
      <c r="H130" s="25">
        <f t="shared" si="67"/>
        <v>362.56944444444446</v>
      </c>
      <c r="I130" s="25">
        <f t="shared" si="67"/>
        <v>356.38153428377461</v>
      </c>
      <c r="J130" s="25">
        <f t="shared" si="67"/>
        <v>330.73555166374774</v>
      </c>
      <c r="K130" s="25">
        <f t="shared" si="67"/>
        <v>416.44900953778432</v>
      </c>
      <c r="L130" s="25">
        <f t="shared" si="67"/>
        <v>405.97163120567376</v>
      </c>
    </row>
    <row r="131" spans="1:12" ht="12.75">
      <c r="B131" s="1">
        <v>2300</v>
      </c>
      <c r="C131" s="1" t="s">
        <v>22</v>
      </c>
      <c r="D131" s="25">
        <f t="shared" si="67"/>
        <v>1159.25</v>
      </c>
      <c r="E131" s="25">
        <f t="shared" si="67"/>
        <v>1192.5</v>
      </c>
      <c r="F131" s="25">
        <f t="shared" si="67"/>
        <v>1245.0999999999999</v>
      </c>
      <c r="G131" s="25">
        <f t="shared" si="67"/>
        <v>1293.0999999999999</v>
      </c>
      <c r="H131" s="25">
        <f t="shared" si="67"/>
        <v>2610.5</v>
      </c>
      <c r="I131" s="25">
        <f t="shared" si="67"/>
        <v>2624.75</v>
      </c>
      <c r="J131" s="25">
        <f t="shared" si="67"/>
        <v>2832.75</v>
      </c>
      <c r="K131" s="25">
        <f t="shared" si="67"/>
        <v>2838.1</v>
      </c>
      <c r="L131" s="25">
        <f t="shared" si="67"/>
        <v>2862.1</v>
      </c>
    </row>
    <row r="132" spans="1:12" ht="12.75">
      <c r="B132" s="1">
        <v>2400</v>
      </c>
      <c r="C132" s="1" t="s">
        <v>94</v>
      </c>
      <c r="D132" s="25">
        <f t="shared" si="67"/>
        <v>92.74</v>
      </c>
      <c r="E132" s="25">
        <f t="shared" si="67"/>
        <v>91.730769230769226</v>
      </c>
      <c r="F132" s="25">
        <f t="shared" si="67"/>
        <v>98.039370078740163</v>
      </c>
      <c r="G132" s="25">
        <f t="shared" si="67"/>
        <v>101.81889763779527</v>
      </c>
      <c r="H132" s="25">
        <f t="shared" si="67"/>
        <v>104.42</v>
      </c>
      <c r="I132" s="25">
        <f t="shared" si="67"/>
        <v>95.099637681159422</v>
      </c>
      <c r="J132" s="25">
        <f t="shared" si="67"/>
        <v>107.09829867674858</v>
      </c>
      <c r="K132" s="25">
        <f t="shared" si="67"/>
        <v>103.73172514619883</v>
      </c>
      <c r="L132" s="25">
        <f t="shared" si="67"/>
        <v>106.00370370370371</v>
      </c>
    </row>
    <row r="133" spans="1:12" ht="12.75">
      <c r="B133" s="1">
        <v>2500</v>
      </c>
      <c r="C133" s="1" t="s">
        <v>95</v>
      </c>
      <c r="D133" s="25">
        <f t="shared" si="67"/>
        <v>289.8125</v>
      </c>
      <c r="E133" s="25">
        <f t="shared" si="67"/>
        <v>298.125</v>
      </c>
      <c r="F133" s="25">
        <f t="shared" si="67"/>
        <v>311.27499999999998</v>
      </c>
      <c r="G133" s="25">
        <f t="shared" si="67"/>
        <v>323.27499999999998</v>
      </c>
      <c r="H133" s="25">
        <f t="shared" si="67"/>
        <v>310.77380952380952</v>
      </c>
      <c r="I133" s="25">
        <f t="shared" si="67"/>
        <v>310.62130177514797</v>
      </c>
      <c r="J133" s="25">
        <f t="shared" si="67"/>
        <v>314.75</v>
      </c>
      <c r="K133" s="25">
        <f t="shared" si="67"/>
        <v>300.64618644067798</v>
      </c>
      <c r="L133" s="25">
        <f t="shared" si="67"/>
        <v>319.78770949720672</v>
      </c>
    </row>
    <row r="134" spans="1:12" ht="12.75">
      <c r="B134" s="1">
        <v>2600</v>
      </c>
      <c r="C134" s="1" t="s">
        <v>96</v>
      </c>
      <c r="D134" s="25">
        <f t="shared" ref="D134:L134" si="68">IFERROR(D$9/D75,0)</f>
        <v>77.283333333333331</v>
      </c>
      <c r="E134" s="25">
        <f t="shared" si="68"/>
        <v>74.53125</v>
      </c>
      <c r="F134" s="25">
        <f t="shared" si="68"/>
        <v>81.472272206772445</v>
      </c>
      <c r="G134" s="25">
        <f t="shared" si="68"/>
        <v>84.613119581220346</v>
      </c>
      <c r="H134" s="25">
        <f t="shared" si="68"/>
        <v>86.58374792703151</v>
      </c>
      <c r="I134" s="25">
        <f t="shared" si="68"/>
        <v>80.761538461538464</v>
      </c>
      <c r="J134" s="25">
        <f t="shared" si="68"/>
        <v>92.877049180327873</v>
      </c>
      <c r="K134" s="25">
        <f t="shared" si="68"/>
        <v>93.358552631578945</v>
      </c>
      <c r="L134" s="25">
        <f t="shared" si="68"/>
        <v>93.380097879282218</v>
      </c>
    </row>
    <row r="135" spans="1:12" ht="12.75">
      <c r="B135" s="1">
        <v>2700</v>
      </c>
      <c r="C135" s="1" t="s">
        <v>97</v>
      </c>
      <c r="D135" s="25">
        <f t="shared" ref="D135:L135" si="69">IFERROR(D$9/D76,0)</f>
        <v>98.659574468085111</v>
      </c>
      <c r="E135" s="25">
        <f t="shared" si="69"/>
        <v>101.48936170212765</v>
      </c>
      <c r="F135" s="25">
        <f t="shared" si="69"/>
        <v>116.14738805970148</v>
      </c>
      <c r="G135" s="25">
        <f t="shared" si="69"/>
        <v>119.23467035500229</v>
      </c>
      <c r="H135" s="25">
        <f t="shared" si="69"/>
        <v>125.50480769230769</v>
      </c>
      <c r="I135" s="25">
        <f t="shared" si="69"/>
        <v>115.12061403508771</v>
      </c>
      <c r="J135" s="25">
        <f t="shared" si="69"/>
        <v>121.05769230769232</v>
      </c>
      <c r="K135" s="25">
        <f t="shared" si="69"/>
        <v>122.72864864864864</v>
      </c>
      <c r="L135" s="25">
        <f t="shared" si="69"/>
        <v>120.50947368421052</v>
      </c>
    </row>
    <row r="136" spans="1:12" ht="12.75">
      <c r="B136" s="1">
        <v>2900</v>
      </c>
      <c r="C136" s="1" t="s">
        <v>27</v>
      </c>
      <c r="D136" s="25">
        <f t="shared" ref="D136:L136" si="70">IFERROR(D$9/D77,0)</f>
        <v>0</v>
      </c>
      <c r="E136" s="25">
        <f t="shared" si="70"/>
        <v>0</v>
      </c>
      <c r="F136" s="25">
        <f t="shared" si="70"/>
        <v>0</v>
      </c>
      <c r="G136" s="25">
        <f t="shared" si="70"/>
        <v>0</v>
      </c>
      <c r="H136" s="25">
        <f t="shared" si="70"/>
        <v>0</v>
      </c>
      <c r="I136" s="25">
        <f t="shared" si="70"/>
        <v>0</v>
      </c>
      <c r="J136" s="25">
        <f t="shared" si="70"/>
        <v>0</v>
      </c>
      <c r="K136" s="25">
        <f t="shared" si="70"/>
        <v>0</v>
      </c>
      <c r="L136" s="25">
        <f t="shared" si="70"/>
        <v>0</v>
      </c>
    </row>
    <row r="137" spans="1:12" ht="12.75">
      <c r="B137" s="1">
        <v>3000</v>
      </c>
      <c r="C137" s="1" t="s">
        <v>19</v>
      </c>
      <c r="D137" s="25">
        <f t="shared" ref="D137:L137" si="71">IFERROR(D$9/D78,0)</f>
        <v>0</v>
      </c>
      <c r="E137" s="25">
        <f t="shared" si="71"/>
        <v>0</v>
      </c>
      <c r="F137" s="25">
        <f t="shared" si="71"/>
        <v>0</v>
      </c>
      <c r="G137" s="25">
        <f t="shared" si="71"/>
        <v>0</v>
      </c>
      <c r="H137" s="25">
        <f t="shared" si="71"/>
        <v>0</v>
      </c>
      <c r="I137" s="25">
        <f t="shared" si="71"/>
        <v>0</v>
      </c>
      <c r="J137" s="25">
        <f t="shared" si="71"/>
        <v>0</v>
      </c>
      <c r="K137" s="25">
        <f t="shared" si="71"/>
        <v>0</v>
      </c>
      <c r="L137" s="25">
        <f t="shared" si="71"/>
        <v>0</v>
      </c>
    </row>
    <row r="139" spans="1:12" ht="15.75" customHeight="1">
      <c r="D139" s="25"/>
    </row>
    <row r="140" spans="1:12" ht="15.75" customHeight="1">
      <c r="A140" s="166"/>
      <c r="B140" s="166"/>
      <c r="C140" s="166"/>
      <c r="D140" s="166"/>
      <c r="E140" s="166"/>
      <c r="F140" s="166"/>
      <c r="G140" s="166"/>
    </row>
    <row r="141" spans="1:12" ht="31.5" customHeight="1">
      <c r="A141" s="505" t="s">
        <v>256</v>
      </c>
      <c r="B141" s="506"/>
      <c r="C141" s="506"/>
      <c r="D141" s="506"/>
      <c r="E141" s="506"/>
      <c r="F141" s="507"/>
      <c r="G141" s="166"/>
    </row>
    <row r="142" spans="1:12" s="106" customFormat="1" ht="57" customHeight="1">
      <c r="A142" s="118"/>
      <c r="B142" s="119" t="s">
        <v>83</v>
      </c>
      <c r="C142" s="119" t="s">
        <v>2</v>
      </c>
      <c r="D142" s="144" t="s">
        <v>263</v>
      </c>
      <c r="E142" s="119" t="s">
        <v>254</v>
      </c>
      <c r="F142" s="120" t="s">
        <v>44</v>
      </c>
      <c r="G142" s="181"/>
    </row>
    <row r="143" spans="1:12" ht="15.75" customHeight="1">
      <c r="A143" s="107"/>
      <c r="B143" s="108">
        <v>1000</v>
      </c>
      <c r="C143" s="1" t="s">
        <v>92</v>
      </c>
      <c r="D143" s="109">
        <f>IFERROR(+$D$9/L$128,0)</f>
        <v>238.31435484434513</v>
      </c>
      <c r="E143" s="110">
        <f>+D$69</f>
        <v>256</v>
      </c>
      <c r="F143" s="111">
        <f>+D143-E143</f>
        <v>-17.685645155654868</v>
      </c>
      <c r="G143" s="166"/>
    </row>
    <row r="144" spans="1:12" ht="15.75" customHeight="1">
      <c r="A144" s="107"/>
      <c r="B144" s="108">
        <v>2100</v>
      </c>
      <c r="C144" s="1" t="s">
        <v>20</v>
      </c>
      <c r="D144" s="109">
        <f>IFERROR(+$D$9/L129,0)</f>
        <v>25.193162363299678</v>
      </c>
      <c r="E144" s="110">
        <f t="shared" ref="E144:E152" si="72">+D70</f>
        <v>34</v>
      </c>
      <c r="F144" s="111">
        <f t="shared" ref="F144:F152" si="73">+D144-E144</f>
        <v>-8.8068376367003225</v>
      </c>
      <c r="G144" s="166"/>
    </row>
    <row r="145" spans="1:7" ht="15.75" customHeight="1">
      <c r="A145" s="107"/>
      <c r="B145" s="108">
        <v>2200</v>
      </c>
      <c r="C145" s="1" t="s">
        <v>93</v>
      </c>
      <c r="D145" s="109">
        <f>IFERROR(+$D$9/L130,0)</f>
        <v>11.421980364068341</v>
      </c>
      <c r="E145" s="110">
        <f t="shared" si="72"/>
        <v>16</v>
      </c>
      <c r="F145" s="111">
        <f t="shared" si="73"/>
        <v>-4.5780196359316587</v>
      </c>
      <c r="G145" s="166"/>
    </row>
    <row r="146" spans="1:7" ht="15.75" customHeight="1">
      <c r="A146" s="107"/>
      <c r="B146" s="108">
        <v>2300</v>
      </c>
      <c r="C146" s="1" t="s">
        <v>22</v>
      </c>
      <c r="D146" s="109">
        <f>IFERROR(+$D$9/L131,0)</f>
        <v>1.6201390587330982</v>
      </c>
      <c r="E146" s="110">
        <f t="shared" si="72"/>
        <v>4</v>
      </c>
      <c r="F146" s="111">
        <f t="shared" si="73"/>
        <v>-2.3798609412669016</v>
      </c>
      <c r="G146" s="166"/>
    </row>
    <row r="147" spans="1:7" ht="15.75" customHeight="1">
      <c r="A147" s="107"/>
      <c r="B147" s="108">
        <v>2400</v>
      </c>
      <c r="C147" s="1" t="s">
        <v>94</v>
      </c>
      <c r="D147" s="109">
        <f>IFERROR(+$D$9/L132,0)</f>
        <v>43.743754585793646</v>
      </c>
      <c r="E147" s="110">
        <f t="shared" si="72"/>
        <v>50</v>
      </c>
      <c r="F147" s="111">
        <f t="shared" si="73"/>
        <v>-6.2562454142063544</v>
      </c>
      <c r="G147" s="166"/>
    </row>
    <row r="148" spans="1:7" ht="15.75" customHeight="1">
      <c r="A148" s="107"/>
      <c r="B148" s="108">
        <v>2500</v>
      </c>
      <c r="C148" s="1" t="s">
        <v>95</v>
      </c>
      <c r="D148" s="109">
        <f>IFERROR(+$D$9/L133,0)</f>
        <v>14.500244575661227</v>
      </c>
      <c r="E148" s="110">
        <f t="shared" si="72"/>
        <v>16</v>
      </c>
      <c r="F148" s="111">
        <f t="shared" si="73"/>
        <v>-1.4997554243387725</v>
      </c>
      <c r="G148" s="166"/>
    </row>
    <row r="149" spans="1:7" ht="15.75" customHeight="1">
      <c r="A149" s="107"/>
      <c r="B149" s="108">
        <v>2600</v>
      </c>
      <c r="C149" s="1" t="s">
        <v>96</v>
      </c>
      <c r="D149" s="109">
        <f t="shared" ref="D149:D152" si="74">IFERROR(+$D$9/L134,0)</f>
        <v>49.657262150169458</v>
      </c>
      <c r="E149" s="110">
        <f t="shared" si="72"/>
        <v>60</v>
      </c>
      <c r="F149" s="111">
        <f t="shared" si="73"/>
        <v>-10.342737849830542</v>
      </c>
      <c r="G149" s="166"/>
    </row>
    <row r="150" spans="1:7" ht="15.75" customHeight="1">
      <c r="A150" s="107"/>
      <c r="B150" s="108">
        <v>2700</v>
      </c>
      <c r="C150" s="1" t="s">
        <v>97</v>
      </c>
      <c r="D150" s="109">
        <f t="shared" si="74"/>
        <v>38.478302644911082</v>
      </c>
      <c r="E150" s="110">
        <f t="shared" si="72"/>
        <v>47</v>
      </c>
      <c r="F150" s="111">
        <f t="shared" si="73"/>
        <v>-8.5216973550889179</v>
      </c>
      <c r="G150" s="166"/>
    </row>
    <row r="151" spans="1:7" ht="15.75" customHeight="1">
      <c r="A151" s="107"/>
      <c r="B151" s="108">
        <v>2900</v>
      </c>
      <c r="C151" s="1" t="s">
        <v>27</v>
      </c>
      <c r="D151" s="109">
        <f t="shared" si="74"/>
        <v>0</v>
      </c>
      <c r="E151" s="110">
        <f t="shared" si="72"/>
        <v>0</v>
      </c>
      <c r="F151" s="111">
        <f t="shared" si="73"/>
        <v>0</v>
      </c>
      <c r="G151" s="166"/>
    </row>
    <row r="152" spans="1:7" ht="15.75" customHeight="1">
      <c r="A152" s="107"/>
      <c r="B152" s="108">
        <v>3000</v>
      </c>
      <c r="C152" s="1" t="s">
        <v>19</v>
      </c>
      <c r="D152" s="109">
        <f t="shared" si="74"/>
        <v>0</v>
      </c>
      <c r="E152" s="110">
        <f t="shared" si="72"/>
        <v>0</v>
      </c>
      <c r="F152" s="111">
        <f t="shared" si="73"/>
        <v>0</v>
      </c>
      <c r="G152" s="166"/>
    </row>
    <row r="153" spans="1:7" ht="15.75" customHeight="1">
      <c r="A153" s="107"/>
      <c r="D153" s="105"/>
      <c r="E153" s="105"/>
      <c r="F153" s="112"/>
      <c r="G153" s="166"/>
    </row>
    <row r="154" spans="1:7" ht="15.75" customHeight="1">
      <c r="A154" s="107"/>
      <c r="F154" s="113"/>
      <c r="G154" s="166"/>
    </row>
    <row r="155" spans="1:7" ht="15.75" customHeight="1">
      <c r="A155" s="107"/>
      <c r="C155" s="1" t="s">
        <v>255</v>
      </c>
      <c r="D155" s="114">
        <f>SUM(D143:D154)</f>
        <v>422.92920058698166</v>
      </c>
      <c r="E155" s="114">
        <f>SUM(E143:E154)</f>
        <v>483</v>
      </c>
      <c r="F155" s="115">
        <f>SUM(F143:F154)</f>
        <v>-60.070799413018342</v>
      </c>
      <c r="G155" s="166"/>
    </row>
    <row r="156" spans="1:7" ht="15.75" customHeight="1">
      <c r="A156" s="116"/>
      <c r="B156" s="105"/>
      <c r="C156" s="105"/>
      <c r="D156" s="105"/>
      <c r="E156" s="105"/>
      <c r="F156" s="117">
        <f>SUM(F143:F152)</f>
        <v>-60.070799413018342</v>
      </c>
      <c r="G156" s="166"/>
    </row>
    <row r="157" spans="1:7" ht="15.75" customHeight="1">
      <c r="A157" s="166"/>
      <c r="B157" s="166"/>
      <c r="C157" s="166"/>
      <c r="D157" s="166"/>
      <c r="E157" s="166"/>
      <c r="F157" s="166"/>
      <c r="G157" s="166"/>
    </row>
    <row r="159" spans="1:7" ht="27" customHeight="1">
      <c r="A159" s="505" t="s">
        <v>257</v>
      </c>
      <c r="B159" s="506"/>
      <c r="C159" s="506"/>
      <c r="D159" s="506"/>
      <c r="E159" s="506"/>
      <c r="F159" s="507"/>
    </row>
    <row r="160" spans="1:7" ht="57.75" customHeight="1">
      <c r="A160" s="118"/>
      <c r="B160" s="119" t="s">
        <v>83</v>
      </c>
      <c r="C160" s="119" t="s">
        <v>2</v>
      </c>
      <c r="D160" s="144" t="s">
        <v>264</v>
      </c>
      <c r="E160" s="119" t="s">
        <v>254</v>
      </c>
      <c r="F160" s="120" t="s">
        <v>44</v>
      </c>
    </row>
    <row r="161" spans="1:7" ht="15.75" customHeight="1">
      <c r="A161" s="121"/>
      <c r="B161" s="122">
        <v>1000</v>
      </c>
      <c r="C161" s="123" t="s">
        <v>92</v>
      </c>
      <c r="D161" s="109">
        <f>IFERROR(+$D$8/L$114,0)</f>
        <v>238.61548545464044</v>
      </c>
      <c r="E161" s="124">
        <f>+D$69</f>
        <v>256</v>
      </c>
      <c r="F161" s="125">
        <f>+D161-E161</f>
        <v>-17.384514545359565</v>
      </c>
    </row>
    <row r="162" spans="1:7" ht="15.75" customHeight="1">
      <c r="A162" s="107"/>
      <c r="B162" s="108">
        <v>2100</v>
      </c>
      <c r="C162" s="1" t="s">
        <v>20</v>
      </c>
      <c r="D162" s="109">
        <f t="shared" ref="D162:D170" si="75">IFERROR(+$D$8/L115,0)</f>
        <v>25.224996082937274</v>
      </c>
      <c r="E162" s="110">
        <f t="shared" ref="E162:E170" si="76">+D70</f>
        <v>34</v>
      </c>
      <c r="F162" s="111">
        <f t="shared" ref="F162:F170" si="77">+D162-E162</f>
        <v>-8.7750039170627261</v>
      </c>
    </row>
    <row r="163" spans="1:7" ht="15.75" customHeight="1">
      <c r="A163" s="107"/>
      <c r="B163" s="108">
        <v>2200</v>
      </c>
      <c r="C163" s="1" t="s">
        <v>93</v>
      </c>
      <c r="D163" s="109">
        <f t="shared" si="75"/>
        <v>11.436413015093748</v>
      </c>
      <c r="E163" s="110">
        <f t="shared" si="76"/>
        <v>16</v>
      </c>
      <c r="F163" s="111">
        <f t="shared" si="77"/>
        <v>-4.5635869849062516</v>
      </c>
    </row>
    <row r="164" spans="1:7" ht="15.75" customHeight="1">
      <c r="A164" s="107"/>
      <c r="B164" s="108">
        <v>2300</v>
      </c>
      <c r="C164" s="1" t="s">
        <v>22</v>
      </c>
      <c r="D164" s="109">
        <f t="shared" si="75"/>
        <v>1.6221862432757088</v>
      </c>
      <c r="E164" s="110">
        <f t="shared" si="76"/>
        <v>4</v>
      </c>
      <c r="F164" s="111">
        <f t="shared" si="77"/>
        <v>-2.377813756724291</v>
      </c>
    </row>
    <row r="165" spans="1:7" ht="15.75" customHeight="1">
      <c r="A165" s="107"/>
      <c r="B165" s="108">
        <v>2400</v>
      </c>
      <c r="C165" s="1" t="s">
        <v>94</v>
      </c>
      <c r="D165" s="109">
        <f t="shared" si="75"/>
        <v>43.799028568444136</v>
      </c>
      <c r="E165" s="110">
        <f t="shared" si="76"/>
        <v>50</v>
      </c>
      <c r="F165" s="111">
        <f t="shared" si="77"/>
        <v>-6.2009714315558639</v>
      </c>
    </row>
    <row r="166" spans="1:7" ht="15.75" customHeight="1">
      <c r="A166" s="107"/>
      <c r="B166" s="108">
        <v>2500</v>
      </c>
      <c r="C166" s="1" t="s">
        <v>95</v>
      </c>
      <c r="D166" s="109">
        <f t="shared" si="75"/>
        <v>14.518566877317593</v>
      </c>
      <c r="E166" s="110">
        <f t="shared" si="76"/>
        <v>16</v>
      </c>
      <c r="F166" s="111">
        <f t="shared" si="77"/>
        <v>-1.4814331226824073</v>
      </c>
    </row>
    <row r="167" spans="1:7" ht="15.75" customHeight="1">
      <c r="A167" s="107"/>
      <c r="B167" s="108">
        <v>2600</v>
      </c>
      <c r="C167" s="1" t="s">
        <v>96</v>
      </c>
      <c r="D167" s="109">
        <f t="shared" si="75"/>
        <v>49.720008356400477</v>
      </c>
      <c r="E167" s="110">
        <f t="shared" si="76"/>
        <v>60</v>
      </c>
      <c r="F167" s="111">
        <f t="shared" si="77"/>
        <v>-10.279991643599523</v>
      </c>
    </row>
    <row r="168" spans="1:7" ht="15.75" customHeight="1">
      <c r="A168" s="107"/>
      <c r="B168" s="108">
        <v>2700</v>
      </c>
      <c r="C168" s="1" t="s">
        <v>97</v>
      </c>
      <c r="D168" s="109">
        <f t="shared" si="75"/>
        <v>38.526923277798083</v>
      </c>
      <c r="E168" s="110">
        <f t="shared" si="76"/>
        <v>47</v>
      </c>
      <c r="F168" s="111">
        <f t="shared" si="77"/>
        <v>-8.4730767222019168</v>
      </c>
    </row>
    <row r="169" spans="1:7" ht="15.75" customHeight="1">
      <c r="A169" s="107"/>
      <c r="B169" s="108">
        <v>2900</v>
      </c>
      <c r="C169" s="1" t="s">
        <v>27</v>
      </c>
      <c r="D169" s="109">
        <f t="shared" si="75"/>
        <v>0</v>
      </c>
      <c r="E169" s="110">
        <f t="shared" si="76"/>
        <v>0</v>
      </c>
      <c r="F169" s="111">
        <f t="shared" si="77"/>
        <v>0</v>
      </c>
    </row>
    <row r="170" spans="1:7" ht="15.75" customHeight="1">
      <c r="A170" s="107"/>
      <c r="B170" s="108">
        <v>3000</v>
      </c>
      <c r="C170" s="1" t="s">
        <v>19</v>
      </c>
      <c r="D170" s="109">
        <f t="shared" si="75"/>
        <v>0</v>
      </c>
      <c r="E170" s="110">
        <f t="shared" si="76"/>
        <v>0</v>
      </c>
      <c r="F170" s="111">
        <f t="shared" si="77"/>
        <v>0</v>
      </c>
    </row>
    <row r="171" spans="1:7" ht="15.75" customHeight="1">
      <c r="A171" s="107"/>
      <c r="D171" s="105"/>
      <c r="E171" s="105"/>
      <c r="F171" s="112"/>
    </row>
    <row r="172" spans="1:7" ht="15.75" customHeight="1">
      <c r="A172" s="107"/>
      <c r="F172" s="113"/>
    </row>
    <row r="173" spans="1:7" ht="15.75" customHeight="1">
      <c r="A173" s="107"/>
      <c r="C173" s="1" t="s">
        <v>255</v>
      </c>
      <c r="D173" s="114">
        <f>SUM(D161:D172)</f>
        <v>423.46360787590748</v>
      </c>
      <c r="E173" s="114">
        <f>SUM(E161:E172)</f>
        <v>483</v>
      </c>
      <c r="F173" s="115">
        <f>SUM(F161:F172)</f>
        <v>-59.536392124092544</v>
      </c>
    </row>
    <row r="174" spans="1:7" ht="15.75" customHeight="1">
      <c r="A174" s="116"/>
      <c r="B174" s="105"/>
      <c r="C174" s="105"/>
      <c r="D174" s="105"/>
      <c r="E174" s="105"/>
      <c r="F174" s="117">
        <f>SUM(F161:F170)</f>
        <v>-59.536392124092544</v>
      </c>
    </row>
    <row r="175" spans="1:7" ht="15.75" customHeight="1">
      <c r="A175" s="166"/>
      <c r="B175" s="166"/>
      <c r="C175" s="166"/>
      <c r="D175" s="166"/>
      <c r="E175" s="166"/>
      <c r="F175" s="166"/>
      <c r="G175" s="166"/>
    </row>
    <row r="176" spans="1:7" ht="15.75" customHeight="1">
      <c r="A176" s="505" t="s">
        <v>261</v>
      </c>
      <c r="B176" s="506"/>
      <c r="C176" s="506"/>
      <c r="D176" s="506"/>
      <c r="E176" s="506"/>
      <c r="F176" s="507"/>
      <c r="G176" s="166"/>
    </row>
    <row r="177" spans="1:7" ht="51.75" customHeight="1">
      <c r="A177" s="118"/>
      <c r="B177" s="119" t="s">
        <v>83</v>
      </c>
      <c r="C177" s="119" t="s">
        <v>2</v>
      </c>
      <c r="D177" s="144" t="s">
        <v>265</v>
      </c>
      <c r="E177" s="119" t="s">
        <v>254</v>
      </c>
      <c r="F177" s="120" t="s">
        <v>44</v>
      </c>
      <c r="G177" s="166"/>
    </row>
    <row r="178" spans="1:7" ht="15.75" customHeight="1">
      <c r="A178" s="107"/>
      <c r="B178" s="108">
        <v>1000</v>
      </c>
      <c r="C178" s="1" t="s">
        <v>92</v>
      </c>
      <c r="D178" s="109">
        <f t="shared" ref="D178:D183" si="78">IFERROR(+$D$9/H128,0)</f>
        <v>255.60785290174297</v>
      </c>
      <c r="E178" s="110">
        <f t="shared" ref="E178:E187" si="79">+D69</f>
        <v>256</v>
      </c>
      <c r="F178" s="111">
        <f>+D178-E178</f>
        <v>-0.39214709825702698</v>
      </c>
      <c r="G178" s="166"/>
    </row>
    <row r="179" spans="1:7" ht="15.75" customHeight="1">
      <c r="A179" s="107"/>
      <c r="B179" s="108">
        <v>2100</v>
      </c>
      <c r="C179" s="1" t="s">
        <v>20</v>
      </c>
      <c r="D179" s="109">
        <f t="shared" si="78"/>
        <v>29.486381919172576</v>
      </c>
      <c r="E179" s="110">
        <f t="shared" si="79"/>
        <v>34</v>
      </c>
      <c r="F179" s="111">
        <f t="shared" ref="F179:F187" si="80">+D179-E179</f>
        <v>-4.513618080827424</v>
      </c>
      <c r="G179" s="166"/>
    </row>
    <row r="180" spans="1:7" ht="15.75" customHeight="1">
      <c r="A180" s="107"/>
      <c r="B180" s="108">
        <v>2200</v>
      </c>
      <c r="C180" s="1" t="s">
        <v>93</v>
      </c>
      <c r="D180" s="109">
        <f t="shared" si="78"/>
        <v>12.789274085424248</v>
      </c>
      <c r="E180" s="110">
        <f t="shared" si="79"/>
        <v>16</v>
      </c>
      <c r="F180" s="111">
        <f t="shared" si="80"/>
        <v>-3.2107259145757521</v>
      </c>
      <c r="G180" s="166"/>
    </row>
    <row r="181" spans="1:7" ht="15.75" customHeight="1">
      <c r="A181" s="107"/>
      <c r="B181" s="108">
        <v>2300</v>
      </c>
      <c r="C181" s="1" t="s">
        <v>22</v>
      </c>
      <c r="D181" s="109">
        <f t="shared" si="78"/>
        <v>1.7762880674200345</v>
      </c>
      <c r="E181" s="110">
        <f t="shared" si="79"/>
        <v>4</v>
      </c>
      <c r="F181" s="111">
        <f t="shared" si="80"/>
        <v>-2.2237119325799655</v>
      </c>
      <c r="G181" s="166"/>
    </row>
    <row r="182" spans="1:7" ht="15.75" customHeight="1">
      <c r="A182" s="107"/>
      <c r="B182" s="108">
        <v>2400</v>
      </c>
      <c r="C182" s="1" t="s">
        <v>94</v>
      </c>
      <c r="D182" s="109">
        <f t="shared" si="78"/>
        <v>44.407201685500858</v>
      </c>
      <c r="E182" s="110">
        <f t="shared" si="79"/>
        <v>50</v>
      </c>
      <c r="F182" s="111">
        <f t="shared" si="80"/>
        <v>-5.5927983144991416</v>
      </c>
      <c r="G182" s="166"/>
    </row>
    <row r="183" spans="1:7" ht="15.75" customHeight="1">
      <c r="A183" s="107"/>
      <c r="B183" s="108">
        <v>2500</v>
      </c>
      <c r="C183" s="1" t="s">
        <v>95</v>
      </c>
      <c r="D183" s="109">
        <f t="shared" si="78"/>
        <v>14.92081976632829</v>
      </c>
      <c r="E183" s="110">
        <f t="shared" si="79"/>
        <v>16</v>
      </c>
      <c r="F183" s="111">
        <f t="shared" si="80"/>
        <v>-1.0791802336717105</v>
      </c>
      <c r="G183" s="166"/>
    </row>
    <row r="184" spans="1:7" ht="15.75" customHeight="1">
      <c r="A184" s="107"/>
      <c r="B184" s="108">
        <v>2600</v>
      </c>
      <c r="C184" s="1" t="s">
        <v>96</v>
      </c>
      <c r="D184" s="109">
        <f t="shared" ref="D184:D187" si="81">IFERROR(+$D$9/H134,0)</f>
        <v>53.555085232714042</v>
      </c>
      <c r="E184" s="110">
        <f t="shared" si="79"/>
        <v>60</v>
      </c>
      <c r="F184" s="111">
        <f t="shared" si="80"/>
        <v>-6.4449147672859581</v>
      </c>
      <c r="G184" s="166"/>
    </row>
    <row r="185" spans="1:7" ht="15.75" customHeight="1">
      <c r="A185" s="107"/>
      <c r="B185" s="108">
        <v>2700</v>
      </c>
      <c r="C185" s="1" t="s">
        <v>97</v>
      </c>
      <c r="D185" s="109">
        <f t="shared" si="81"/>
        <v>36.946791802336719</v>
      </c>
      <c r="E185" s="110">
        <f t="shared" si="79"/>
        <v>47</v>
      </c>
      <c r="F185" s="111">
        <f t="shared" si="80"/>
        <v>-10.053208197663281</v>
      </c>
      <c r="G185" s="166"/>
    </row>
    <row r="186" spans="1:7" ht="15.75" customHeight="1">
      <c r="A186" s="107"/>
      <c r="B186" s="108">
        <v>2900</v>
      </c>
      <c r="C186" s="1" t="s">
        <v>27</v>
      </c>
      <c r="D186" s="109">
        <f t="shared" si="81"/>
        <v>0</v>
      </c>
      <c r="E186" s="110">
        <f t="shared" si="79"/>
        <v>0</v>
      </c>
      <c r="F186" s="111">
        <f t="shared" si="80"/>
        <v>0</v>
      </c>
      <c r="G186" s="166"/>
    </row>
    <row r="187" spans="1:7" ht="15.75" customHeight="1">
      <c r="A187" s="107"/>
      <c r="B187" s="108">
        <v>3000</v>
      </c>
      <c r="C187" s="1" t="s">
        <v>19</v>
      </c>
      <c r="D187" s="109">
        <f t="shared" si="81"/>
        <v>0</v>
      </c>
      <c r="E187" s="110">
        <f t="shared" si="79"/>
        <v>0</v>
      </c>
      <c r="F187" s="111">
        <f t="shared" si="80"/>
        <v>0</v>
      </c>
      <c r="G187" s="166"/>
    </row>
    <row r="188" spans="1:7" ht="15.75" customHeight="1">
      <c r="A188" s="107"/>
      <c r="D188" s="105"/>
      <c r="E188" s="105"/>
      <c r="F188" s="112"/>
      <c r="G188" s="166"/>
    </row>
    <row r="189" spans="1:7" ht="15.75" customHeight="1">
      <c r="A189" s="107"/>
      <c r="F189" s="113"/>
      <c r="G189" s="166"/>
    </row>
    <row r="190" spans="1:7" ht="15.75" customHeight="1">
      <c r="A190" s="107"/>
      <c r="C190" s="1" t="s">
        <v>255</v>
      </c>
      <c r="D190" s="114">
        <f>SUM(D178:D189)</f>
        <v>449.48969546063972</v>
      </c>
      <c r="E190" s="114">
        <f>SUM(E178:E189)</f>
        <v>483</v>
      </c>
      <c r="F190" s="115">
        <f>SUM(F178:F189)</f>
        <v>-33.510304539360263</v>
      </c>
      <c r="G190" s="166"/>
    </row>
    <row r="191" spans="1:7" ht="15.75" customHeight="1">
      <c r="A191" s="116"/>
      <c r="B191" s="105"/>
      <c r="C191" s="105"/>
      <c r="D191" s="105"/>
      <c r="E191" s="105"/>
      <c r="F191" s="117">
        <f>SUM(F178:F187)</f>
        <v>-33.510304539360263</v>
      </c>
      <c r="G191" s="166"/>
    </row>
    <row r="192" spans="1:7" ht="15.75" customHeight="1">
      <c r="A192" s="166"/>
      <c r="B192" s="166"/>
      <c r="C192" s="166"/>
      <c r="D192" s="166"/>
      <c r="E192" s="166"/>
      <c r="F192" s="166"/>
      <c r="G192" s="166"/>
    </row>
    <row r="194" spans="1:6" ht="15.75" customHeight="1">
      <c r="A194" s="505" t="s">
        <v>262</v>
      </c>
      <c r="B194" s="506"/>
      <c r="C194" s="506"/>
      <c r="D194" s="506"/>
      <c r="E194" s="506"/>
      <c r="F194" s="507"/>
    </row>
    <row r="195" spans="1:6" ht="51.75" customHeight="1">
      <c r="A195" s="118"/>
      <c r="B195" s="119" t="s">
        <v>83</v>
      </c>
      <c r="C195" s="119" t="s">
        <v>2</v>
      </c>
      <c r="D195" s="144" t="s">
        <v>265</v>
      </c>
      <c r="E195" s="119" t="s">
        <v>254</v>
      </c>
      <c r="F195" s="120" t="s">
        <v>44</v>
      </c>
    </row>
    <row r="196" spans="1:6" ht="15.75" customHeight="1">
      <c r="A196" s="121"/>
      <c r="B196" s="122">
        <v>1000</v>
      </c>
      <c r="C196" s="123" t="s">
        <v>92</v>
      </c>
      <c r="D196" s="109">
        <f t="shared" ref="D196:D205" si="82">IFERROR(+$D$8/H114,0)</f>
        <v>255.45060011430749</v>
      </c>
      <c r="E196" s="124">
        <f t="shared" ref="E196:E205" si="83">+D69</f>
        <v>256</v>
      </c>
      <c r="F196" s="125">
        <f>+D196-E196</f>
        <v>-0.54939988569250886</v>
      </c>
    </row>
    <row r="197" spans="1:6" ht="15.75" customHeight="1">
      <c r="A197" s="107"/>
      <c r="B197" s="108">
        <v>2100</v>
      </c>
      <c r="C197" s="1" t="s">
        <v>20</v>
      </c>
      <c r="D197" s="109">
        <f t="shared" si="82"/>
        <v>29.468241569822826</v>
      </c>
      <c r="E197" s="110">
        <f t="shared" si="83"/>
        <v>34</v>
      </c>
      <c r="F197" s="111">
        <f t="shared" ref="F197:F205" si="84">+D197-E197</f>
        <v>-4.5317584301771738</v>
      </c>
    </row>
    <row r="198" spans="1:6" ht="15.75" customHeight="1">
      <c r="A198" s="107"/>
      <c r="B198" s="108">
        <v>2200</v>
      </c>
      <c r="C198" s="1" t="s">
        <v>93</v>
      </c>
      <c r="D198" s="109">
        <f t="shared" si="82"/>
        <v>12.781405982091826</v>
      </c>
      <c r="E198" s="110">
        <f t="shared" si="83"/>
        <v>16</v>
      </c>
      <c r="F198" s="111">
        <f t="shared" si="84"/>
        <v>-3.218594017908174</v>
      </c>
    </row>
    <row r="199" spans="1:6" ht="15.75" customHeight="1">
      <c r="A199" s="107"/>
      <c r="B199" s="108">
        <v>2300</v>
      </c>
      <c r="C199" s="1" t="s">
        <v>22</v>
      </c>
      <c r="D199" s="109">
        <f t="shared" si="82"/>
        <v>1.7751952752905316</v>
      </c>
      <c r="E199" s="110">
        <f t="shared" si="83"/>
        <v>4</v>
      </c>
      <c r="F199" s="111">
        <f t="shared" si="84"/>
        <v>-2.2248047247094682</v>
      </c>
    </row>
    <row r="200" spans="1:6" ht="15.75" customHeight="1">
      <c r="A200" s="107"/>
      <c r="B200" s="108">
        <v>2400</v>
      </c>
      <c r="C200" s="1" t="s">
        <v>94</v>
      </c>
      <c r="D200" s="109">
        <f t="shared" si="82"/>
        <v>44.379881882263284</v>
      </c>
      <c r="E200" s="110">
        <f t="shared" si="83"/>
        <v>50</v>
      </c>
      <c r="F200" s="111">
        <f t="shared" si="84"/>
        <v>-5.6201181177367161</v>
      </c>
    </row>
    <row r="201" spans="1:6" ht="15.75" customHeight="1">
      <c r="A201" s="107"/>
      <c r="B201" s="108">
        <v>2500</v>
      </c>
      <c r="C201" s="1" t="s">
        <v>95</v>
      </c>
      <c r="D201" s="109">
        <f t="shared" si="82"/>
        <v>14.911640312440465</v>
      </c>
      <c r="E201" s="110">
        <f t="shared" si="83"/>
        <v>16</v>
      </c>
      <c r="F201" s="111">
        <f t="shared" si="84"/>
        <v>-1.0883596875595352</v>
      </c>
    </row>
    <row r="202" spans="1:6" ht="15.75" customHeight="1">
      <c r="A202" s="107"/>
      <c r="B202" s="108">
        <v>2600</v>
      </c>
      <c r="C202" s="1" t="s">
        <v>96</v>
      </c>
      <c r="D202" s="109">
        <f t="shared" si="82"/>
        <v>53.522137550009525</v>
      </c>
      <c r="E202" s="110">
        <f t="shared" si="83"/>
        <v>60</v>
      </c>
      <c r="F202" s="111">
        <f t="shared" si="84"/>
        <v>-6.4778624499904751</v>
      </c>
    </row>
    <row r="203" spans="1:6" ht="15.75" customHeight="1">
      <c r="A203" s="107"/>
      <c r="B203" s="108">
        <v>2700</v>
      </c>
      <c r="C203" s="1" t="s">
        <v>97</v>
      </c>
      <c r="D203" s="109">
        <f t="shared" si="82"/>
        <v>36.924061726043057</v>
      </c>
      <c r="E203" s="110">
        <f t="shared" si="83"/>
        <v>47</v>
      </c>
      <c r="F203" s="111">
        <f t="shared" si="84"/>
        <v>-10.075938273956943</v>
      </c>
    </row>
    <row r="204" spans="1:6" ht="15.75" customHeight="1">
      <c r="A204" s="107"/>
      <c r="B204" s="108">
        <v>2900</v>
      </c>
      <c r="C204" s="1" t="s">
        <v>27</v>
      </c>
      <c r="D204" s="109">
        <f t="shared" si="82"/>
        <v>0</v>
      </c>
      <c r="E204" s="110">
        <f t="shared" si="83"/>
        <v>0</v>
      </c>
      <c r="F204" s="111">
        <f t="shared" si="84"/>
        <v>0</v>
      </c>
    </row>
    <row r="205" spans="1:6" ht="15.75" customHeight="1">
      <c r="A205" s="107"/>
      <c r="B205" s="108">
        <v>3000</v>
      </c>
      <c r="C205" s="1" t="s">
        <v>19</v>
      </c>
      <c r="D205" s="109">
        <f t="shared" si="82"/>
        <v>0</v>
      </c>
      <c r="E205" s="110">
        <f t="shared" si="83"/>
        <v>0</v>
      </c>
      <c r="F205" s="111">
        <f t="shared" si="84"/>
        <v>0</v>
      </c>
    </row>
    <row r="206" spans="1:6" ht="15.75" customHeight="1">
      <c r="A206" s="107"/>
      <c r="D206" s="105"/>
      <c r="E206" s="105"/>
      <c r="F206" s="112"/>
    </row>
    <row r="207" spans="1:6" ht="15.75" customHeight="1">
      <c r="A207" s="107"/>
      <c r="F207" s="113"/>
    </row>
    <row r="208" spans="1:6" ht="15.75" customHeight="1">
      <c r="A208" s="107"/>
      <c r="C208" s="1" t="s">
        <v>255</v>
      </c>
      <c r="D208" s="114">
        <f>SUM(D196:D207)</f>
        <v>449.21316441226901</v>
      </c>
      <c r="E208" s="114">
        <f>SUM(E196:E207)</f>
        <v>483</v>
      </c>
      <c r="F208" s="115">
        <f>SUM(F196:F207)</f>
        <v>-33.786835587730991</v>
      </c>
    </row>
    <row r="209" spans="1:6" ht="15.75" customHeight="1">
      <c r="A209" s="116"/>
      <c r="B209" s="105"/>
      <c r="C209" s="105"/>
      <c r="D209" s="105"/>
      <c r="E209" s="105"/>
      <c r="F209" s="117">
        <f>SUM(F196:F205)</f>
        <v>-33.786835587730991</v>
      </c>
    </row>
  </sheetData>
  <mergeCells count="6">
    <mergeCell ref="M3:N3"/>
    <mergeCell ref="A141:F141"/>
    <mergeCell ref="A159:F159"/>
    <mergeCell ref="A176:F176"/>
    <mergeCell ref="A194:F194"/>
    <mergeCell ref="D3:L3"/>
  </mergeCells>
  <conditionalFormatting sqref="B20:B67 B69:B79 B114:B123 B128:B137">
    <cfRule type="notContainsBlanks" dxfId="7" priority="11">
      <formula>LEN(TRIM(B20))&gt;0</formula>
    </cfRule>
  </conditionalFormatting>
  <conditionalFormatting sqref="B84:B94">
    <cfRule type="notContainsBlanks" dxfId="6" priority="4">
      <formula>LEN(TRIM(B84))&gt;0</formula>
    </cfRule>
  </conditionalFormatting>
  <conditionalFormatting sqref="B99:B109">
    <cfRule type="notContainsBlanks" dxfId="5" priority="3">
      <formula>LEN(TRIM(B99))&gt;0</formula>
    </cfRule>
  </conditionalFormatting>
  <conditionalFormatting sqref="B143:B152">
    <cfRule type="notContainsBlanks" dxfId="4" priority="10">
      <formula>LEN(TRIM(B143))&gt;0</formula>
    </cfRule>
  </conditionalFormatting>
  <conditionalFormatting sqref="B161:B170">
    <cfRule type="notContainsBlanks" dxfId="3" priority="9">
      <formula>LEN(TRIM(B161))&gt;0</formula>
    </cfRule>
  </conditionalFormatting>
  <conditionalFormatting sqref="B178:B187">
    <cfRule type="notContainsBlanks" dxfId="2" priority="6">
      <formula>LEN(TRIM(B178))&gt;0</formula>
    </cfRule>
  </conditionalFormatting>
  <conditionalFormatting sqref="B196:B205">
    <cfRule type="notContainsBlanks" dxfId="1" priority="5">
      <formula>LEN(TRIM(B196))&gt;0</formula>
    </cfRule>
  </conditionalFormatting>
  <conditionalFormatting sqref="O99:O109">
    <cfRule type="notContainsBlanks" dxfId="0" priority="1">
      <formula>LEN(TRIM(O99))&gt;0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82039-88A0-48BC-BED9-8757B1ABF6C5}">
  <sheetPr>
    <tabColor rgb="FFFFFF00"/>
  </sheetPr>
  <dimension ref="A1:AM17"/>
  <sheetViews>
    <sheetView topLeftCell="A9" workbookViewId="0">
      <selection activeCell="AI49" sqref="AI49"/>
    </sheetView>
  </sheetViews>
  <sheetFormatPr defaultRowHeight="12.75" outlineLevelCol="1"/>
  <cols>
    <col min="2" max="2" width="10.28515625" customWidth="1"/>
    <col min="3" max="3" width="12.5703125" customWidth="1"/>
    <col min="4" max="4" width="9.140625" style="137"/>
    <col min="12" max="12" width="3.28515625" customWidth="1"/>
    <col min="13" max="24" width="0" hidden="1" customWidth="1" outlineLevel="1"/>
    <col min="25" max="25" width="9.140625" collapsed="1"/>
  </cols>
  <sheetData>
    <row r="1" spans="1:39">
      <c r="A1" t="s">
        <v>414</v>
      </c>
    </row>
    <row r="2" spans="1:39">
      <c r="A2" t="s">
        <v>415</v>
      </c>
    </row>
    <row r="4" spans="1:39" s="439" customFormat="1" ht="63.75">
      <c r="A4" s="440" t="s">
        <v>416</v>
      </c>
      <c r="B4" s="440" t="s">
        <v>417</v>
      </c>
      <c r="C4" s="440" t="s">
        <v>418</v>
      </c>
      <c r="D4" s="442" t="s">
        <v>419</v>
      </c>
      <c r="E4" s="443" t="s">
        <v>420</v>
      </c>
      <c r="F4" s="443" t="s">
        <v>421</v>
      </c>
      <c r="G4" s="443" t="s">
        <v>422</v>
      </c>
      <c r="H4" s="443" t="s">
        <v>423</v>
      </c>
      <c r="I4" s="443" t="s">
        <v>424</v>
      </c>
      <c r="J4" s="443" t="s">
        <v>425</v>
      </c>
      <c r="K4" s="444" t="s">
        <v>426</v>
      </c>
      <c r="L4" s="440"/>
      <c r="M4" s="440" t="s">
        <v>427</v>
      </c>
      <c r="N4" s="440" t="s">
        <v>428</v>
      </c>
      <c r="O4" s="440" t="s">
        <v>429</v>
      </c>
      <c r="P4" s="440" t="s">
        <v>430</v>
      </c>
      <c r="Q4" s="440" t="s">
        <v>431</v>
      </c>
      <c r="R4" s="440" t="s">
        <v>432</v>
      </c>
      <c r="S4" s="440" t="s">
        <v>433</v>
      </c>
      <c r="T4" s="440" t="s">
        <v>434</v>
      </c>
      <c r="U4" s="440" t="s">
        <v>435</v>
      </c>
      <c r="V4" s="440" t="s">
        <v>436</v>
      </c>
      <c r="W4" s="440" t="s">
        <v>437</v>
      </c>
      <c r="X4" s="440" t="s">
        <v>438</v>
      </c>
      <c r="Y4" s="440" t="s">
        <v>439</v>
      </c>
      <c r="Z4" s="440" t="s">
        <v>440</v>
      </c>
      <c r="AA4" s="440" t="s">
        <v>441</v>
      </c>
      <c r="AB4" s="440" t="s">
        <v>442</v>
      </c>
      <c r="AC4" s="440" t="s">
        <v>443</v>
      </c>
      <c r="AD4" s="440" t="s">
        <v>444</v>
      </c>
      <c r="AE4" s="440" t="s">
        <v>445</v>
      </c>
      <c r="AF4" s="440" t="s">
        <v>446</v>
      </c>
      <c r="AG4" s="440" t="s">
        <v>447</v>
      </c>
      <c r="AH4" s="440" t="s">
        <v>448</v>
      </c>
      <c r="AI4" s="440" t="s">
        <v>449</v>
      </c>
      <c r="AJ4" s="440" t="s">
        <v>450</v>
      </c>
      <c r="AK4" s="440" t="s">
        <v>451</v>
      </c>
      <c r="AL4" s="440" t="s">
        <v>452</v>
      </c>
      <c r="AM4" s="440" t="s">
        <v>453</v>
      </c>
    </row>
    <row r="5" spans="1:39">
      <c r="A5">
        <v>3</v>
      </c>
      <c r="B5" t="s">
        <v>123</v>
      </c>
      <c r="C5" t="s">
        <v>454</v>
      </c>
      <c r="D5" s="445">
        <v>6041</v>
      </c>
      <c r="E5">
        <v>204</v>
      </c>
      <c r="F5">
        <v>87</v>
      </c>
      <c r="G5">
        <v>1253</v>
      </c>
      <c r="H5">
        <v>43</v>
      </c>
      <c r="I5">
        <v>4079</v>
      </c>
      <c r="J5">
        <v>19</v>
      </c>
      <c r="K5" s="113">
        <v>356</v>
      </c>
      <c r="M5">
        <v>3170</v>
      </c>
      <c r="N5">
        <v>2871</v>
      </c>
      <c r="O5" t="s">
        <v>326</v>
      </c>
      <c r="P5">
        <v>879</v>
      </c>
      <c r="Q5">
        <v>336</v>
      </c>
      <c r="R5">
        <v>1855</v>
      </c>
      <c r="S5" t="s">
        <v>326</v>
      </c>
      <c r="T5" t="s">
        <v>326</v>
      </c>
      <c r="U5" t="s">
        <v>326</v>
      </c>
      <c r="V5">
        <v>119</v>
      </c>
      <c r="W5">
        <v>336</v>
      </c>
      <c r="X5">
        <v>214</v>
      </c>
      <c r="Y5">
        <v>57</v>
      </c>
      <c r="Z5" t="s">
        <v>326</v>
      </c>
      <c r="AA5">
        <v>409</v>
      </c>
      <c r="AB5">
        <v>448</v>
      </c>
      <c r="AC5">
        <v>409</v>
      </c>
      <c r="AD5">
        <v>469</v>
      </c>
      <c r="AE5">
        <v>454</v>
      </c>
      <c r="AF5">
        <v>451</v>
      </c>
      <c r="AG5">
        <v>476</v>
      </c>
      <c r="AH5">
        <v>500</v>
      </c>
      <c r="AI5">
        <v>476</v>
      </c>
      <c r="AJ5">
        <v>483</v>
      </c>
      <c r="AK5">
        <v>496</v>
      </c>
      <c r="AL5">
        <v>496</v>
      </c>
      <c r="AM5">
        <v>0</v>
      </c>
    </row>
    <row r="6" spans="1:39">
      <c r="A6">
        <v>3</v>
      </c>
      <c r="B6" t="s">
        <v>123</v>
      </c>
      <c r="C6" t="s">
        <v>455</v>
      </c>
      <c r="D6" s="445">
        <v>5932</v>
      </c>
      <c r="E6">
        <v>192</v>
      </c>
      <c r="F6">
        <v>78</v>
      </c>
      <c r="G6">
        <v>1266</v>
      </c>
      <c r="H6">
        <v>38</v>
      </c>
      <c r="I6">
        <v>3982</v>
      </c>
      <c r="J6">
        <v>19</v>
      </c>
      <c r="K6" s="113">
        <v>357</v>
      </c>
      <c r="M6">
        <v>3121</v>
      </c>
      <c r="N6">
        <v>2811</v>
      </c>
      <c r="O6" t="s">
        <v>326</v>
      </c>
      <c r="P6">
        <v>872</v>
      </c>
      <c r="Q6">
        <v>310</v>
      </c>
      <c r="R6">
        <v>1822</v>
      </c>
      <c r="S6" t="s">
        <v>326</v>
      </c>
      <c r="T6" t="s">
        <v>326</v>
      </c>
      <c r="U6" t="s">
        <v>326</v>
      </c>
      <c r="V6">
        <v>138</v>
      </c>
      <c r="W6">
        <v>317</v>
      </c>
      <c r="X6">
        <v>181</v>
      </c>
      <c r="Y6">
        <v>44</v>
      </c>
      <c r="Z6">
        <v>369</v>
      </c>
      <c r="AA6">
        <v>423</v>
      </c>
      <c r="AB6">
        <v>405</v>
      </c>
      <c r="AC6">
        <v>436</v>
      </c>
      <c r="AD6">
        <v>427</v>
      </c>
      <c r="AE6">
        <v>457</v>
      </c>
      <c r="AF6">
        <v>444</v>
      </c>
      <c r="AG6">
        <v>457</v>
      </c>
      <c r="AH6">
        <v>490</v>
      </c>
      <c r="AI6">
        <v>512</v>
      </c>
      <c r="AJ6">
        <v>474</v>
      </c>
      <c r="AK6">
        <v>514</v>
      </c>
      <c r="AL6">
        <v>472</v>
      </c>
      <c r="AM6">
        <v>0</v>
      </c>
    </row>
    <row r="7" spans="1:39">
      <c r="A7">
        <v>3</v>
      </c>
      <c r="B7" t="s">
        <v>123</v>
      </c>
      <c r="C7" t="s">
        <v>456</v>
      </c>
      <c r="D7" s="445">
        <v>5798</v>
      </c>
      <c r="E7">
        <v>184</v>
      </c>
      <c r="F7">
        <v>78</v>
      </c>
      <c r="G7">
        <v>1297</v>
      </c>
      <c r="H7">
        <v>34</v>
      </c>
      <c r="I7">
        <v>3846</v>
      </c>
      <c r="J7">
        <v>18</v>
      </c>
      <c r="K7" s="113">
        <v>341</v>
      </c>
      <c r="M7">
        <v>3080</v>
      </c>
      <c r="N7">
        <v>2718</v>
      </c>
      <c r="O7" t="s">
        <v>326</v>
      </c>
      <c r="P7">
        <v>820</v>
      </c>
      <c r="Q7">
        <v>357</v>
      </c>
      <c r="R7">
        <v>1753</v>
      </c>
      <c r="S7" t="s">
        <v>326</v>
      </c>
      <c r="T7" t="s">
        <v>326</v>
      </c>
      <c r="U7" t="s">
        <v>326</v>
      </c>
      <c r="V7">
        <v>157</v>
      </c>
      <c r="W7">
        <v>317</v>
      </c>
      <c r="X7">
        <v>169</v>
      </c>
      <c r="Y7">
        <v>39</v>
      </c>
      <c r="Z7" t="s">
        <v>326</v>
      </c>
      <c r="AA7">
        <v>373</v>
      </c>
      <c r="AB7">
        <v>420</v>
      </c>
      <c r="AC7">
        <v>408</v>
      </c>
      <c r="AD7">
        <v>440</v>
      </c>
      <c r="AE7">
        <v>435</v>
      </c>
      <c r="AF7">
        <v>457</v>
      </c>
      <c r="AG7">
        <v>438</v>
      </c>
      <c r="AH7">
        <v>480</v>
      </c>
      <c r="AI7">
        <v>497</v>
      </c>
      <c r="AJ7">
        <v>494</v>
      </c>
      <c r="AK7">
        <v>476</v>
      </c>
      <c r="AL7">
        <v>447</v>
      </c>
      <c r="AM7">
        <v>0</v>
      </c>
    </row>
    <row r="8" spans="1:39">
      <c r="A8">
        <v>3</v>
      </c>
      <c r="B8" t="s">
        <v>123</v>
      </c>
      <c r="C8" t="s">
        <v>457</v>
      </c>
      <c r="D8" s="445">
        <v>5834</v>
      </c>
      <c r="E8">
        <v>176</v>
      </c>
      <c r="F8">
        <v>81</v>
      </c>
      <c r="G8">
        <v>1304</v>
      </c>
      <c r="H8">
        <v>31</v>
      </c>
      <c r="I8">
        <v>3880</v>
      </c>
      <c r="J8">
        <v>16</v>
      </c>
      <c r="K8" s="113">
        <v>346</v>
      </c>
      <c r="M8">
        <v>3104</v>
      </c>
      <c r="N8">
        <v>2730</v>
      </c>
      <c r="O8" t="s">
        <v>326</v>
      </c>
      <c r="P8">
        <v>782</v>
      </c>
      <c r="Q8">
        <v>304</v>
      </c>
      <c r="R8">
        <v>2069</v>
      </c>
      <c r="S8" t="s">
        <v>326</v>
      </c>
      <c r="T8">
        <v>86</v>
      </c>
      <c r="U8">
        <v>10</v>
      </c>
      <c r="V8">
        <v>211</v>
      </c>
      <c r="W8">
        <v>317</v>
      </c>
      <c r="X8">
        <v>170</v>
      </c>
      <c r="Y8">
        <v>142</v>
      </c>
      <c r="Z8">
        <v>367</v>
      </c>
      <c r="AA8">
        <v>403</v>
      </c>
      <c r="AB8">
        <v>377</v>
      </c>
      <c r="AC8">
        <v>430</v>
      </c>
      <c r="AD8">
        <v>413</v>
      </c>
      <c r="AE8">
        <v>446</v>
      </c>
      <c r="AF8">
        <v>432</v>
      </c>
      <c r="AG8">
        <v>469</v>
      </c>
      <c r="AH8">
        <v>447</v>
      </c>
      <c r="AI8">
        <v>471</v>
      </c>
      <c r="AJ8">
        <v>497</v>
      </c>
      <c r="AK8">
        <v>484</v>
      </c>
      <c r="AL8">
        <v>446</v>
      </c>
      <c r="AM8">
        <v>10</v>
      </c>
    </row>
    <row r="9" spans="1:39" s="441" customFormat="1" ht="14.25">
      <c r="A9" s="441">
        <v>3</v>
      </c>
      <c r="B9" s="441" t="s">
        <v>123</v>
      </c>
      <c r="C9" s="441" t="s">
        <v>458</v>
      </c>
      <c r="D9" s="446">
        <v>5786</v>
      </c>
      <c r="E9" s="447">
        <v>178</v>
      </c>
      <c r="F9" s="447">
        <v>85</v>
      </c>
      <c r="G9" s="447">
        <v>1322</v>
      </c>
      <c r="H9" s="447">
        <v>24</v>
      </c>
      <c r="I9" s="447">
        <v>3809</v>
      </c>
      <c r="J9" s="447">
        <v>20</v>
      </c>
      <c r="K9" s="448">
        <v>348</v>
      </c>
      <c r="M9" s="441">
        <v>3075</v>
      </c>
      <c r="N9" s="441">
        <v>2711</v>
      </c>
      <c r="O9" s="441" t="s">
        <v>326</v>
      </c>
      <c r="P9" s="441">
        <v>802</v>
      </c>
      <c r="Q9" s="441">
        <v>287</v>
      </c>
      <c r="R9" s="441">
        <v>2043</v>
      </c>
      <c r="S9" s="441" t="s">
        <v>326</v>
      </c>
      <c r="T9" s="441">
        <v>60</v>
      </c>
      <c r="U9" s="441">
        <v>10</v>
      </c>
      <c r="V9" s="441">
        <v>194</v>
      </c>
      <c r="W9" s="441">
        <v>293</v>
      </c>
      <c r="X9" s="441">
        <v>127</v>
      </c>
      <c r="Y9" s="441">
        <v>138</v>
      </c>
      <c r="Z9" s="441">
        <v>386</v>
      </c>
      <c r="AA9" s="441">
        <v>366</v>
      </c>
      <c r="AB9" s="441">
        <v>400</v>
      </c>
      <c r="AC9" s="441">
        <v>386</v>
      </c>
      <c r="AD9" s="441">
        <v>435</v>
      </c>
      <c r="AE9" s="441">
        <v>425</v>
      </c>
      <c r="AF9" s="441">
        <v>452</v>
      </c>
      <c r="AG9" s="441">
        <v>443</v>
      </c>
      <c r="AH9" s="441">
        <v>452</v>
      </c>
      <c r="AI9" s="441">
        <v>470</v>
      </c>
      <c r="AJ9" s="441">
        <v>478</v>
      </c>
      <c r="AK9" s="441">
        <v>486</v>
      </c>
      <c r="AL9" s="441">
        <v>460</v>
      </c>
      <c r="AM9" s="441">
        <v>0</v>
      </c>
    </row>
    <row r="10" spans="1:39" s="441" customFormat="1" ht="14.25">
      <c r="A10" s="441">
        <v>3</v>
      </c>
      <c r="B10" s="441" t="s">
        <v>123</v>
      </c>
      <c r="C10" s="441" t="s">
        <v>459</v>
      </c>
      <c r="D10" s="446">
        <v>5385</v>
      </c>
      <c r="E10" s="447">
        <v>170</v>
      </c>
      <c r="F10" s="447">
        <v>72</v>
      </c>
      <c r="G10" s="447">
        <v>1264</v>
      </c>
      <c r="H10" s="447">
        <v>22</v>
      </c>
      <c r="I10" s="447">
        <v>3537</v>
      </c>
      <c r="J10" s="447">
        <v>14</v>
      </c>
      <c r="K10" s="448">
        <v>306</v>
      </c>
      <c r="M10" s="441">
        <v>2851</v>
      </c>
      <c r="N10" s="441">
        <v>2534</v>
      </c>
      <c r="O10" s="441" t="s">
        <v>326</v>
      </c>
      <c r="P10" s="441">
        <v>704</v>
      </c>
      <c r="Q10" s="441">
        <v>244</v>
      </c>
      <c r="R10" s="441">
        <v>1632</v>
      </c>
      <c r="S10" s="441" t="s">
        <v>326</v>
      </c>
      <c r="T10" s="441">
        <v>65</v>
      </c>
      <c r="U10" s="441" t="s">
        <v>326</v>
      </c>
      <c r="V10" s="441">
        <v>70</v>
      </c>
      <c r="W10" s="441">
        <v>252</v>
      </c>
      <c r="X10" s="441">
        <v>86</v>
      </c>
      <c r="Y10" s="441">
        <v>94</v>
      </c>
      <c r="Z10" s="441">
        <v>323</v>
      </c>
      <c r="AA10" s="441">
        <v>355</v>
      </c>
      <c r="AB10" s="441">
        <v>341</v>
      </c>
      <c r="AC10" s="441">
        <v>368</v>
      </c>
      <c r="AD10" s="441">
        <v>377</v>
      </c>
      <c r="AE10" s="441">
        <v>411</v>
      </c>
      <c r="AF10" s="441">
        <v>398</v>
      </c>
      <c r="AG10" s="441">
        <v>430</v>
      </c>
      <c r="AH10" s="441">
        <v>432</v>
      </c>
      <c r="AI10" s="441">
        <v>463</v>
      </c>
      <c r="AJ10" s="441">
        <v>458</v>
      </c>
      <c r="AK10" s="441">
        <v>455</v>
      </c>
      <c r="AL10" s="441">
        <v>470</v>
      </c>
      <c r="AM10" s="441">
        <v>10</v>
      </c>
    </row>
    <row r="11" spans="1:39">
      <c r="A11">
        <v>3</v>
      </c>
      <c r="B11" t="s">
        <v>123</v>
      </c>
      <c r="C11" t="s">
        <v>460</v>
      </c>
      <c r="D11" s="445">
        <v>5383</v>
      </c>
      <c r="E11">
        <v>166</v>
      </c>
      <c r="F11">
        <v>73</v>
      </c>
      <c r="G11">
        <v>1280</v>
      </c>
      <c r="H11">
        <v>14</v>
      </c>
      <c r="I11">
        <v>3516</v>
      </c>
      <c r="J11">
        <v>16</v>
      </c>
      <c r="K11" s="113">
        <v>318</v>
      </c>
      <c r="M11">
        <v>2876</v>
      </c>
      <c r="N11">
        <v>2506</v>
      </c>
      <c r="O11" t="s">
        <v>326</v>
      </c>
      <c r="P11">
        <v>743</v>
      </c>
      <c r="Q11">
        <v>237</v>
      </c>
      <c r="R11">
        <v>1484</v>
      </c>
      <c r="S11" t="s">
        <v>326</v>
      </c>
      <c r="T11">
        <v>29</v>
      </c>
      <c r="U11" t="s">
        <v>326</v>
      </c>
      <c r="V11">
        <v>53</v>
      </c>
      <c r="W11">
        <v>236</v>
      </c>
      <c r="X11">
        <v>60</v>
      </c>
      <c r="Y11">
        <v>114</v>
      </c>
      <c r="Z11">
        <v>359</v>
      </c>
      <c r="AA11">
        <v>341</v>
      </c>
      <c r="AB11">
        <v>373</v>
      </c>
      <c r="AC11">
        <v>369</v>
      </c>
      <c r="AD11">
        <v>392</v>
      </c>
      <c r="AE11">
        <v>377</v>
      </c>
      <c r="AF11">
        <v>406</v>
      </c>
      <c r="AG11">
        <v>402</v>
      </c>
      <c r="AH11">
        <v>437</v>
      </c>
      <c r="AI11">
        <v>437</v>
      </c>
      <c r="AJ11">
        <v>473</v>
      </c>
      <c r="AK11">
        <v>450</v>
      </c>
      <c r="AL11">
        <v>440</v>
      </c>
      <c r="AM11">
        <v>13</v>
      </c>
    </row>
    <row r="12" spans="1:39">
      <c r="A12">
        <v>3</v>
      </c>
      <c r="B12" t="s">
        <v>123</v>
      </c>
      <c r="C12" t="s">
        <v>461</v>
      </c>
      <c r="D12" s="445">
        <v>5312</v>
      </c>
      <c r="E12">
        <v>150</v>
      </c>
      <c r="F12">
        <v>80</v>
      </c>
      <c r="G12">
        <v>1297</v>
      </c>
      <c r="H12">
        <v>19</v>
      </c>
      <c r="I12">
        <v>3433</v>
      </c>
      <c r="J12">
        <v>15</v>
      </c>
      <c r="K12" s="113">
        <v>318</v>
      </c>
      <c r="M12">
        <v>2848</v>
      </c>
      <c r="N12">
        <v>2463</v>
      </c>
      <c r="O12" t="s">
        <v>326</v>
      </c>
      <c r="P12">
        <v>734</v>
      </c>
      <c r="Q12">
        <v>226</v>
      </c>
      <c r="R12">
        <v>1569</v>
      </c>
      <c r="S12" t="s">
        <v>326</v>
      </c>
      <c r="T12">
        <v>24</v>
      </c>
      <c r="U12" t="s">
        <v>326</v>
      </c>
      <c r="V12">
        <v>25</v>
      </c>
      <c r="W12">
        <v>234</v>
      </c>
      <c r="X12">
        <v>48</v>
      </c>
      <c r="Y12">
        <v>143</v>
      </c>
      <c r="Z12">
        <v>313</v>
      </c>
      <c r="AA12">
        <v>366</v>
      </c>
      <c r="AB12">
        <v>351</v>
      </c>
      <c r="AC12">
        <v>383</v>
      </c>
      <c r="AD12">
        <v>371</v>
      </c>
      <c r="AE12">
        <v>393</v>
      </c>
      <c r="AF12">
        <v>375</v>
      </c>
      <c r="AG12">
        <v>397</v>
      </c>
      <c r="AH12">
        <v>401</v>
      </c>
      <c r="AI12">
        <v>468</v>
      </c>
      <c r="AJ12">
        <v>446</v>
      </c>
      <c r="AK12">
        <v>455</v>
      </c>
      <c r="AL12">
        <v>433</v>
      </c>
      <c r="AM12">
        <v>17</v>
      </c>
    </row>
    <row r="13" spans="1:39">
      <c r="A13">
        <v>3</v>
      </c>
      <c r="B13" t="s">
        <v>123</v>
      </c>
      <c r="C13" t="s">
        <v>462</v>
      </c>
      <c r="D13" s="445">
        <v>5032</v>
      </c>
      <c r="E13">
        <v>129</v>
      </c>
      <c r="F13">
        <v>77</v>
      </c>
      <c r="G13">
        <v>1241</v>
      </c>
      <c r="H13">
        <v>16</v>
      </c>
      <c r="I13">
        <v>3269</v>
      </c>
      <c r="J13" t="s">
        <v>326</v>
      </c>
      <c r="K13" s="113">
        <v>292</v>
      </c>
      <c r="M13">
        <v>2676</v>
      </c>
      <c r="N13">
        <v>2354</v>
      </c>
      <c r="O13" t="s">
        <v>326</v>
      </c>
      <c r="P13">
        <v>734</v>
      </c>
      <c r="Q13">
        <v>217</v>
      </c>
      <c r="R13">
        <v>1681</v>
      </c>
      <c r="S13" t="s">
        <v>326</v>
      </c>
      <c r="T13">
        <v>29</v>
      </c>
      <c r="U13">
        <v>13</v>
      </c>
      <c r="V13">
        <v>30</v>
      </c>
      <c r="W13">
        <v>206</v>
      </c>
      <c r="X13">
        <v>23</v>
      </c>
      <c r="Y13">
        <v>115</v>
      </c>
      <c r="Z13">
        <v>273</v>
      </c>
      <c r="AA13">
        <v>307</v>
      </c>
      <c r="AB13">
        <v>344</v>
      </c>
      <c r="AC13">
        <v>344</v>
      </c>
      <c r="AD13">
        <v>382</v>
      </c>
      <c r="AE13">
        <v>370</v>
      </c>
      <c r="AF13">
        <v>380</v>
      </c>
      <c r="AG13">
        <v>380</v>
      </c>
      <c r="AH13">
        <v>391</v>
      </c>
      <c r="AI13">
        <v>400</v>
      </c>
      <c r="AJ13">
        <v>448</v>
      </c>
      <c r="AK13">
        <v>437</v>
      </c>
      <c r="AL13">
        <v>444</v>
      </c>
      <c r="AM13">
        <v>17</v>
      </c>
    </row>
    <row r="14" spans="1:39">
      <c r="A14">
        <v>3</v>
      </c>
      <c r="B14" t="s">
        <v>123</v>
      </c>
      <c r="C14" t="s">
        <v>463</v>
      </c>
      <c r="D14" s="445">
        <v>4927</v>
      </c>
      <c r="E14">
        <v>116</v>
      </c>
      <c r="F14">
        <v>68</v>
      </c>
      <c r="G14">
        <v>1255</v>
      </c>
      <c r="H14">
        <v>16</v>
      </c>
      <c r="I14">
        <v>3171</v>
      </c>
      <c r="J14">
        <v>12</v>
      </c>
      <c r="K14" s="113">
        <v>289</v>
      </c>
      <c r="M14">
        <v>2582</v>
      </c>
      <c r="N14">
        <v>2344</v>
      </c>
      <c r="O14" t="s">
        <v>326</v>
      </c>
      <c r="P14">
        <v>739</v>
      </c>
      <c r="Q14">
        <v>212</v>
      </c>
      <c r="R14">
        <v>1685</v>
      </c>
      <c r="S14" t="s">
        <v>326</v>
      </c>
      <c r="T14">
        <v>59</v>
      </c>
      <c r="U14" t="s">
        <v>326</v>
      </c>
      <c r="V14">
        <v>53</v>
      </c>
      <c r="W14">
        <v>198</v>
      </c>
      <c r="X14">
        <v>32</v>
      </c>
      <c r="Y14">
        <v>121</v>
      </c>
      <c r="Z14">
        <v>289</v>
      </c>
      <c r="AA14">
        <v>292</v>
      </c>
      <c r="AB14">
        <v>304</v>
      </c>
      <c r="AC14">
        <v>370</v>
      </c>
      <c r="AD14">
        <v>356</v>
      </c>
      <c r="AE14">
        <v>380</v>
      </c>
      <c r="AF14">
        <v>375</v>
      </c>
      <c r="AG14">
        <v>376</v>
      </c>
      <c r="AH14">
        <v>378</v>
      </c>
      <c r="AI14">
        <v>416</v>
      </c>
      <c r="AJ14">
        <v>402</v>
      </c>
      <c r="AK14">
        <v>439</v>
      </c>
      <c r="AL14">
        <v>416</v>
      </c>
      <c r="AM14">
        <v>13</v>
      </c>
    </row>
    <row r="15" spans="1:39">
      <c r="A15">
        <v>3</v>
      </c>
      <c r="B15" t="s">
        <v>123</v>
      </c>
      <c r="C15" t="s">
        <v>464</v>
      </c>
      <c r="D15" s="449">
        <v>4731</v>
      </c>
      <c r="E15" s="105">
        <v>100</v>
      </c>
      <c r="F15" s="105">
        <v>67</v>
      </c>
      <c r="G15" s="105">
        <v>1201</v>
      </c>
      <c r="H15" s="105" t="s">
        <v>326</v>
      </c>
      <c r="I15" s="105">
        <v>3057</v>
      </c>
      <c r="J15" s="105" t="s">
        <v>326</v>
      </c>
      <c r="K15" s="112">
        <v>289</v>
      </c>
      <c r="M15">
        <v>2488</v>
      </c>
      <c r="N15">
        <v>2243</v>
      </c>
      <c r="O15" t="s">
        <v>326</v>
      </c>
      <c r="P15">
        <v>691</v>
      </c>
      <c r="Q15">
        <v>192</v>
      </c>
      <c r="R15">
        <v>1777</v>
      </c>
      <c r="S15" t="s">
        <v>326</v>
      </c>
      <c r="T15">
        <v>53</v>
      </c>
      <c r="U15" t="s">
        <v>326</v>
      </c>
      <c r="V15">
        <v>63</v>
      </c>
      <c r="W15" t="s">
        <v>326</v>
      </c>
      <c r="X15" t="s">
        <v>326</v>
      </c>
      <c r="Y15">
        <v>116</v>
      </c>
      <c r="Z15">
        <v>270</v>
      </c>
      <c r="AA15">
        <v>294</v>
      </c>
      <c r="AB15">
        <v>307</v>
      </c>
      <c r="AC15">
        <v>297</v>
      </c>
      <c r="AD15">
        <v>366</v>
      </c>
      <c r="AE15">
        <v>357</v>
      </c>
      <c r="AF15">
        <v>377</v>
      </c>
      <c r="AG15">
        <v>374</v>
      </c>
      <c r="AH15">
        <v>373</v>
      </c>
      <c r="AI15">
        <v>379</v>
      </c>
      <c r="AJ15">
        <v>408</v>
      </c>
      <c r="AK15">
        <v>387</v>
      </c>
      <c r="AL15">
        <v>415</v>
      </c>
      <c r="AM15">
        <v>11</v>
      </c>
    </row>
    <row r="17" spans="25:39">
      <c r="Y17">
        <f>+Y10-Y9</f>
        <v>-44</v>
      </c>
      <c r="Z17">
        <f t="shared" ref="Z17:AM17" si="0">+Z10-Z9</f>
        <v>-63</v>
      </c>
      <c r="AA17">
        <f t="shared" si="0"/>
        <v>-11</v>
      </c>
      <c r="AB17">
        <f t="shared" si="0"/>
        <v>-59</v>
      </c>
      <c r="AC17">
        <f t="shared" si="0"/>
        <v>-18</v>
      </c>
      <c r="AD17">
        <f t="shared" si="0"/>
        <v>-58</v>
      </c>
      <c r="AE17">
        <f t="shared" si="0"/>
        <v>-14</v>
      </c>
      <c r="AF17">
        <f t="shared" si="0"/>
        <v>-54</v>
      </c>
      <c r="AG17">
        <f t="shared" si="0"/>
        <v>-13</v>
      </c>
      <c r="AH17">
        <f t="shared" si="0"/>
        <v>-20</v>
      </c>
      <c r="AI17">
        <f t="shared" si="0"/>
        <v>-7</v>
      </c>
      <c r="AJ17">
        <f t="shared" si="0"/>
        <v>-20</v>
      </c>
      <c r="AK17">
        <f t="shared" si="0"/>
        <v>-31</v>
      </c>
      <c r="AL17">
        <f t="shared" si="0"/>
        <v>10</v>
      </c>
      <c r="AM17">
        <f t="shared" si="0"/>
        <v>10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outlinePr summaryBelow="0" summaryRight="0"/>
  </sheetPr>
  <dimension ref="A1:R43"/>
  <sheetViews>
    <sheetView workbookViewId="0">
      <selection activeCell="F53" sqref="F53"/>
    </sheetView>
  </sheetViews>
  <sheetFormatPr defaultColWidth="12.5703125" defaultRowHeight="15.75" customHeight="1"/>
  <sheetData>
    <row r="1" spans="1:18" ht="15.75" customHeight="1">
      <c r="A1" s="512" t="s">
        <v>46</v>
      </c>
      <c r="B1" s="510"/>
      <c r="C1" s="510"/>
      <c r="D1" s="510"/>
      <c r="E1" s="510"/>
      <c r="F1" s="510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8" ht="15.75" customHeight="1">
      <c r="A2" s="512" t="s">
        <v>47</v>
      </c>
      <c r="B2" s="510"/>
      <c r="C2" s="510"/>
      <c r="D2" s="510"/>
      <c r="E2" s="510"/>
      <c r="F2" s="510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8" ht="14.25">
      <c r="A3" s="513"/>
      <c r="B3" s="510"/>
      <c r="C3" s="510"/>
      <c r="D3" s="510"/>
      <c r="E3" s="510"/>
      <c r="F3" s="510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8" ht="14.25">
      <c r="A4" s="18" t="s">
        <v>48</v>
      </c>
      <c r="B4" s="509" t="s">
        <v>49</v>
      </c>
      <c r="C4" s="510"/>
      <c r="D4" s="510"/>
      <c r="E4" s="510"/>
      <c r="F4" s="510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8" ht="14.25">
      <c r="A5" s="514" t="s">
        <v>50</v>
      </c>
      <c r="B5" s="510"/>
      <c r="C5" s="510"/>
      <c r="D5" s="510"/>
      <c r="E5" s="510"/>
      <c r="F5" s="510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8" ht="14.25">
      <c r="A6" s="18" t="s">
        <v>51</v>
      </c>
      <c r="B6" s="509" t="s">
        <v>52</v>
      </c>
      <c r="C6" s="510"/>
      <c r="D6" s="510"/>
      <c r="E6" s="510"/>
      <c r="F6" s="510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8" ht="14.25">
      <c r="A7" s="18" t="s">
        <v>53</v>
      </c>
      <c r="B7" s="509" t="s">
        <v>54</v>
      </c>
      <c r="C7" s="510"/>
      <c r="D7" s="510"/>
      <c r="E7" s="510"/>
      <c r="F7" s="510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8" ht="14.25">
      <c r="A8" s="18" t="s">
        <v>55</v>
      </c>
      <c r="B8" s="509" t="s">
        <v>56</v>
      </c>
      <c r="C8" s="510"/>
      <c r="D8" s="510"/>
      <c r="E8" s="510"/>
      <c r="F8" s="510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8" ht="14.25">
      <c r="A9" s="18" t="s">
        <v>57</v>
      </c>
      <c r="B9" s="509" t="s">
        <v>58</v>
      </c>
      <c r="C9" s="510"/>
      <c r="D9" s="510"/>
      <c r="E9" s="510"/>
      <c r="F9" s="510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8" ht="14.25">
      <c r="A10" s="18" t="s">
        <v>59</v>
      </c>
      <c r="B10" s="511" t="s">
        <v>60</v>
      </c>
      <c r="C10" s="510"/>
      <c r="D10" s="510"/>
      <c r="E10" s="510"/>
      <c r="F10" s="510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8" ht="14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8" ht="12.75">
      <c r="A12" s="19" t="s">
        <v>61</v>
      </c>
      <c r="B12" s="19" t="s">
        <v>62</v>
      </c>
      <c r="C12" s="19" t="s">
        <v>63</v>
      </c>
      <c r="D12" s="19" t="s">
        <v>64</v>
      </c>
      <c r="E12" s="19" t="s">
        <v>65</v>
      </c>
      <c r="F12" s="19" t="s">
        <v>66</v>
      </c>
      <c r="G12" s="19" t="s">
        <v>67</v>
      </c>
      <c r="H12" s="19" t="s">
        <v>68</v>
      </c>
      <c r="I12" s="19" t="s">
        <v>69</v>
      </c>
      <c r="J12" s="19" t="s">
        <v>70</v>
      </c>
      <c r="K12" s="19" t="s">
        <v>71</v>
      </c>
      <c r="L12" s="19" t="s">
        <v>72</v>
      </c>
      <c r="M12" s="19" t="s">
        <v>73</v>
      </c>
      <c r="N12" s="19" t="s">
        <v>74</v>
      </c>
      <c r="O12" s="19" t="s">
        <v>75</v>
      </c>
      <c r="P12" s="19" t="s">
        <v>76</v>
      </c>
      <c r="Q12" s="20" t="s">
        <v>77</v>
      </c>
      <c r="R12" s="20" t="s">
        <v>78</v>
      </c>
    </row>
    <row r="13" spans="1:18" ht="12.75">
      <c r="A13" s="21">
        <v>2015</v>
      </c>
      <c r="B13" s="22">
        <v>238.31800000000001</v>
      </c>
      <c r="C13" s="22">
        <v>239.74799999999999</v>
      </c>
      <c r="D13" s="22">
        <v>241.69</v>
      </c>
      <c r="E13" s="22">
        <v>242.30199999999999</v>
      </c>
      <c r="F13" s="22">
        <v>244.227</v>
      </c>
      <c r="G13" s="22">
        <v>244.33199999999999</v>
      </c>
      <c r="H13" s="22">
        <v>245.04</v>
      </c>
      <c r="I13" s="22">
        <v>244.73699999999999</v>
      </c>
      <c r="J13" s="22">
        <v>244.25700000000001</v>
      </c>
      <c r="K13" s="22">
        <v>244.34100000000001</v>
      </c>
      <c r="L13" s="22">
        <v>243.749</v>
      </c>
      <c r="M13" s="22">
        <v>243.434</v>
      </c>
      <c r="N13" s="22">
        <v>243.01499999999999</v>
      </c>
      <c r="O13" s="22">
        <v>241.77</v>
      </c>
      <c r="P13" s="22">
        <v>244.26</v>
      </c>
    </row>
    <row r="14" spans="1:18" ht="12.75">
      <c r="A14" s="21">
        <v>2016</v>
      </c>
      <c r="B14" s="22">
        <v>244.6</v>
      </c>
      <c r="C14" s="22">
        <v>244.821</v>
      </c>
      <c r="D14" s="22">
        <v>245.404</v>
      </c>
      <c r="E14" s="22">
        <v>246.589</v>
      </c>
      <c r="F14" s="22">
        <v>247.85499999999999</v>
      </c>
      <c r="G14" s="22">
        <v>248.22800000000001</v>
      </c>
      <c r="H14" s="22">
        <v>248.375</v>
      </c>
      <c r="I14" s="22">
        <v>248.49799999999999</v>
      </c>
      <c r="J14" s="22">
        <v>249.23400000000001</v>
      </c>
      <c r="K14" s="22">
        <v>249.89699999999999</v>
      </c>
      <c r="L14" s="22">
        <v>249.44800000000001</v>
      </c>
      <c r="M14" s="22">
        <v>249.51599999999999</v>
      </c>
      <c r="N14" s="22">
        <v>247.70500000000001</v>
      </c>
      <c r="O14" s="22">
        <v>246.25</v>
      </c>
      <c r="P14" s="22">
        <v>249.161</v>
      </c>
    </row>
    <row r="15" spans="1:18" ht="12.75">
      <c r="A15" s="21">
        <v>2017</v>
      </c>
      <c r="B15" s="22">
        <v>250.81399999999999</v>
      </c>
      <c r="C15" s="22">
        <v>252.25200000000001</v>
      </c>
      <c r="D15" s="22">
        <v>252.94900000000001</v>
      </c>
      <c r="E15" s="22">
        <v>253.80600000000001</v>
      </c>
      <c r="F15" s="22">
        <v>254.38</v>
      </c>
      <c r="G15" s="22">
        <v>254.46899999999999</v>
      </c>
      <c r="H15" s="22">
        <v>254.708</v>
      </c>
      <c r="I15" s="22">
        <v>255.28200000000001</v>
      </c>
      <c r="J15" s="22">
        <v>256.50400000000002</v>
      </c>
      <c r="K15" s="22">
        <v>257.22300000000001</v>
      </c>
      <c r="L15" s="22">
        <v>257.12599999999998</v>
      </c>
      <c r="M15" s="22">
        <v>257.34699999999998</v>
      </c>
      <c r="N15" s="22">
        <v>254.738</v>
      </c>
      <c r="O15" s="22">
        <v>253.11199999999999</v>
      </c>
      <c r="P15" s="22">
        <v>256.36500000000001</v>
      </c>
    </row>
    <row r="16" spans="1:18" ht="12.75">
      <c r="A16" s="21">
        <v>2018</v>
      </c>
      <c r="B16" s="22">
        <v>258.63799999999998</v>
      </c>
      <c r="C16" s="22">
        <v>259.98599999999999</v>
      </c>
      <c r="D16" s="22">
        <v>260.99400000000003</v>
      </c>
      <c r="E16" s="22">
        <v>262.03699999999998</v>
      </c>
      <c r="F16" s="22">
        <v>263.24</v>
      </c>
      <c r="G16" s="22">
        <v>263.73200000000003</v>
      </c>
      <c r="H16" s="22">
        <v>263.971</v>
      </c>
      <c r="I16" s="22">
        <v>264.39499999999998</v>
      </c>
      <c r="J16" s="22">
        <v>265.10500000000002</v>
      </c>
      <c r="K16" s="22">
        <v>266.19499999999999</v>
      </c>
      <c r="L16" s="22">
        <v>265.65800000000002</v>
      </c>
      <c r="M16" s="22">
        <v>265.209</v>
      </c>
      <c r="N16" s="22">
        <v>263.26299999999998</v>
      </c>
      <c r="O16" s="22">
        <v>261.43799999999999</v>
      </c>
      <c r="P16" s="22">
        <v>265.089</v>
      </c>
    </row>
    <row r="17" spans="1:18" ht="12.75">
      <c r="A17" s="21">
        <v>2019</v>
      </c>
      <c r="B17" s="22">
        <v>265.62400000000002</v>
      </c>
      <c r="C17" s="22">
        <v>266.21499999999997</v>
      </c>
      <c r="D17" s="22">
        <v>267.37</v>
      </c>
      <c r="E17" s="22">
        <v>269.52199999999999</v>
      </c>
      <c r="F17" s="22">
        <v>270.88</v>
      </c>
      <c r="G17" s="22">
        <v>270.95699999999999</v>
      </c>
      <c r="H17" s="22">
        <v>271.029</v>
      </c>
      <c r="I17" s="22">
        <v>271.26400000000001</v>
      </c>
      <c r="J17" s="22">
        <v>272.10199999999998</v>
      </c>
      <c r="K17" s="22">
        <v>273.524</v>
      </c>
      <c r="L17" s="22">
        <v>273.12799999999999</v>
      </c>
      <c r="M17" s="22">
        <v>272.584</v>
      </c>
      <c r="N17" s="22">
        <v>270.35000000000002</v>
      </c>
      <c r="O17" s="22">
        <v>268.428</v>
      </c>
      <c r="P17" s="22">
        <v>272.27199999999999</v>
      </c>
    </row>
    <row r="18" spans="1:18" ht="12.75">
      <c r="A18" s="21">
        <v>2020</v>
      </c>
      <c r="B18" s="22">
        <v>273.33999999999997</v>
      </c>
      <c r="C18" s="22">
        <v>274.41199999999998</v>
      </c>
      <c r="D18" s="22">
        <v>273.995</v>
      </c>
      <c r="E18" s="22">
        <v>272.91300000000001</v>
      </c>
      <c r="F18" s="22">
        <v>273.06200000000001</v>
      </c>
      <c r="G18" s="22">
        <v>274.15499999999997</v>
      </c>
      <c r="H18" s="22">
        <v>275.59699999999998</v>
      </c>
      <c r="I18" s="22">
        <v>276.44299999999998</v>
      </c>
      <c r="J18" s="22">
        <v>276.42200000000003</v>
      </c>
      <c r="K18" s="22">
        <v>276.87599999999998</v>
      </c>
      <c r="L18" s="22">
        <v>276.875</v>
      </c>
      <c r="M18" s="22">
        <v>276.59300000000002</v>
      </c>
      <c r="N18" s="22">
        <v>275.05700000000002</v>
      </c>
      <c r="O18" s="22">
        <v>273.64600000000002</v>
      </c>
      <c r="P18" s="22">
        <v>276.46800000000002</v>
      </c>
    </row>
    <row r="19" spans="1:18" ht="12.75">
      <c r="A19" s="21">
        <v>2021</v>
      </c>
      <c r="B19" s="22">
        <v>277.238</v>
      </c>
      <c r="C19" s="22">
        <v>278.702</v>
      </c>
      <c r="D19" s="22">
        <v>280.625</v>
      </c>
      <c r="E19" s="22">
        <v>283.50700000000001</v>
      </c>
      <c r="F19" s="22">
        <v>285.79300000000001</v>
      </c>
      <c r="G19" s="22">
        <v>288.26299999999998</v>
      </c>
      <c r="H19" s="22">
        <v>289.863</v>
      </c>
      <c r="I19" s="22">
        <v>290.39299999999997</v>
      </c>
      <c r="J19" s="22">
        <v>291.053</v>
      </c>
      <c r="K19" s="22">
        <v>293.39699999999999</v>
      </c>
      <c r="L19" s="22">
        <v>294.98599999999999</v>
      </c>
      <c r="M19" s="22">
        <v>296.10199999999998</v>
      </c>
      <c r="N19" s="22">
        <v>287.49400000000003</v>
      </c>
      <c r="O19" s="22">
        <v>282.35500000000002</v>
      </c>
      <c r="P19" s="22">
        <v>292.63200000000001</v>
      </c>
    </row>
    <row r="20" spans="1:18" ht="12.75">
      <c r="A20" s="21">
        <v>2022</v>
      </c>
      <c r="B20" s="22">
        <v>298.70499999999998</v>
      </c>
      <c r="C20" s="22">
        <v>301.15800000000002</v>
      </c>
      <c r="D20" s="22">
        <v>305.08199999999999</v>
      </c>
      <c r="E20" s="22">
        <v>307.14499999999998</v>
      </c>
      <c r="F20" s="22">
        <v>309.64499999999998</v>
      </c>
      <c r="G20" s="22">
        <v>313.49599999999998</v>
      </c>
      <c r="H20" s="22">
        <v>313.95100000000002</v>
      </c>
      <c r="I20" s="22">
        <v>314.01299999999998</v>
      </c>
      <c r="J20" s="22">
        <v>315.09399999999999</v>
      </c>
      <c r="K20" s="22">
        <v>317.29899999999998</v>
      </c>
      <c r="L20" s="22">
        <v>315.91899999999998</v>
      </c>
      <c r="M20" s="22">
        <v>314.59899999999999</v>
      </c>
      <c r="N20" s="22">
        <v>310.50900000000001</v>
      </c>
      <c r="O20" s="22">
        <v>305.87200000000001</v>
      </c>
      <c r="P20" s="22">
        <v>315.14600000000002</v>
      </c>
    </row>
    <row r="21" spans="1:18" ht="12.75">
      <c r="A21" s="21">
        <v>2023</v>
      </c>
      <c r="B21" s="22">
        <v>317.47699999999998</v>
      </c>
      <c r="C21" s="22">
        <v>319.13</v>
      </c>
      <c r="D21" s="22">
        <v>320.71499999999997</v>
      </c>
      <c r="E21" s="22">
        <v>322.18700000000001</v>
      </c>
      <c r="F21" s="22">
        <v>323.52499999999998</v>
      </c>
      <c r="G21" s="22">
        <v>324.44799999999998</v>
      </c>
      <c r="H21" s="22">
        <v>324.86500000000001</v>
      </c>
      <c r="I21" s="22">
        <v>326.23399999999998</v>
      </c>
      <c r="J21" s="22">
        <v>327.49099999999999</v>
      </c>
      <c r="K21" s="22">
        <v>327.70800000000003</v>
      </c>
      <c r="L21" s="22">
        <v>326.29899999999998</v>
      </c>
      <c r="M21" s="22">
        <v>325.93200000000002</v>
      </c>
      <c r="N21" s="22">
        <v>323.834</v>
      </c>
      <c r="O21" s="22">
        <v>321.24700000000001</v>
      </c>
      <c r="P21" s="22">
        <v>326.42200000000003</v>
      </c>
    </row>
    <row r="22" spans="1:18" ht="12.75">
      <c r="A22" s="21">
        <v>2024</v>
      </c>
      <c r="B22" s="22">
        <v>328.053</v>
      </c>
      <c r="C22" s="22">
        <v>329.339</v>
      </c>
      <c r="D22" s="22">
        <v>332.202</v>
      </c>
      <c r="E22" s="22">
        <v>334.05</v>
      </c>
      <c r="F22" s="22">
        <v>334.29199999999997</v>
      </c>
      <c r="G22" s="22">
        <v>333.66199999999998</v>
      </c>
      <c r="H22" s="22">
        <v>333.17399999999998</v>
      </c>
      <c r="I22" s="22">
        <v>333.44200000000001</v>
      </c>
      <c r="J22" s="22">
        <v>334.26499999999999</v>
      </c>
      <c r="K22" s="22">
        <v>334.55799999999999</v>
      </c>
      <c r="L22" s="22">
        <v>334.21800000000002</v>
      </c>
      <c r="M22" s="22">
        <v>334.084</v>
      </c>
      <c r="N22" s="22">
        <v>332.94499999999999</v>
      </c>
      <c r="O22" s="22">
        <v>331.93299999999999</v>
      </c>
      <c r="P22" s="22">
        <v>333.95699999999999</v>
      </c>
    </row>
    <row r="23" spans="1:18" ht="14.25">
      <c r="A23" s="21">
        <v>2025</v>
      </c>
      <c r="B23" s="22">
        <v>335.98899999999998</v>
      </c>
      <c r="C23" s="22">
        <v>337.86799999999999</v>
      </c>
      <c r="D23" s="22">
        <v>339.62700000000001</v>
      </c>
      <c r="E23" s="22">
        <v>341.15899999999999</v>
      </c>
      <c r="F23" s="22">
        <v>342.34300000000002</v>
      </c>
      <c r="G23" s="22">
        <v>342.613</v>
      </c>
      <c r="H23" s="22">
        <v>343.23399999999998</v>
      </c>
      <c r="I23" s="17"/>
      <c r="J23" s="17"/>
      <c r="K23" s="17"/>
      <c r="L23" s="17"/>
      <c r="M23" s="17"/>
      <c r="N23" s="17"/>
      <c r="O23" s="22">
        <v>339.93299999999999</v>
      </c>
      <c r="P23" s="17"/>
    </row>
    <row r="25" spans="1:18" ht="12.75">
      <c r="A25" s="21">
        <v>2015</v>
      </c>
    </row>
    <row r="26" spans="1:18" ht="12.75">
      <c r="A26" s="21">
        <v>2016</v>
      </c>
      <c r="B26" s="16">
        <f t="shared" ref="B26:P26" si="0">B14/B13-1</f>
        <v>2.63597378292868E-2</v>
      </c>
      <c r="C26" s="16">
        <f t="shared" si="0"/>
        <v>2.115971770358871E-2</v>
      </c>
      <c r="D26" s="16">
        <f t="shared" si="0"/>
        <v>1.5366792171790378E-2</v>
      </c>
      <c r="E26" s="16">
        <f t="shared" si="0"/>
        <v>1.7692796592681859E-2</v>
      </c>
      <c r="F26" s="16">
        <f t="shared" si="0"/>
        <v>1.4855032408374047E-2</v>
      </c>
      <c r="G26" s="16">
        <f t="shared" si="0"/>
        <v>1.5945516755889511E-2</v>
      </c>
      <c r="H26" s="16">
        <f t="shared" si="0"/>
        <v>1.361002285341173E-2</v>
      </c>
      <c r="I26" s="16">
        <f t="shared" si="0"/>
        <v>1.5367516967193406E-2</v>
      </c>
      <c r="J26" s="16">
        <f t="shared" si="0"/>
        <v>2.0376079293531024E-2</v>
      </c>
      <c r="K26" s="16">
        <f t="shared" si="0"/>
        <v>2.2738713519220966E-2</v>
      </c>
      <c r="L26" s="16">
        <f t="shared" si="0"/>
        <v>2.338060874095893E-2</v>
      </c>
      <c r="M26" s="16">
        <f t="shared" si="0"/>
        <v>2.4984184624990746E-2</v>
      </c>
      <c r="N26" s="16">
        <f t="shared" si="0"/>
        <v>1.9299220212744217E-2</v>
      </c>
      <c r="O26" s="16">
        <f t="shared" si="0"/>
        <v>1.853000785870873E-2</v>
      </c>
      <c r="P26" s="16">
        <f t="shared" si="0"/>
        <v>2.0064685171538477E-2</v>
      </c>
      <c r="Q26" s="16">
        <f t="shared" ref="Q26:Q35" si="1">MIN(B26:N26)</f>
        <v>1.361002285341173E-2</v>
      </c>
      <c r="R26" s="16">
        <f t="shared" ref="R26:R35" si="2">MAX(B26:N26)</f>
        <v>2.63597378292868E-2</v>
      </c>
    </row>
    <row r="27" spans="1:18" ht="12.75">
      <c r="A27" s="21">
        <v>2017</v>
      </c>
      <c r="B27" s="16">
        <f t="shared" ref="B27:P27" si="3">B15/B14-1</f>
        <v>2.5404742436631267E-2</v>
      </c>
      <c r="C27" s="16">
        <f t="shared" si="3"/>
        <v>3.0352788363743333E-2</v>
      </c>
      <c r="D27" s="16">
        <f t="shared" si="3"/>
        <v>3.0745220126811468E-2</v>
      </c>
      <c r="E27" s="16">
        <f t="shared" si="3"/>
        <v>2.926732335992277E-2</v>
      </c>
      <c r="F27" s="16">
        <f t="shared" si="3"/>
        <v>2.6325876016219274E-2</v>
      </c>
      <c r="G27" s="16">
        <f t="shared" si="3"/>
        <v>2.5142207970092034E-2</v>
      </c>
      <c r="H27" s="16">
        <f t="shared" si="3"/>
        <v>2.5497735279315537E-2</v>
      </c>
      <c r="I27" s="16">
        <f t="shared" si="3"/>
        <v>2.7300018511215551E-2</v>
      </c>
      <c r="J27" s="16">
        <f t="shared" si="3"/>
        <v>2.9169374964892469E-2</v>
      </c>
      <c r="K27" s="16">
        <f t="shared" si="3"/>
        <v>2.9316078224228548E-2</v>
      </c>
      <c r="L27" s="16">
        <f t="shared" si="3"/>
        <v>3.0779962156441298E-2</v>
      </c>
      <c r="M27" s="16">
        <f t="shared" si="3"/>
        <v>3.1384760897096742E-2</v>
      </c>
      <c r="N27" s="16">
        <f t="shared" si="3"/>
        <v>2.8392644476292306E-2</v>
      </c>
      <c r="O27" s="16">
        <f t="shared" si="3"/>
        <v>2.7865989847715822E-2</v>
      </c>
      <c r="P27" s="16">
        <f t="shared" si="3"/>
        <v>2.8913032135847949E-2</v>
      </c>
      <c r="Q27" s="16">
        <f t="shared" si="1"/>
        <v>2.5142207970092034E-2</v>
      </c>
      <c r="R27" s="16">
        <f t="shared" si="2"/>
        <v>3.1384760897096742E-2</v>
      </c>
    </row>
    <row r="28" spans="1:18" ht="12.75">
      <c r="A28" s="21">
        <v>2018</v>
      </c>
      <c r="B28" s="16">
        <f t="shared" ref="B28:P28" si="4">B16/B15-1</f>
        <v>3.1194430932882433E-2</v>
      </c>
      <c r="C28" s="16">
        <f t="shared" si="4"/>
        <v>3.0659816374102089E-2</v>
      </c>
      <c r="D28" s="16">
        <f t="shared" si="4"/>
        <v>3.1804830222693203E-2</v>
      </c>
      <c r="E28" s="16">
        <f t="shared" si="4"/>
        <v>3.2430281396026661E-2</v>
      </c>
      <c r="F28" s="16">
        <f t="shared" si="4"/>
        <v>3.4829782215582972E-2</v>
      </c>
      <c r="G28" s="16">
        <f t="shared" si="4"/>
        <v>3.6401290530477359E-2</v>
      </c>
      <c r="H28" s="16">
        <f t="shared" si="4"/>
        <v>3.636713413006265E-2</v>
      </c>
      <c r="I28" s="16">
        <f t="shared" si="4"/>
        <v>3.5697777359939176E-2</v>
      </c>
      <c r="J28" s="16">
        <f t="shared" si="4"/>
        <v>3.3531640832111798E-2</v>
      </c>
      <c r="K28" s="16">
        <f t="shared" si="4"/>
        <v>3.4880240102945548E-2</v>
      </c>
      <c r="L28" s="16">
        <f t="shared" si="4"/>
        <v>3.3182175275934922E-2</v>
      </c>
      <c r="M28" s="16">
        <f t="shared" si="4"/>
        <v>3.0550190987266301E-2</v>
      </c>
      <c r="N28" s="16">
        <f t="shared" si="4"/>
        <v>3.3465756973831917E-2</v>
      </c>
      <c r="O28" s="16">
        <f t="shared" si="4"/>
        <v>3.2894528904200415E-2</v>
      </c>
      <c r="P28" s="16">
        <f t="shared" si="4"/>
        <v>3.4029606225498776E-2</v>
      </c>
      <c r="Q28" s="16">
        <f t="shared" si="1"/>
        <v>3.0550190987266301E-2</v>
      </c>
      <c r="R28" s="16">
        <f t="shared" si="2"/>
        <v>3.6401290530477359E-2</v>
      </c>
    </row>
    <row r="29" spans="1:18" ht="12.75">
      <c r="A29" s="21">
        <v>2019</v>
      </c>
      <c r="B29" s="16">
        <f t="shared" ref="B29:P29" si="5">B17/B16-1</f>
        <v>2.7010725415445691E-2</v>
      </c>
      <c r="C29" s="16">
        <f t="shared" si="5"/>
        <v>2.3958982406744989E-2</v>
      </c>
      <c r="D29" s="16">
        <f t="shared" si="5"/>
        <v>2.4429680375793961E-2</v>
      </c>
      <c r="E29" s="16">
        <f t="shared" si="5"/>
        <v>2.8564668348363131E-2</v>
      </c>
      <c r="F29" s="16">
        <f t="shared" si="5"/>
        <v>2.9022944841209597E-2</v>
      </c>
      <c r="G29" s="16">
        <f t="shared" si="5"/>
        <v>2.7395234556291781E-2</v>
      </c>
      <c r="H29" s="16">
        <f t="shared" si="5"/>
        <v>2.6737785590083663E-2</v>
      </c>
      <c r="I29" s="16">
        <f t="shared" si="5"/>
        <v>2.5980067701734333E-2</v>
      </c>
      <c r="J29" s="16">
        <f t="shared" si="5"/>
        <v>2.6393315855981481E-2</v>
      </c>
      <c r="K29" s="16">
        <f t="shared" si="5"/>
        <v>2.7532448017430822E-2</v>
      </c>
      <c r="L29" s="16">
        <f t="shared" si="5"/>
        <v>2.8118859586385492E-2</v>
      </c>
      <c r="M29" s="16">
        <f t="shared" si="5"/>
        <v>2.7808256884193305E-2</v>
      </c>
      <c r="N29" s="16">
        <f t="shared" si="5"/>
        <v>2.6919848212624053E-2</v>
      </c>
      <c r="O29" s="16">
        <f t="shared" si="5"/>
        <v>2.6736740642140822E-2</v>
      </c>
      <c r="P29" s="16">
        <f t="shared" si="5"/>
        <v>2.7096560023237348E-2</v>
      </c>
      <c r="Q29" s="16">
        <f t="shared" si="1"/>
        <v>2.3958982406744989E-2</v>
      </c>
      <c r="R29" s="16">
        <f t="shared" si="2"/>
        <v>2.9022944841209597E-2</v>
      </c>
    </row>
    <row r="30" spans="1:18" ht="12.75">
      <c r="A30" s="21">
        <v>2020</v>
      </c>
      <c r="B30" s="16">
        <f t="shared" ref="B30:P30" si="6">B18/B17-1</f>
        <v>2.9048579947595021E-2</v>
      </c>
      <c r="C30" s="16">
        <f t="shared" si="6"/>
        <v>3.0790902090415573E-2</v>
      </c>
      <c r="D30" s="16">
        <f t="shared" si="6"/>
        <v>2.4778396977970685E-2</v>
      </c>
      <c r="E30" s="16">
        <f t="shared" si="6"/>
        <v>1.258153323290867E-2</v>
      </c>
      <c r="F30" s="16">
        <f t="shared" si="6"/>
        <v>8.0552274069698448E-3</v>
      </c>
      <c r="G30" s="16">
        <f t="shared" si="6"/>
        <v>1.1802610746354469E-2</v>
      </c>
      <c r="H30" s="16">
        <f t="shared" si="6"/>
        <v>1.6854284965815314E-2</v>
      </c>
      <c r="I30" s="16">
        <f t="shared" si="6"/>
        <v>1.9092102158782431E-2</v>
      </c>
      <c r="J30" s="16">
        <f t="shared" si="6"/>
        <v>1.5876399291442356E-2</v>
      </c>
      <c r="K30" s="16">
        <f t="shared" si="6"/>
        <v>1.225486611778126E-2</v>
      </c>
      <c r="L30" s="16">
        <f t="shared" si="6"/>
        <v>1.3718842447497215E-2</v>
      </c>
      <c r="M30" s="16">
        <f t="shared" si="6"/>
        <v>1.4707392950429998E-2</v>
      </c>
      <c r="N30" s="16">
        <f t="shared" si="6"/>
        <v>1.741076382467166E-2</v>
      </c>
      <c r="O30" s="16">
        <f t="shared" si="6"/>
        <v>1.9439104713368183E-2</v>
      </c>
      <c r="P30" s="16">
        <f t="shared" si="6"/>
        <v>1.5411059528706694E-2</v>
      </c>
      <c r="Q30" s="16">
        <f t="shared" si="1"/>
        <v>8.0552274069698448E-3</v>
      </c>
      <c r="R30" s="16">
        <f t="shared" si="2"/>
        <v>3.0790902090415573E-2</v>
      </c>
    </row>
    <row r="31" spans="1:18" ht="12.75">
      <c r="A31" s="21">
        <v>2021</v>
      </c>
      <c r="B31" s="16">
        <f t="shared" ref="B31:P31" si="7">B19/B18-1</f>
        <v>1.4260627789566271E-2</v>
      </c>
      <c r="C31" s="16">
        <f t="shared" si="7"/>
        <v>1.5633427109601694E-2</v>
      </c>
      <c r="D31" s="16">
        <f t="shared" si="7"/>
        <v>2.4197521852588499E-2</v>
      </c>
      <c r="E31" s="16">
        <f t="shared" si="7"/>
        <v>3.8818231451048568E-2</v>
      </c>
      <c r="F31" s="16">
        <f t="shared" si="7"/>
        <v>4.6623111234811221E-2</v>
      </c>
      <c r="G31" s="16">
        <f t="shared" si="7"/>
        <v>5.1459940544582361E-2</v>
      </c>
      <c r="H31" s="16">
        <f t="shared" si="7"/>
        <v>5.1763988722663967E-2</v>
      </c>
      <c r="I31" s="16">
        <f t="shared" si="7"/>
        <v>5.0462482320044133E-2</v>
      </c>
      <c r="J31" s="16">
        <f t="shared" si="7"/>
        <v>5.2929940453364743E-2</v>
      </c>
      <c r="K31" s="16">
        <f t="shared" si="7"/>
        <v>5.9669310449443236E-2</v>
      </c>
      <c r="L31" s="16">
        <f t="shared" si="7"/>
        <v>6.5412189616252725E-2</v>
      </c>
      <c r="M31" s="16">
        <f t="shared" si="7"/>
        <v>7.0533238368288176E-2</v>
      </c>
      <c r="N31" s="16">
        <f t="shared" si="7"/>
        <v>4.521608248472142E-2</v>
      </c>
      <c r="O31" s="16">
        <f t="shared" si="7"/>
        <v>3.1825789523691306E-2</v>
      </c>
      <c r="P31" s="16">
        <f t="shared" si="7"/>
        <v>5.8466079256912051E-2</v>
      </c>
      <c r="Q31" s="16">
        <f t="shared" si="1"/>
        <v>1.4260627789566271E-2</v>
      </c>
      <c r="R31" s="16">
        <f t="shared" si="2"/>
        <v>7.0533238368288176E-2</v>
      </c>
    </row>
    <row r="32" spans="1:18" ht="12.75">
      <c r="A32" s="21">
        <v>2022</v>
      </c>
      <c r="B32" s="16">
        <f t="shared" ref="B32:P32" si="8">B20/B19-1</f>
        <v>7.743166521183964E-2</v>
      </c>
      <c r="C32" s="16">
        <f t="shared" si="8"/>
        <v>8.0573515798236128E-2</v>
      </c>
      <c r="D32" s="16">
        <f t="shared" si="8"/>
        <v>8.7151893095768429E-2</v>
      </c>
      <c r="E32" s="16">
        <f t="shared" si="8"/>
        <v>8.3377130017953549E-2</v>
      </c>
      <c r="F32" s="16">
        <f t="shared" si="8"/>
        <v>8.3459007043559463E-2</v>
      </c>
      <c r="G32" s="16">
        <f t="shared" si="8"/>
        <v>8.7534647179832392E-2</v>
      </c>
      <c r="H32" s="16">
        <f t="shared" si="8"/>
        <v>8.3101327178701778E-2</v>
      </c>
      <c r="I32" s="16">
        <f t="shared" si="8"/>
        <v>8.1338048782167549E-2</v>
      </c>
      <c r="J32" s="16">
        <f t="shared" si="8"/>
        <v>8.2600076274767842E-2</v>
      </c>
      <c r="K32" s="16">
        <f t="shared" si="8"/>
        <v>8.1466408995320316E-2</v>
      </c>
      <c r="L32" s="16">
        <f t="shared" si="8"/>
        <v>7.0962689754767938E-2</v>
      </c>
      <c r="M32" s="16">
        <f t="shared" si="8"/>
        <v>6.2468338613045571E-2</v>
      </c>
      <c r="N32" s="16">
        <f t="shared" si="8"/>
        <v>8.0053844601974289E-2</v>
      </c>
      <c r="O32" s="16">
        <f t="shared" si="8"/>
        <v>8.3288767686068965E-2</v>
      </c>
      <c r="P32" s="16">
        <f t="shared" si="8"/>
        <v>7.6936220235654273E-2</v>
      </c>
      <c r="Q32" s="16">
        <f t="shared" si="1"/>
        <v>6.2468338613045571E-2</v>
      </c>
      <c r="R32" s="16">
        <f t="shared" si="2"/>
        <v>8.7534647179832392E-2</v>
      </c>
    </row>
    <row r="33" spans="1:18" ht="12.75">
      <c r="A33" s="21">
        <v>2023</v>
      </c>
      <c r="B33" s="16">
        <f t="shared" ref="B33:P33" si="9">B21/B20-1</f>
        <v>6.2844612577626746E-2</v>
      </c>
      <c r="C33" s="16">
        <f t="shared" si="9"/>
        <v>5.9676316086572534E-2</v>
      </c>
      <c r="D33" s="16">
        <f t="shared" si="9"/>
        <v>5.1241961177650452E-2</v>
      </c>
      <c r="E33" s="16">
        <f t="shared" si="9"/>
        <v>4.8973611812010764E-2</v>
      </c>
      <c r="F33" s="16">
        <f t="shared" si="9"/>
        <v>4.482552600558698E-2</v>
      </c>
      <c r="G33" s="16">
        <f t="shared" si="9"/>
        <v>3.4935054992727199E-2</v>
      </c>
      <c r="H33" s="16">
        <f t="shared" si="9"/>
        <v>3.4763386643138494E-2</v>
      </c>
      <c r="I33" s="16">
        <f t="shared" si="9"/>
        <v>3.8918770878912712E-2</v>
      </c>
      <c r="J33" s="16">
        <f t="shared" si="9"/>
        <v>3.9343814861596771E-2</v>
      </c>
      <c r="K33" s="16">
        <f t="shared" si="9"/>
        <v>3.2805019870847607E-2</v>
      </c>
      <c r="L33" s="16">
        <f t="shared" si="9"/>
        <v>3.2856523349339639E-2</v>
      </c>
      <c r="M33" s="16">
        <f t="shared" si="9"/>
        <v>3.6023636438768269E-2</v>
      </c>
      <c r="N33" s="16">
        <f t="shared" si="9"/>
        <v>4.2913409917264778E-2</v>
      </c>
      <c r="O33" s="16">
        <f t="shared" si="9"/>
        <v>5.0266124391902478E-2</v>
      </c>
      <c r="P33" s="16">
        <f t="shared" si="9"/>
        <v>3.5780241538842406E-2</v>
      </c>
      <c r="Q33" s="16">
        <f t="shared" si="1"/>
        <v>3.2805019870847607E-2</v>
      </c>
      <c r="R33" s="16">
        <f t="shared" si="2"/>
        <v>6.2844612577626746E-2</v>
      </c>
    </row>
    <row r="34" spans="1:18" ht="12.75">
      <c r="A34" s="21">
        <v>2024</v>
      </c>
      <c r="B34" s="16">
        <f t="shared" ref="B34:P34" si="10">B22/B21-1</f>
        <v>3.3312649420273122E-2</v>
      </c>
      <c r="C34" s="16">
        <f t="shared" si="10"/>
        <v>3.1990098079152762E-2</v>
      </c>
      <c r="D34" s="16">
        <f t="shared" si="10"/>
        <v>3.5816846733080832E-2</v>
      </c>
      <c r="E34" s="16">
        <f t="shared" si="10"/>
        <v>3.6820231728778685E-2</v>
      </c>
      <c r="F34" s="16">
        <f t="shared" si="10"/>
        <v>3.3280272003709088E-2</v>
      </c>
      <c r="G34" s="16">
        <f t="shared" si="10"/>
        <v>2.8399003846533155E-2</v>
      </c>
      <c r="H34" s="16">
        <f t="shared" si="10"/>
        <v>2.5576778046265236E-2</v>
      </c>
      <c r="I34" s="16">
        <f t="shared" si="10"/>
        <v>2.2094570155164694E-2</v>
      </c>
      <c r="J34" s="16">
        <f t="shared" si="10"/>
        <v>2.0684537895697908E-2</v>
      </c>
      <c r="K34" s="16">
        <f t="shared" si="10"/>
        <v>2.0902754891549691E-2</v>
      </c>
      <c r="L34" s="16">
        <f t="shared" si="10"/>
        <v>2.42691519128162E-2</v>
      </c>
      <c r="M34" s="16">
        <f t="shared" si="10"/>
        <v>2.5011352061166114E-2</v>
      </c>
      <c r="N34" s="16">
        <f t="shared" si="10"/>
        <v>2.8134785105949245E-2</v>
      </c>
      <c r="O34" s="16">
        <f t="shared" si="10"/>
        <v>3.3264123867304596E-2</v>
      </c>
      <c r="P34" s="16">
        <f t="shared" si="10"/>
        <v>2.3083615687667924E-2</v>
      </c>
      <c r="Q34" s="16">
        <f t="shared" si="1"/>
        <v>2.0684537895697908E-2</v>
      </c>
      <c r="R34" s="16">
        <f t="shared" si="2"/>
        <v>3.6820231728778685E-2</v>
      </c>
    </row>
    <row r="35" spans="1:18" ht="12.75">
      <c r="A35" s="21">
        <v>2025</v>
      </c>
      <c r="B35" s="16">
        <f t="shared" ref="B35:H35" si="11">B23/B22-1</f>
        <v>2.4191213005215539E-2</v>
      </c>
      <c r="C35" s="16">
        <f t="shared" si="11"/>
        <v>2.5897327677560256E-2</v>
      </c>
      <c r="D35" s="16">
        <f t="shared" si="11"/>
        <v>2.2350858814817576E-2</v>
      </c>
      <c r="E35" s="16">
        <f t="shared" si="11"/>
        <v>2.1281245322556375E-2</v>
      </c>
      <c r="F35" s="16">
        <f t="shared" si="11"/>
        <v>2.4083735177629295E-2</v>
      </c>
      <c r="G35" s="16">
        <f t="shared" si="11"/>
        <v>2.6826549022663793E-2</v>
      </c>
      <c r="H35" s="16">
        <f t="shared" si="11"/>
        <v>3.0194432938944749E-2</v>
      </c>
      <c r="I35" s="16"/>
      <c r="J35" s="16"/>
      <c r="K35" s="16"/>
      <c r="L35" s="16"/>
      <c r="M35" s="16"/>
      <c r="N35" s="16"/>
      <c r="Q35" s="16">
        <f t="shared" si="1"/>
        <v>2.1281245322556375E-2</v>
      </c>
      <c r="R35" s="16">
        <f t="shared" si="2"/>
        <v>3.0194432938944749E-2</v>
      </c>
    </row>
    <row r="36" spans="1:18" ht="12.75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</row>
    <row r="37" spans="1:18" ht="12.75">
      <c r="B37" s="9">
        <v>2026</v>
      </c>
      <c r="C37" s="9">
        <v>2025</v>
      </c>
      <c r="D37" s="9">
        <f t="shared" ref="D37:L37" si="12">C37-1</f>
        <v>2024</v>
      </c>
      <c r="E37" s="9">
        <f t="shared" si="12"/>
        <v>2023</v>
      </c>
      <c r="F37" s="9">
        <f t="shared" si="12"/>
        <v>2022</v>
      </c>
      <c r="G37" s="9">
        <f t="shared" si="12"/>
        <v>2021</v>
      </c>
      <c r="H37" s="9">
        <f t="shared" si="12"/>
        <v>2020</v>
      </c>
      <c r="I37" s="9">
        <f t="shared" si="12"/>
        <v>2019</v>
      </c>
      <c r="J37" s="9">
        <f t="shared" si="12"/>
        <v>2018</v>
      </c>
      <c r="K37" s="9">
        <f t="shared" si="12"/>
        <v>2017</v>
      </c>
      <c r="L37" s="9">
        <f t="shared" si="12"/>
        <v>2016</v>
      </c>
      <c r="M37" s="9">
        <v>2015</v>
      </c>
    </row>
    <row r="38" spans="1:18" ht="12.75">
      <c r="A38" s="1" t="s">
        <v>77</v>
      </c>
      <c r="C38" s="16">
        <f>Q35</f>
        <v>2.1281245322556375E-2</v>
      </c>
      <c r="D38" s="16">
        <f>Q34</f>
        <v>2.0684537895697908E-2</v>
      </c>
      <c r="E38" s="16">
        <f>Q33</f>
        <v>3.2805019870847607E-2</v>
      </c>
      <c r="F38" s="16">
        <f>Q32</f>
        <v>6.2468338613045571E-2</v>
      </c>
      <c r="G38" s="16">
        <f>Q31</f>
        <v>1.4260627789566271E-2</v>
      </c>
      <c r="H38" s="16">
        <f>Q30</f>
        <v>8.0552274069698448E-3</v>
      </c>
      <c r="I38" s="16">
        <f>Q29</f>
        <v>2.3958982406744989E-2</v>
      </c>
      <c r="J38" s="16">
        <f>Q28</f>
        <v>3.0550190987266301E-2</v>
      </c>
      <c r="K38" s="16">
        <f>Q27</f>
        <v>2.5142207970092034E-2</v>
      </c>
      <c r="L38" s="16">
        <f>R26</f>
        <v>2.63597378292868E-2</v>
      </c>
    </row>
    <row r="39" spans="1:18" ht="12.75">
      <c r="A39" s="1" t="s">
        <v>79</v>
      </c>
      <c r="C39" s="16">
        <f>R35</f>
        <v>3.0194432938944749E-2</v>
      </c>
      <c r="D39" s="16">
        <f>R34</f>
        <v>3.6820231728778685E-2</v>
      </c>
      <c r="E39" s="16">
        <f>R33</f>
        <v>6.2844612577626746E-2</v>
      </c>
      <c r="F39" s="16">
        <f>R32</f>
        <v>8.7534647179832392E-2</v>
      </c>
      <c r="G39" s="16">
        <f>R31</f>
        <v>7.0533238368288176E-2</v>
      </c>
      <c r="H39" s="16">
        <f>R30</f>
        <v>3.0790902090415573E-2</v>
      </c>
      <c r="I39" s="16">
        <f>R29</f>
        <v>2.9022944841209597E-2</v>
      </c>
      <c r="J39" s="16">
        <f>R28</f>
        <v>3.6401290530477359E-2</v>
      </c>
      <c r="K39" s="16">
        <f>R27</f>
        <v>3.1384760897096742E-2</v>
      </c>
      <c r="L39" s="16">
        <f>R26</f>
        <v>2.63597378292868E-2</v>
      </c>
    </row>
    <row r="41" spans="1:18" ht="12.75">
      <c r="A41" s="1" t="s">
        <v>11</v>
      </c>
      <c r="B41" s="2">
        <v>63928125</v>
      </c>
      <c r="C41" s="2">
        <v>61438092</v>
      </c>
      <c r="D41" s="2">
        <v>58404027</v>
      </c>
      <c r="E41" s="2">
        <v>55286744</v>
      </c>
      <c r="F41" s="2">
        <v>59494527</v>
      </c>
      <c r="G41" s="2">
        <v>55012149</v>
      </c>
      <c r="H41" s="2">
        <v>53300778</v>
      </c>
      <c r="I41" s="2">
        <v>54058216</v>
      </c>
      <c r="J41" s="2">
        <v>53026366</v>
      </c>
      <c r="K41" s="2">
        <v>50728902</v>
      </c>
      <c r="L41" s="2">
        <v>50917085</v>
      </c>
      <c r="M41" s="2">
        <v>50400330</v>
      </c>
    </row>
    <row r="42" spans="1:18" ht="12.75">
      <c r="L42" s="2"/>
    </row>
    <row r="43" spans="1:18" ht="12.7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</sheetData>
  <mergeCells count="10">
    <mergeCell ref="B8:F8"/>
    <mergeCell ref="B9:F9"/>
    <mergeCell ref="B10:F10"/>
    <mergeCell ref="A1:F1"/>
    <mergeCell ref="A2:F2"/>
    <mergeCell ref="A3:F3"/>
    <mergeCell ref="B4:F4"/>
    <mergeCell ref="A5:F5"/>
    <mergeCell ref="B6:F6"/>
    <mergeCell ref="B7:F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DB67B-CC3B-4E0E-8C7C-FE0076E992F5}">
  <sheetPr>
    <tabColor rgb="FFFFFF00"/>
  </sheetPr>
  <dimension ref="A5:N40"/>
  <sheetViews>
    <sheetView workbookViewId="0">
      <selection activeCell="C42" sqref="C42"/>
    </sheetView>
  </sheetViews>
  <sheetFormatPr defaultRowHeight="12.75"/>
  <cols>
    <col min="1" max="1" width="31.28515625" customWidth="1"/>
    <col min="2" max="10" width="15.85546875" style="137" customWidth="1"/>
    <col min="11" max="13" width="15.7109375" style="137" customWidth="1"/>
    <col min="14" max="14" width="9.140625" style="137"/>
  </cols>
  <sheetData>
    <row r="5" spans="1:14" s="367" customFormat="1">
      <c r="A5" s="493" t="s">
        <v>2</v>
      </c>
      <c r="B5" s="494">
        <v>2026</v>
      </c>
      <c r="C5" s="494">
        <f>+B5-1</f>
        <v>2025</v>
      </c>
      <c r="D5" s="494">
        <f t="shared" ref="D5:L5" si="0">+C5-1</f>
        <v>2024</v>
      </c>
      <c r="E5" s="494">
        <f t="shared" si="0"/>
        <v>2023</v>
      </c>
      <c r="F5" s="494">
        <f t="shared" si="0"/>
        <v>2022</v>
      </c>
      <c r="G5" s="494">
        <f t="shared" si="0"/>
        <v>2021</v>
      </c>
      <c r="H5" s="494">
        <f t="shared" si="0"/>
        <v>2020</v>
      </c>
      <c r="I5" s="494">
        <f t="shared" si="0"/>
        <v>2019</v>
      </c>
      <c r="J5" s="494">
        <f t="shared" si="0"/>
        <v>2018</v>
      </c>
      <c r="K5" s="494">
        <f t="shared" si="0"/>
        <v>2017</v>
      </c>
      <c r="L5" s="494">
        <f t="shared" si="0"/>
        <v>2016</v>
      </c>
      <c r="M5" s="492"/>
      <c r="N5" s="492"/>
    </row>
    <row r="7" spans="1:14">
      <c r="A7" t="s">
        <v>468</v>
      </c>
      <c r="C7" s="137">
        <v>614151</v>
      </c>
      <c r="D7" s="137">
        <v>731835</v>
      </c>
      <c r="E7" s="137">
        <v>755952</v>
      </c>
      <c r="F7" s="137">
        <v>582494</v>
      </c>
      <c r="G7" s="137">
        <v>46991384</v>
      </c>
      <c r="H7" s="137">
        <v>41543182</v>
      </c>
      <c r="I7" s="137">
        <v>41248262</v>
      </c>
      <c r="J7" s="137">
        <v>39206004</v>
      </c>
      <c r="K7" s="137">
        <v>37219831</v>
      </c>
      <c r="L7" s="137">
        <v>37355817</v>
      </c>
    </row>
    <row r="8" spans="1:14">
      <c r="A8" t="s">
        <v>469</v>
      </c>
      <c r="C8" s="137">
        <v>21294</v>
      </c>
      <c r="D8" s="137">
        <v>29662</v>
      </c>
      <c r="E8" s="137">
        <v>31941</v>
      </c>
      <c r="F8" s="137">
        <v>3465</v>
      </c>
      <c r="G8" s="137">
        <v>2070</v>
      </c>
      <c r="H8" s="137">
        <v>11985</v>
      </c>
      <c r="I8" s="137">
        <v>17339</v>
      </c>
      <c r="J8" s="137">
        <v>12651</v>
      </c>
      <c r="K8" s="137">
        <v>5770</v>
      </c>
      <c r="L8" s="137">
        <v>3099</v>
      </c>
    </row>
    <row r="9" spans="1:14">
      <c r="A9" t="s">
        <v>473</v>
      </c>
      <c r="C9" s="137">
        <v>63819</v>
      </c>
      <c r="D9" s="137">
        <v>155471</v>
      </c>
      <c r="E9" s="137">
        <v>163348</v>
      </c>
      <c r="F9" s="137">
        <v>404612</v>
      </c>
      <c r="G9" s="137">
        <v>269429</v>
      </c>
      <c r="H9" s="137">
        <v>853910</v>
      </c>
      <c r="I9" s="137">
        <v>790949</v>
      </c>
      <c r="J9" s="137">
        <v>2402594</v>
      </c>
      <c r="K9" s="137">
        <v>571844</v>
      </c>
    </row>
    <row r="10" spans="1:14">
      <c r="A10" t="s">
        <v>474</v>
      </c>
      <c r="B10" s="138"/>
      <c r="C10" s="138">
        <v>3079538</v>
      </c>
      <c r="D10" s="138">
        <v>4459995</v>
      </c>
      <c r="E10" s="138">
        <v>4446974</v>
      </c>
      <c r="F10" s="138">
        <v>3870663</v>
      </c>
      <c r="G10" s="138">
        <v>988326</v>
      </c>
      <c r="H10" s="138">
        <v>522824</v>
      </c>
      <c r="I10" s="138">
        <v>717823</v>
      </c>
      <c r="J10" s="138">
        <v>669487</v>
      </c>
      <c r="K10" s="138">
        <v>534243</v>
      </c>
      <c r="L10" s="138">
        <v>872610</v>
      </c>
    </row>
    <row r="11" spans="1:14" ht="25.5" customHeight="1">
      <c r="A11" t="s">
        <v>475</v>
      </c>
      <c r="B11" s="137">
        <f t="shared" ref="B11:K11" si="1">SUM(B6:B10)</f>
        <v>0</v>
      </c>
      <c r="C11" s="137">
        <f t="shared" si="1"/>
        <v>3778802</v>
      </c>
      <c r="D11" s="137">
        <f t="shared" si="1"/>
        <v>5376963</v>
      </c>
      <c r="E11" s="137">
        <f t="shared" si="1"/>
        <v>5398215</v>
      </c>
      <c r="F11" s="137">
        <f t="shared" si="1"/>
        <v>4861234</v>
      </c>
      <c r="G11" s="137">
        <f t="shared" si="1"/>
        <v>48251209</v>
      </c>
      <c r="H11" s="137">
        <f t="shared" si="1"/>
        <v>42931901</v>
      </c>
      <c r="I11" s="137">
        <f t="shared" si="1"/>
        <v>42774373</v>
      </c>
      <c r="J11" s="137">
        <f t="shared" si="1"/>
        <v>42290736</v>
      </c>
      <c r="K11" s="137">
        <f t="shared" si="1"/>
        <v>38331688</v>
      </c>
      <c r="L11" s="137">
        <f>SUM(L6:L10)</f>
        <v>38231526</v>
      </c>
    </row>
    <row r="13" spans="1:14">
      <c r="A13" t="s">
        <v>477</v>
      </c>
      <c r="C13" s="137">
        <v>58453818</v>
      </c>
      <c r="D13" s="137">
        <v>57690410</v>
      </c>
      <c r="E13" s="137">
        <v>54492791</v>
      </c>
      <c r="F13" s="137">
        <v>58888252</v>
      </c>
      <c r="G13" s="137">
        <v>7930203</v>
      </c>
      <c r="H13" s="137">
        <v>11721372</v>
      </c>
      <c r="I13" s="137">
        <v>12798551</v>
      </c>
      <c r="J13" s="137">
        <v>13802093</v>
      </c>
      <c r="K13" s="137">
        <v>13456581</v>
      </c>
      <c r="L13" s="137">
        <v>13518543</v>
      </c>
    </row>
    <row r="14" spans="1:14">
      <c r="A14" t="s">
        <v>470</v>
      </c>
      <c r="C14" s="137">
        <v>4318634</v>
      </c>
      <c r="D14" s="137">
        <v>4241172</v>
      </c>
      <c r="E14" s="137">
        <v>4215423</v>
      </c>
      <c r="F14" s="137">
        <v>4062193</v>
      </c>
      <c r="G14" s="137">
        <v>3980640</v>
      </c>
      <c r="H14" s="137">
        <v>3846568</v>
      </c>
      <c r="I14" s="137">
        <v>3622802</v>
      </c>
      <c r="J14" s="137">
        <v>3473743</v>
      </c>
      <c r="K14" s="137">
        <v>3250009</v>
      </c>
      <c r="L14" s="137">
        <v>3250009</v>
      </c>
    </row>
    <row r="15" spans="1:14">
      <c r="A15" t="s">
        <v>472</v>
      </c>
      <c r="C15" s="137">
        <v>545219</v>
      </c>
      <c r="D15" s="137">
        <v>2435696</v>
      </c>
      <c r="E15" s="137">
        <v>155072</v>
      </c>
      <c r="F15" s="137">
        <v>185000</v>
      </c>
      <c r="G15" s="137">
        <v>1788427</v>
      </c>
      <c r="H15" s="137">
        <v>2204935</v>
      </c>
      <c r="I15" s="137">
        <v>1742732</v>
      </c>
      <c r="J15" s="137">
        <v>2211328</v>
      </c>
      <c r="K15" s="137">
        <v>4225010</v>
      </c>
    </row>
    <row r="16" spans="1:14">
      <c r="A16" t="s">
        <v>471</v>
      </c>
      <c r="B16" s="138"/>
      <c r="C16" s="138">
        <v>1125872</v>
      </c>
      <c r="D16" s="138">
        <v>1471469</v>
      </c>
      <c r="E16" s="138">
        <v>665235</v>
      </c>
      <c r="F16" s="138">
        <v>754169</v>
      </c>
      <c r="G16" s="138">
        <v>1545726</v>
      </c>
      <c r="H16" s="138">
        <v>1446296</v>
      </c>
      <c r="I16" s="138">
        <v>927846</v>
      </c>
      <c r="J16" s="138">
        <v>1554402</v>
      </c>
      <c r="K16" s="138">
        <v>2806624</v>
      </c>
      <c r="L16" s="138">
        <v>4120963</v>
      </c>
    </row>
    <row r="17" spans="1:12" ht="27.75" customHeight="1">
      <c r="A17" t="s">
        <v>476</v>
      </c>
      <c r="B17" s="137">
        <f t="shared" ref="B17:K17" si="2">SUM(B12:B16)</f>
        <v>0</v>
      </c>
      <c r="C17" s="137">
        <f t="shared" si="2"/>
        <v>64443543</v>
      </c>
      <c r="D17" s="137">
        <f t="shared" si="2"/>
        <v>65838747</v>
      </c>
      <c r="E17" s="137">
        <f t="shared" si="2"/>
        <v>59528521</v>
      </c>
      <c r="F17" s="137">
        <f t="shared" si="2"/>
        <v>63889614</v>
      </c>
      <c r="G17" s="137">
        <f t="shared" si="2"/>
        <v>15244996</v>
      </c>
      <c r="H17" s="137">
        <f t="shared" si="2"/>
        <v>19219171</v>
      </c>
      <c r="I17" s="137">
        <f t="shared" si="2"/>
        <v>19091931</v>
      </c>
      <c r="J17" s="137">
        <f t="shared" si="2"/>
        <v>21041566</v>
      </c>
      <c r="K17" s="137">
        <f t="shared" si="2"/>
        <v>23738224</v>
      </c>
      <c r="L17" s="137">
        <f>SUM(L12:L16)</f>
        <v>20889515</v>
      </c>
    </row>
    <row r="18" spans="1:12" ht="27.75" customHeight="1"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</row>
    <row r="19" spans="1:12" ht="27.75" customHeight="1">
      <c r="A19" t="s">
        <v>487</v>
      </c>
      <c r="B19" s="137">
        <f t="shared" ref="B19:E19" si="3">+B11+B17</f>
        <v>0</v>
      </c>
      <c r="C19" s="137">
        <f t="shared" si="3"/>
        <v>68222345</v>
      </c>
      <c r="D19" s="137">
        <f t="shared" si="3"/>
        <v>71215710</v>
      </c>
      <c r="E19" s="137">
        <f t="shared" si="3"/>
        <v>64926736</v>
      </c>
      <c r="F19" s="137">
        <f>+F11+F17</f>
        <v>68750848</v>
      </c>
      <c r="G19" s="137">
        <f t="shared" ref="G19:L19" si="4">+G11+G17</f>
        <v>63496205</v>
      </c>
      <c r="H19" s="137">
        <f t="shared" si="4"/>
        <v>62151072</v>
      </c>
      <c r="I19" s="137">
        <f t="shared" si="4"/>
        <v>61866304</v>
      </c>
      <c r="J19" s="137">
        <f t="shared" si="4"/>
        <v>63332302</v>
      </c>
      <c r="K19" s="137">
        <f t="shared" si="4"/>
        <v>62069912</v>
      </c>
      <c r="L19" s="137">
        <f t="shared" si="4"/>
        <v>59121041</v>
      </c>
    </row>
    <row r="20" spans="1:12" ht="27.75" customHeight="1"/>
    <row r="22" spans="1:12">
      <c r="A22" t="s">
        <v>479</v>
      </c>
      <c r="H22" s="137">
        <v>20416</v>
      </c>
      <c r="K22" s="137">
        <v>29015</v>
      </c>
      <c r="L22" s="137">
        <v>43384</v>
      </c>
    </row>
    <row r="23" spans="1:12">
      <c r="A23" t="s">
        <v>480</v>
      </c>
    </row>
    <row r="24" spans="1:12">
      <c r="A24" t="s">
        <v>481</v>
      </c>
      <c r="C24" s="137">
        <v>5857440</v>
      </c>
      <c r="D24" s="137">
        <v>5438230</v>
      </c>
      <c r="E24" s="137">
        <v>5458733</v>
      </c>
      <c r="F24" s="137">
        <v>5888797</v>
      </c>
      <c r="G24" s="137">
        <v>3782921</v>
      </c>
      <c r="H24" s="137">
        <v>1918126</v>
      </c>
      <c r="I24" s="137">
        <v>2283297</v>
      </c>
      <c r="J24" s="137">
        <v>2161936</v>
      </c>
      <c r="K24" s="137">
        <v>2869380</v>
      </c>
    </row>
    <row r="25" spans="1:12">
      <c r="A25" t="s">
        <v>482</v>
      </c>
      <c r="B25" s="138"/>
      <c r="C25" s="138">
        <v>1112882</v>
      </c>
      <c r="D25" s="138">
        <v>2786531</v>
      </c>
      <c r="E25" s="138">
        <v>2916824</v>
      </c>
      <c r="F25" s="138">
        <v>2815397</v>
      </c>
      <c r="G25" s="138">
        <v>1804078</v>
      </c>
      <c r="H25" s="138">
        <v>1032370</v>
      </c>
      <c r="I25" s="138">
        <v>1061545</v>
      </c>
      <c r="J25" s="138">
        <v>962609</v>
      </c>
      <c r="K25" s="138">
        <v>997607</v>
      </c>
      <c r="L25" s="138">
        <v>4357205</v>
      </c>
    </row>
    <row r="26" spans="1:12" ht="31.5" customHeight="1">
      <c r="A26" t="s">
        <v>478</v>
      </c>
      <c r="B26" s="137">
        <f t="shared" ref="B26:K26" si="5">SUM(B21:B25)</f>
        <v>0</v>
      </c>
      <c r="C26" s="137">
        <f t="shared" si="5"/>
        <v>6970322</v>
      </c>
      <c r="D26" s="137">
        <f t="shared" si="5"/>
        <v>8224761</v>
      </c>
      <c r="E26" s="137">
        <f t="shared" si="5"/>
        <v>8375557</v>
      </c>
      <c r="F26" s="137">
        <f t="shared" si="5"/>
        <v>8704194</v>
      </c>
      <c r="G26" s="137">
        <f t="shared" si="5"/>
        <v>5586999</v>
      </c>
      <c r="H26" s="137">
        <f t="shared" si="5"/>
        <v>2970912</v>
      </c>
      <c r="I26" s="137">
        <f t="shared" si="5"/>
        <v>3344842</v>
      </c>
      <c r="J26" s="137">
        <f t="shared" si="5"/>
        <v>3124545</v>
      </c>
      <c r="K26" s="137">
        <f t="shared" si="5"/>
        <v>3896002</v>
      </c>
      <c r="L26" s="137">
        <f>SUM(L21:L25)</f>
        <v>4400589</v>
      </c>
    </row>
    <row r="28" spans="1:12">
      <c r="A28" t="s">
        <v>488</v>
      </c>
      <c r="B28" s="137">
        <f>+B11+B17+B26</f>
        <v>0</v>
      </c>
      <c r="C28" s="137">
        <f t="shared" ref="C28:L28" si="6">+C11+C17+C26</f>
        <v>75192667</v>
      </c>
      <c r="D28" s="137">
        <f t="shared" si="6"/>
        <v>79440471</v>
      </c>
      <c r="E28" s="137">
        <f t="shared" si="6"/>
        <v>73302293</v>
      </c>
      <c r="F28" s="137">
        <f t="shared" si="6"/>
        <v>77455042</v>
      </c>
      <c r="G28" s="137">
        <f t="shared" si="6"/>
        <v>69083204</v>
      </c>
      <c r="H28" s="137">
        <f t="shared" si="6"/>
        <v>65121984</v>
      </c>
      <c r="I28" s="137">
        <f t="shared" si="6"/>
        <v>65211146</v>
      </c>
      <c r="J28" s="137">
        <f t="shared" si="6"/>
        <v>66456847</v>
      </c>
      <c r="K28" s="137">
        <f t="shared" si="6"/>
        <v>65965914</v>
      </c>
      <c r="L28" s="137">
        <f t="shared" si="6"/>
        <v>63521630</v>
      </c>
    </row>
    <row r="32" spans="1:12">
      <c r="A32" t="s">
        <v>486</v>
      </c>
    </row>
    <row r="33" spans="1:12">
      <c r="A33" t="s">
        <v>483</v>
      </c>
      <c r="C33" s="137">
        <f>10450989-4310185-2362002</f>
        <v>3778802</v>
      </c>
      <c r="D33" s="137">
        <f>9434880-4019223-38694</f>
        <v>5376963</v>
      </c>
      <c r="E33" s="137">
        <f>9102782-3670033-34534</f>
        <v>5398215</v>
      </c>
      <c r="F33" s="137">
        <f>8230701-3339650-29817</f>
        <v>4861234</v>
      </c>
      <c r="G33" s="137">
        <f>53719777-3213887-2243668-11013</f>
        <v>48251209</v>
      </c>
      <c r="H33" s="137">
        <f>47904259-3075997-1837556-58805</f>
        <v>42931901</v>
      </c>
      <c r="I33" s="137">
        <f>41248262+790949+717823+17339</f>
        <v>42774373</v>
      </c>
      <c r="J33" s="137">
        <f>46820062-2758949-1770377</f>
        <v>42290736</v>
      </c>
      <c r="K33" s="137">
        <f>42565279-2658414-1575177</f>
        <v>38331688</v>
      </c>
      <c r="L33" s="137">
        <f>37355817+3099+872610</f>
        <v>38231526</v>
      </c>
    </row>
    <row r="34" spans="1:12">
      <c r="A34" t="s">
        <v>484</v>
      </c>
      <c r="C34" s="137">
        <v>64443543</v>
      </c>
      <c r="D34" s="137">
        <v>65838747</v>
      </c>
      <c r="E34" s="137">
        <v>59528521</v>
      </c>
      <c r="F34" s="137">
        <v>63889614</v>
      </c>
      <c r="G34" s="137">
        <v>15244996</v>
      </c>
      <c r="H34" s="137">
        <v>19219171</v>
      </c>
      <c r="I34" s="137">
        <v>19091931</v>
      </c>
      <c r="J34" s="137">
        <v>21041566</v>
      </c>
      <c r="K34" s="137">
        <v>23738224</v>
      </c>
      <c r="L34" s="137">
        <f>13518543+3250009+4120963</f>
        <v>20889515</v>
      </c>
    </row>
    <row r="35" spans="1:12">
      <c r="A35" t="s">
        <v>485</v>
      </c>
      <c r="B35" s="138"/>
      <c r="C35" s="138">
        <f>7066483-96161</f>
        <v>6970322</v>
      </c>
      <c r="D35" s="138">
        <f>8346935-122174</f>
        <v>8224761</v>
      </c>
      <c r="E35" s="138">
        <f>8483968-108411</f>
        <v>8375557</v>
      </c>
      <c r="F35" s="138">
        <f>8807275-103081</f>
        <v>8704194</v>
      </c>
      <c r="G35" s="138">
        <f>5694107-107108</f>
        <v>5586999</v>
      </c>
      <c r="H35" s="138">
        <f>3308177-337265</f>
        <v>2970912</v>
      </c>
      <c r="I35" s="138">
        <f>3761360-416518</f>
        <v>3344842</v>
      </c>
      <c r="J35" s="138">
        <f>3467207-342662</f>
        <v>3124545</v>
      </c>
      <c r="K35" s="138">
        <f>4239420-343418</f>
        <v>3896002</v>
      </c>
      <c r="L35" s="138">
        <f>4742214-341625</f>
        <v>4400589</v>
      </c>
    </row>
    <row r="36" spans="1:12">
      <c r="A36" t="s">
        <v>488</v>
      </c>
      <c r="B36" s="495">
        <f t="shared" ref="B36:K36" si="7">SUM(B32:B35)</f>
        <v>0</v>
      </c>
      <c r="C36" s="495">
        <f t="shared" si="7"/>
        <v>75192667</v>
      </c>
      <c r="D36" s="495">
        <f t="shared" si="7"/>
        <v>79440471</v>
      </c>
      <c r="E36" s="495">
        <f t="shared" si="7"/>
        <v>73302293</v>
      </c>
      <c r="F36" s="495">
        <f t="shared" si="7"/>
        <v>77455042</v>
      </c>
      <c r="G36" s="495">
        <f t="shared" si="7"/>
        <v>69083204</v>
      </c>
      <c r="H36" s="495">
        <f t="shared" si="7"/>
        <v>65121984</v>
      </c>
      <c r="I36" s="495">
        <f t="shared" si="7"/>
        <v>65211146</v>
      </c>
      <c r="J36" s="495">
        <f t="shared" si="7"/>
        <v>66456847</v>
      </c>
      <c r="K36" s="495">
        <f t="shared" si="7"/>
        <v>65965914</v>
      </c>
      <c r="L36" s="495">
        <f>SUM(L32:L35)</f>
        <v>63521630</v>
      </c>
    </row>
    <row r="37" spans="1:12">
      <c r="A37" s="496" t="s">
        <v>489</v>
      </c>
      <c r="B37" s="495"/>
      <c r="C37" s="495"/>
      <c r="D37" s="495"/>
      <c r="E37" s="495"/>
      <c r="F37" s="495"/>
      <c r="G37" s="495"/>
      <c r="H37" s="495"/>
      <c r="I37" s="495"/>
      <c r="J37" s="495"/>
      <c r="K37" s="495"/>
      <c r="L37" s="495"/>
    </row>
    <row r="38" spans="1:12">
      <c r="B38" s="137">
        <f t="shared" ref="B38:L38" si="8">+B11-B33</f>
        <v>0</v>
      </c>
      <c r="C38" s="137">
        <f t="shared" si="8"/>
        <v>0</v>
      </c>
      <c r="D38" s="137">
        <f t="shared" si="8"/>
        <v>0</v>
      </c>
      <c r="E38" s="137">
        <f t="shared" si="8"/>
        <v>0</v>
      </c>
      <c r="F38" s="137">
        <f t="shared" si="8"/>
        <v>0</v>
      </c>
      <c r="G38" s="137">
        <f t="shared" si="8"/>
        <v>0</v>
      </c>
      <c r="H38" s="137">
        <f t="shared" si="8"/>
        <v>0</v>
      </c>
      <c r="I38" s="137">
        <f t="shared" si="8"/>
        <v>0</v>
      </c>
      <c r="J38" s="137">
        <f t="shared" si="8"/>
        <v>0</v>
      </c>
      <c r="K38" s="137">
        <f t="shared" si="8"/>
        <v>0</v>
      </c>
      <c r="L38" s="137">
        <f t="shared" si="8"/>
        <v>0</v>
      </c>
    </row>
    <row r="39" spans="1:12">
      <c r="B39" s="137">
        <f t="shared" ref="B39:L39" si="9">+B17-B34</f>
        <v>0</v>
      </c>
      <c r="C39" s="137">
        <f t="shared" si="9"/>
        <v>0</v>
      </c>
      <c r="D39" s="137">
        <f t="shared" si="9"/>
        <v>0</v>
      </c>
      <c r="E39" s="137">
        <f t="shared" si="9"/>
        <v>0</v>
      </c>
      <c r="F39" s="137">
        <f t="shared" si="9"/>
        <v>0</v>
      </c>
      <c r="G39" s="137">
        <f t="shared" si="9"/>
        <v>0</v>
      </c>
      <c r="H39" s="137">
        <f t="shared" si="9"/>
        <v>0</v>
      </c>
      <c r="I39" s="137">
        <f t="shared" si="9"/>
        <v>0</v>
      </c>
      <c r="J39" s="137">
        <f t="shared" si="9"/>
        <v>0</v>
      </c>
      <c r="K39" s="137">
        <f t="shared" si="9"/>
        <v>0</v>
      </c>
      <c r="L39" s="137">
        <f t="shared" si="9"/>
        <v>0</v>
      </c>
    </row>
    <row r="40" spans="1:12">
      <c r="B40" s="137">
        <f t="shared" ref="B40:L40" si="10">+B26-B35</f>
        <v>0</v>
      </c>
      <c r="C40" s="137">
        <f t="shared" si="10"/>
        <v>0</v>
      </c>
      <c r="D40" s="137">
        <f t="shared" si="10"/>
        <v>0</v>
      </c>
      <c r="E40" s="137">
        <f t="shared" si="10"/>
        <v>0</v>
      </c>
      <c r="F40" s="137">
        <f t="shared" si="10"/>
        <v>0</v>
      </c>
      <c r="G40" s="137">
        <f t="shared" si="10"/>
        <v>0</v>
      </c>
      <c r="H40" s="137">
        <f t="shared" si="10"/>
        <v>0</v>
      </c>
      <c r="I40" s="137">
        <f t="shared" si="10"/>
        <v>0</v>
      </c>
      <c r="J40" s="137">
        <f t="shared" si="10"/>
        <v>0</v>
      </c>
      <c r="K40" s="137">
        <f t="shared" si="10"/>
        <v>0</v>
      </c>
      <c r="L40" s="137">
        <f t="shared" si="10"/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A4578-BD50-429E-9B37-712DA331205E}">
  <dimension ref="A1:AD48"/>
  <sheetViews>
    <sheetView workbookViewId="0">
      <selection activeCell="E31" sqref="E31"/>
    </sheetView>
  </sheetViews>
  <sheetFormatPr defaultRowHeight="12.75"/>
  <cols>
    <col min="1" max="1" width="5" customWidth="1"/>
    <col min="2" max="2" width="6.42578125" customWidth="1"/>
    <col min="3" max="3" width="31.28515625" customWidth="1"/>
    <col min="4" max="5" width="12" customWidth="1"/>
    <col min="6" max="12" width="11.28515625" bestFit="1" customWidth="1"/>
    <col min="13" max="15" width="11.5703125" customWidth="1"/>
  </cols>
  <sheetData>
    <row r="1" spans="1:30">
      <c r="A1" s="1"/>
      <c r="B1" s="1"/>
      <c r="C1" s="9" t="s">
        <v>143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30">
      <c r="D2" s="3" t="s">
        <v>1</v>
      </c>
      <c r="E2" s="3" t="s">
        <v>284</v>
      </c>
      <c r="F2" s="2"/>
      <c r="G2" s="2"/>
      <c r="H2" s="2"/>
      <c r="I2" s="2"/>
      <c r="J2" s="2"/>
      <c r="K2" s="2"/>
      <c r="L2" s="2"/>
      <c r="M2" s="2"/>
      <c r="N2" s="2"/>
      <c r="O2" s="2"/>
    </row>
    <row r="3" spans="1:30" ht="42" customHeight="1">
      <c r="A3" s="4"/>
      <c r="B3" s="4"/>
      <c r="C3" s="134" t="s">
        <v>2</v>
      </c>
      <c r="D3" s="134" t="s">
        <v>3</v>
      </c>
      <c r="E3" s="134" t="s">
        <v>4</v>
      </c>
      <c r="F3" s="134" t="s">
        <v>5</v>
      </c>
      <c r="G3" s="134">
        <f t="shared" ref="G3:O3" si="0">F3-1</f>
        <v>2023</v>
      </c>
      <c r="H3" s="134">
        <f t="shared" si="0"/>
        <v>2022</v>
      </c>
      <c r="I3" s="134">
        <f t="shared" si="0"/>
        <v>2021</v>
      </c>
      <c r="J3" s="134">
        <f t="shared" si="0"/>
        <v>2020</v>
      </c>
      <c r="K3" s="134">
        <f t="shared" si="0"/>
        <v>2019</v>
      </c>
      <c r="L3" s="134">
        <f t="shared" si="0"/>
        <v>2018</v>
      </c>
      <c r="M3" s="134">
        <f t="shared" si="0"/>
        <v>2017</v>
      </c>
      <c r="N3" s="134">
        <f t="shared" si="0"/>
        <v>2016</v>
      </c>
      <c r="O3" s="134">
        <f t="shared" si="0"/>
        <v>2015</v>
      </c>
      <c r="P3" s="135" t="s">
        <v>253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>
      <c r="C4" s="1" t="s">
        <v>6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</row>
    <row r="5" spans="1:30">
      <c r="C5" s="1" t="s">
        <v>7</v>
      </c>
      <c r="D5" s="137"/>
      <c r="E5" s="137">
        <v>21294</v>
      </c>
      <c r="F5" s="137">
        <v>29662</v>
      </c>
      <c r="G5" s="137">
        <v>31941</v>
      </c>
      <c r="H5" s="137">
        <v>3465</v>
      </c>
      <c r="I5" s="137">
        <v>2070</v>
      </c>
      <c r="J5" s="137">
        <v>11985</v>
      </c>
      <c r="K5" s="137">
        <v>17339</v>
      </c>
      <c r="L5" s="137">
        <v>12651</v>
      </c>
      <c r="M5" s="137">
        <v>5770</v>
      </c>
      <c r="N5" s="137">
        <v>3099</v>
      </c>
      <c r="O5" s="137">
        <v>1090</v>
      </c>
    </row>
    <row r="6" spans="1:30">
      <c r="C6" s="1" t="s">
        <v>8</v>
      </c>
      <c r="D6" s="137"/>
      <c r="E6" s="137">
        <v>4318634</v>
      </c>
      <c r="F6" s="137">
        <v>4241172</v>
      </c>
      <c r="G6" s="137">
        <v>4215423</v>
      </c>
      <c r="H6" s="137">
        <v>4062193</v>
      </c>
      <c r="I6" s="137">
        <v>3980640</v>
      </c>
      <c r="J6" s="137">
        <v>3846568</v>
      </c>
      <c r="K6" s="137">
        <v>3622802</v>
      </c>
      <c r="L6" s="137">
        <v>3473743</v>
      </c>
      <c r="M6" s="137">
        <v>3250009</v>
      </c>
      <c r="N6" s="137">
        <v>3250009</v>
      </c>
      <c r="O6" s="137">
        <v>3056268</v>
      </c>
    </row>
    <row r="7" spans="1:30">
      <c r="C7" s="1" t="s">
        <v>9</v>
      </c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</row>
    <row r="8" spans="1:30">
      <c r="C8" s="1" t="s">
        <v>289</v>
      </c>
      <c r="D8" s="138"/>
      <c r="E8" s="138">
        <v>5600000</v>
      </c>
      <c r="F8" s="138">
        <v>5700000</v>
      </c>
      <c r="G8" s="138">
        <v>4200000</v>
      </c>
      <c r="H8" s="138">
        <v>400000</v>
      </c>
      <c r="I8" s="138">
        <v>4000000</v>
      </c>
      <c r="J8" s="138">
        <v>3800000</v>
      </c>
      <c r="K8" s="138">
        <v>4200000</v>
      </c>
      <c r="L8" s="138">
        <v>4300000</v>
      </c>
      <c r="M8" s="138">
        <v>4261000</v>
      </c>
      <c r="N8" s="138">
        <v>4920000</v>
      </c>
      <c r="O8" s="138">
        <v>5200000</v>
      </c>
    </row>
    <row r="9" spans="1:30">
      <c r="C9" s="1" t="s">
        <v>11</v>
      </c>
      <c r="D9" s="137">
        <f>SUM(D5:D8)</f>
        <v>0</v>
      </c>
      <c r="E9" s="137">
        <f t="shared" ref="E9:O9" si="1">SUM(E5:E8)</f>
        <v>9939928</v>
      </c>
      <c r="F9" s="137">
        <f t="shared" si="1"/>
        <v>9970834</v>
      </c>
      <c r="G9" s="137">
        <f t="shared" si="1"/>
        <v>8447364</v>
      </c>
      <c r="H9" s="137">
        <f t="shared" si="1"/>
        <v>4465658</v>
      </c>
      <c r="I9" s="137">
        <f t="shared" si="1"/>
        <v>7982710</v>
      </c>
      <c r="J9" s="137">
        <f t="shared" si="1"/>
        <v>7658553</v>
      </c>
      <c r="K9" s="137">
        <f t="shared" ref="K9" si="2">SUM(K5:K8)</f>
        <v>7840141</v>
      </c>
      <c r="L9" s="137">
        <f t="shared" si="1"/>
        <v>7786394</v>
      </c>
      <c r="M9" s="137">
        <f t="shared" si="1"/>
        <v>7516779</v>
      </c>
      <c r="N9" s="137">
        <f t="shared" si="1"/>
        <v>8173108</v>
      </c>
      <c r="O9" s="137">
        <f t="shared" si="1"/>
        <v>8257358</v>
      </c>
    </row>
    <row r="10" spans="1:30"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</row>
    <row r="11" spans="1:30">
      <c r="C11" s="1" t="s">
        <v>12</v>
      </c>
      <c r="D11" s="365">
        <f>+E8/E31</f>
        <v>0.52250849986036896</v>
      </c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</row>
    <row r="12" spans="1:30">
      <c r="A12">
        <v>100</v>
      </c>
      <c r="B12">
        <v>1000</v>
      </c>
      <c r="C12" s="1" t="s">
        <v>13</v>
      </c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</row>
    <row r="13" spans="1:30">
      <c r="A13">
        <v>200</v>
      </c>
      <c r="B13">
        <v>1000</v>
      </c>
      <c r="C13" s="1" t="s">
        <v>14</v>
      </c>
      <c r="D13" s="137"/>
      <c r="E13" s="137">
        <v>10586857</v>
      </c>
      <c r="F13" s="137">
        <f>8207961+1599257+414814</f>
        <v>10222032</v>
      </c>
      <c r="G13" s="137">
        <v>8528241</v>
      </c>
      <c r="H13" s="137">
        <v>4573477</v>
      </c>
      <c r="I13" s="137">
        <v>7643995</v>
      </c>
      <c r="J13" s="137">
        <v>8007118</v>
      </c>
      <c r="K13" s="137">
        <v>7573758</v>
      </c>
      <c r="L13" s="137">
        <v>7386753</v>
      </c>
      <c r="M13" s="137">
        <v>7254182</v>
      </c>
      <c r="N13" s="137">
        <v>8133290</v>
      </c>
      <c r="O13" s="137">
        <v>7800489</v>
      </c>
    </row>
    <row r="14" spans="1:30">
      <c r="A14">
        <v>300</v>
      </c>
      <c r="B14">
        <v>1000</v>
      </c>
      <c r="C14" s="1" t="s">
        <v>15</v>
      </c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</row>
    <row r="15" spans="1:30">
      <c r="A15">
        <v>600</v>
      </c>
      <c r="B15">
        <v>1000</v>
      </c>
      <c r="C15" s="1" t="s">
        <v>16</v>
      </c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</row>
    <row r="16" spans="1:30">
      <c r="A16">
        <v>900</v>
      </c>
      <c r="B16">
        <v>1000</v>
      </c>
      <c r="C16" s="1" t="s">
        <v>17</v>
      </c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</row>
    <row r="17" spans="1:15">
      <c r="A17">
        <v>400</v>
      </c>
      <c r="B17">
        <v>1000</v>
      </c>
      <c r="C17" s="1" t="s">
        <v>18</v>
      </c>
      <c r="D17" s="137"/>
      <c r="E17" s="137">
        <v>130672</v>
      </c>
      <c r="F17" s="137">
        <v>326</v>
      </c>
      <c r="G17" s="137">
        <v>48</v>
      </c>
      <c r="H17" s="137">
        <v>317</v>
      </c>
      <c r="I17" s="137">
        <v>43914</v>
      </c>
      <c r="J17" s="137">
        <v>61671</v>
      </c>
      <c r="K17" s="137">
        <v>107691</v>
      </c>
      <c r="L17" s="137">
        <v>136770</v>
      </c>
      <c r="M17" s="137">
        <v>268469</v>
      </c>
      <c r="N17" s="137">
        <v>259030</v>
      </c>
      <c r="O17" s="137">
        <v>336749</v>
      </c>
    </row>
    <row r="18" spans="1:15">
      <c r="B18">
        <v>3000</v>
      </c>
      <c r="C18" s="1" t="s">
        <v>19</v>
      </c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</row>
    <row r="19" spans="1:15">
      <c r="B19">
        <v>2100</v>
      </c>
      <c r="C19" s="1" t="s">
        <v>20</v>
      </c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</row>
    <row r="20" spans="1:15">
      <c r="B20">
        <v>2200</v>
      </c>
      <c r="C20" s="1" t="s">
        <v>21</v>
      </c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</row>
    <row r="21" spans="1:15">
      <c r="B21">
        <v>2300</v>
      </c>
      <c r="C21" s="1" t="s">
        <v>22</v>
      </c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</row>
    <row r="22" spans="1:15">
      <c r="B22">
        <v>2400</v>
      </c>
      <c r="C22" s="1" t="s">
        <v>23</v>
      </c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</row>
    <row r="23" spans="1:15">
      <c r="B23">
        <v>2500</v>
      </c>
      <c r="C23" s="1" t="s">
        <v>24</v>
      </c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</row>
    <row r="24" spans="1:15">
      <c r="B24">
        <v>2600</v>
      </c>
      <c r="C24" s="1" t="s">
        <v>25</v>
      </c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</row>
    <row r="25" spans="1:15">
      <c r="B25">
        <v>2700</v>
      </c>
      <c r="C25" s="1" t="s">
        <v>26</v>
      </c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</row>
    <row r="26" spans="1:15">
      <c r="B26">
        <v>2900</v>
      </c>
      <c r="C26" s="1" t="s">
        <v>27</v>
      </c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</row>
    <row r="27" spans="1:15">
      <c r="B27">
        <v>4000</v>
      </c>
      <c r="C27" s="1" t="s">
        <v>28</v>
      </c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</row>
    <row r="28" spans="1:15">
      <c r="B28">
        <v>8000</v>
      </c>
      <c r="C28" s="1" t="s">
        <v>29</v>
      </c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</row>
    <row r="29" spans="1:15">
      <c r="B29">
        <v>9000</v>
      </c>
      <c r="C29" s="1" t="s">
        <v>30</v>
      </c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</row>
    <row r="30" spans="1:15">
      <c r="C30" s="1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</row>
    <row r="31" spans="1:15">
      <c r="C31" s="1" t="s">
        <v>31</v>
      </c>
      <c r="D31" s="137">
        <f>SUM(D11:D30)</f>
        <v>0.52250849986036896</v>
      </c>
      <c r="E31" s="137">
        <f t="shared" ref="E31:O31" si="3">SUM(E11:E30)</f>
        <v>10717529</v>
      </c>
      <c r="F31" s="137">
        <f t="shared" si="3"/>
        <v>10222358</v>
      </c>
      <c r="G31" s="137">
        <f t="shared" si="3"/>
        <v>8528289</v>
      </c>
      <c r="H31" s="137">
        <f t="shared" si="3"/>
        <v>4573794</v>
      </c>
      <c r="I31" s="137">
        <f t="shared" si="3"/>
        <v>7687909</v>
      </c>
      <c r="J31" s="137">
        <f t="shared" si="3"/>
        <v>8068789</v>
      </c>
      <c r="K31" s="137">
        <f t="shared" ref="K31" si="4">SUM(K11:K30)</f>
        <v>7681449</v>
      </c>
      <c r="L31" s="137">
        <f t="shared" si="3"/>
        <v>7523523</v>
      </c>
      <c r="M31" s="137">
        <f t="shared" si="3"/>
        <v>7522651</v>
      </c>
      <c r="N31" s="137">
        <f t="shared" si="3"/>
        <v>8392320</v>
      </c>
      <c r="O31" s="137">
        <f t="shared" si="3"/>
        <v>8137238</v>
      </c>
    </row>
    <row r="32" spans="1:15"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</row>
    <row r="33" spans="3:15">
      <c r="C33" s="1" t="s">
        <v>32</v>
      </c>
      <c r="D33" s="137">
        <f>+D9-D31</f>
        <v>-0.52250849986036896</v>
      </c>
      <c r="E33" s="137">
        <f t="shared" ref="E33:O33" si="5">+E9-E31</f>
        <v>-777601</v>
      </c>
      <c r="F33" s="137">
        <f t="shared" si="5"/>
        <v>-251524</v>
      </c>
      <c r="G33" s="137">
        <f t="shared" si="5"/>
        <v>-80925</v>
      </c>
      <c r="H33" s="137">
        <f t="shared" si="5"/>
        <v>-108136</v>
      </c>
      <c r="I33" s="137">
        <f t="shared" si="5"/>
        <v>294801</v>
      </c>
      <c r="J33" s="137">
        <f t="shared" si="5"/>
        <v>-410236</v>
      </c>
      <c r="K33" s="137">
        <f t="shared" ref="K33" si="6">+K9-K31</f>
        <v>158692</v>
      </c>
      <c r="L33" s="137">
        <f t="shared" si="5"/>
        <v>262871</v>
      </c>
      <c r="M33" s="137">
        <f t="shared" si="5"/>
        <v>-5872</v>
      </c>
      <c r="N33" s="137">
        <f t="shared" si="5"/>
        <v>-219212</v>
      </c>
      <c r="O33" s="137">
        <f t="shared" si="5"/>
        <v>120120</v>
      </c>
    </row>
    <row r="34" spans="3:15"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</row>
    <row r="35" spans="3:15">
      <c r="C35" s="6" t="s">
        <v>234</v>
      </c>
      <c r="D35" s="137"/>
      <c r="E35" s="137">
        <f>+F35+E33</f>
        <v>-476339</v>
      </c>
      <c r="F35" s="137">
        <f t="shared" ref="F35:N35" si="7">+G35+F33</f>
        <v>301262</v>
      </c>
      <c r="G35" s="137">
        <f t="shared" si="7"/>
        <v>552786</v>
      </c>
      <c r="H35" s="137">
        <f>+I35+H33</f>
        <v>633711</v>
      </c>
      <c r="I35" s="137">
        <f t="shared" si="7"/>
        <v>741847</v>
      </c>
      <c r="J35" s="137">
        <f t="shared" si="7"/>
        <v>447046</v>
      </c>
      <c r="K35" s="137">
        <f t="shared" ref="K35" si="8">+L35+K33</f>
        <v>857282</v>
      </c>
      <c r="L35" s="137">
        <f t="shared" si="7"/>
        <v>698590</v>
      </c>
      <c r="M35" s="137">
        <f t="shared" si="7"/>
        <v>435719</v>
      </c>
      <c r="N35" s="137">
        <f t="shared" si="7"/>
        <v>441591</v>
      </c>
      <c r="O35" s="137">
        <v>660803</v>
      </c>
    </row>
    <row r="36" spans="3:15">
      <c r="C36" s="1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</row>
    <row r="37" spans="3:15">
      <c r="C37" s="1" t="s">
        <v>34</v>
      </c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</row>
    <row r="38" spans="3:15">
      <c r="C38" s="1" t="s">
        <v>35</v>
      </c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</row>
    <row r="39" spans="3:15"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</row>
    <row r="40" spans="3:15"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</row>
    <row r="41" spans="3:15"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</row>
    <row r="42" spans="3:15"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</row>
    <row r="43" spans="3:15">
      <c r="D43" s="137"/>
      <c r="E43" s="137">
        <f>+E35+'FY2026-FY2015'!I36</f>
        <v>-1425250</v>
      </c>
      <c r="F43" s="137"/>
      <c r="G43" s="137"/>
      <c r="H43" s="137"/>
      <c r="I43" s="137"/>
      <c r="J43" s="137"/>
      <c r="K43" s="137"/>
      <c r="L43" s="137"/>
      <c r="M43" s="137"/>
      <c r="N43" s="137"/>
      <c r="O43" s="137"/>
    </row>
    <row r="44" spans="3:15"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</row>
    <row r="45" spans="3:15">
      <c r="D45" s="137"/>
      <c r="E45" s="137">
        <v>-3484784.76</v>
      </c>
      <c r="F45" s="137"/>
      <c r="G45" s="137"/>
      <c r="H45" s="137"/>
      <c r="I45" s="137"/>
      <c r="J45" s="137"/>
      <c r="K45" s="137"/>
      <c r="L45" s="137"/>
      <c r="M45" s="137"/>
      <c r="N45" s="137"/>
      <c r="O45" s="137"/>
    </row>
    <row r="46" spans="3:15"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</row>
    <row r="47" spans="3:15">
      <c r="D47" s="137"/>
      <c r="E47" s="137">
        <f>+E43+E45</f>
        <v>-4910034.76</v>
      </c>
      <c r="F47" s="137"/>
      <c r="G47" s="137"/>
      <c r="H47" s="137"/>
      <c r="I47" s="137"/>
      <c r="J47" s="137"/>
      <c r="K47" s="137"/>
      <c r="L47" s="137"/>
      <c r="M47" s="137"/>
      <c r="N47" s="137"/>
      <c r="O47" s="137"/>
    </row>
    <row r="48" spans="3:15"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8F2B7-5073-4EBF-B26E-DE767D2FB24C}">
  <dimension ref="A1:AD48"/>
  <sheetViews>
    <sheetView workbookViewId="0">
      <selection sqref="A1:XFD1048576"/>
    </sheetView>
  </sheetViews>
  <sheetFormatPr defaultRowHeight="12.75"/>
  <cols>
    <col min="1" max="1" width="5" customWidth="1"/>
    <col min="2" max="2" width="6.42578125" customWidth="1"/>
    <col min="3" max="3" width="31.28515625" customWidth="1"/>
    <col min="6" max="6" width="11.28515625" bestFit="1" customWidth="1"/>
  </cols>
  <sheetData>
    <row r="1" spans="1:30">
      <c r="A1" s="1"/>
      <c r="B1" s="1"/>
      <c r="C1" s="136" t="s">
        <v>260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30">
      <c r="D2" s="3" t="s">
        <v>1</v>
      </c>
      <c r="E2" s="3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</row>
    <row r="3" spans="1:30" ht="42" customHeight="1">
      <c r="A3" s="4"/>
      <c r="B3" s="4"/>
      <c r="C3" s="134" t="s">
        <v>2</v>
      </c>
      <c r="D3" s="134" t="s">
        <v>3</v>
      </c>
      <c r="E3" s="134" t="s">
        <v>4</v>
      </c>
      <c r="F3" s="134" t="s">
        <v>5</v>
      </c>
      <c r="G3" s="134">
        <f t="shared" ref="G3:O3" si="0">F3-1</f>
        <v>2023</v>
      </c>
      <c r="H3" s="134">
        <f t="shared" si="0"/>
        <v>2022</v>
      </c>
      <c r="I3" s="134">
        <f t="shared" si="0"/>
        <v>2021</v>
      </c>
      <c r="J3" s="134">
        <f t="shared" si="0"/>
        <v>2020</v>
      </c>
      <c r="K3" s="134">
        <f t="shared" si="0"/>
        <v>2019</v>
      </c>
      <c r="L3" s="134">
        <f t="shared" si="0"/>
        <v>2018</v>
      </c>
      <c r="M3" s="134">
        <f t="shared" si="0"/>
        <v>2017</v>
      </c>
      <c r="N3" s="134">
        <f t="shared" si="0"/>
        <v>2016</v>
      </c>
      <c r="O3" s="134">
        <f t="shared" si="0"/>
        <v>2015</v>
      </c>
      <c r="P3" s="135" t="s">
        <v>253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>
      <c r="C4" s="1" t="s">
        <v>6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</row>
    <row r="5" spans="1:30">
      <c r="C5" s="1" t="s">
        <v>7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</row>
    <row r="6" spans="1:30">
      <c r="C6" s="1" t="s">
        <v>8</v>
      </c>
      <c r="D6" s="137">
        <v>687050</v>
      </c>
      <c r="E6" s="137">
        <v>715932</v>
      </c>
      <c r="F6" s="137">
        <v>681857</v>
      </c>
      <c r="G6" s="137">
        <v>371568</v>
      </c>
      <c r="H6" s="137">
        <v>371244</v>
      </c>
      <c r="I6" s="137"/>
      <c r="J6" s="137"/>
      <c r="K6" s="137"/>
      <c r="L6" s="137"/>
      <c r="M6" s="137"/>
      <c r="N6" s="137"/>
      <c r="O6" s="137"/>
    </row>
    <row r="7" spans="1:30">
      <c r="C7" s="1" t="s">
        <v>9</v>
      </c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</row>
    <row r="8" spans="1:30">
      <c r="C8" s="1" t="s">
        <v>10</v>
      </c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</row>
    <row r="9" spans="1:30">
      <c r="C9" s="1" t="s">
        <v>11</v>
      </c>
      <c r="D9" s="137">
        <f>SUM(D5:D8)</f>
        <v>687050</v>
      </c>
      <c r="E9" s="137">
        <f t="shared" ref="E9:O9" si="1">SUM(E5:E8)</f>
        <v>715932</v>
      </c>
      <c r="F9" s="137">
        <f t="shared" si="1"/>
        <v>681857</v>
      </c>
      <c r="G9" s="137">
        <f t="shared" si="1"/>
        <v>371568</v>
      </c>
      <c r="H9" s="137">
        <f t="shared" si="1"/>
        <v>371244</v>
      </c>
      <c r="I9" s="137">
        <f t="shared" si="1"/>
        <v>0</v>
      </c>
      <c r="J9" s="137">
        <f t="shared" si="1"/>
        <v>0</v>
      </c>
      <c r="K9" s="137">
        <f t="shared" si="1"/>
        <v>0</v>
      </c>
      <c r="L9" s="137">
        <f t="shared" si="1"/>
        <v>0</v>
      </c>
      <c r="M9" s="137">
        <f t="shared" si="1"/>
        <v>0</v>
      </c>
      <c r="N9" s="137">
        <f t="shared" si="1"/>
        <v>0</v>
      </c>
      <c r="O9" s="137">
        <f t="shared" si="1"/>
        <v>0</v>
      </c>
    </row>
    <row r="10" spans="1:30"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</row>
    <row r="11" spans="1:30">
      <c r="C11" s="1" t="s">
        <v>12</v>
      </c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</row>
    <row r="12" spans="1:30">
      <c r="A12">
        <v>100</v>
      </c>
      <c r="B12">
        <v>1000</v>
      </c>
      <c r="C12" s="1" t="s">
        <v>13</v>
      </c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</row>
    <row r="13" spans="1:30">
      <c r="A13">
        <v>200</v>
      </c>
      <c r="B13">
        <v>1000</v>
      </c>
      <c r="C13" s="1" t="s">
        <v>14</v>
      </c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</row>
    <row r="14" spans="1:30">
      <c r="A14">
        <v>300</v>
      </c>
      <c r="B14">
        <v>1000</v>
      </c>
      <c r="C14" s="1" t="s">
        <v>15</v>
      </c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</row>
    <row r="15" spans="1:30">
      <c r="A15">
        <v>600</v>
      </c>
      <c r="B15">
        <v>1000</v>
      </c>
      <c r="C15" s="1" t="s">
        <v>16</v>
      </c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</row>
    <row r="16" spans="1:30">
      <c r="A16">
        <v>900</v>
      </c>
      <c r="B16">
        <v>1000</v>
      </c>
      <c r="C16" s="1" t="s">
        <v>17</v>
      </c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</row>
    <row r="17" spans="1:15">
      <c r="A17">
        <v>400</v>
      </c>
      <c r="B17">
        <v>1000</v>
      </c>
      <c r="C17" s="1" t="s">
        <v>18</v>
      </c>
      <c r="D17" s="137">
        <v>687050</v>
      </c>
      <c r="E17" s="137">
        <v>715932</v>
      </c>
      <c r="F17" s="137">
        <v>708326</v>
      </c>
      <c r="G17" s="137">
        <v>355443</v>
      </c>
      <c r="H17" s="137">
        <v>360900</v>
      </c>
      <c r="I17" s="137"/>
      <c r="J17" s="137"/>
      <c r="K17" s="137"/>
      <c r="L17" s="137"/>
      <c r="M17" s="137"/>
      <c r="N17" s="137"/>
      <c r="O17" s="137"/>
    </row>
    <row r="18" spans="1:15">
      <c r="B18">
        <v>3000</v>
      </c>
      <c r="C18" s="1" t="s">
        <v>19</v>
      </c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</row>
    <row r="19" spans="1:15">
      <c r="B19">
        <v>2100</v>
      </c>
      <c r="C19" s="1" t="s">
        <v>20</v>
      </c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</row>
    <row r="20" spans="1:15">
      <c r="B20">
        <v>2200</v>
      </c>
      <c r="C20" s="1" t="s">
        <v>21</v>
      </c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</row>
    <row r="21" spans="1:15">
      <c r="B21">
        <v>2300</v>
      </c>
      <c r="C21" s="1" t="s">
        <v>22</v>
      </c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</row>
    <row r="22" spans="1:15">
      <c r="B22">
        <v>2400</v>
      </c>
      <c r="C22" s="1" t="s">
        <v>23</v>
      </c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</row>
    <row r="23" spans="1:15">
      <c r="B23">
        <v>2500</v>
      </c>
      <c r="C23" s="1" t="s">
        <v>24</v>
      </c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</row>
    <row r="24" spans="1:15">
      <c r="B24">
        <v>2600</v>
      </c>
      <c r="C24" s="1" t="s">
        <v>25</v>
      </c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</row>
    <row r="25" spans="1:15">
      <c r="B25">
        <v>2700</v>
      </c>
      <c r="C25" s="1" t="s">
        <v>26</v>
      </c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</row>
    <row r="26" spans="1:15">
      <c r="B26">
        <v>2900</v>
      </c>
      <c r="C26" s="1" t="s">
        <v>27</v>
      </c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</row>
    <row r="27" spans="1:15">
      <c r="B27">
        <v>4000</v>
      </c>
      <c r="C27" s="1" t="s">
        <v>28</v>
      </c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</row>
    <row r="28" spans="1:15">
      <c r="B28">
        <v>8000</v>
      </c>
      <c r="C28" s="1" t="s">
        <v>29</v>
      </c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</row>
    <row r="29" spans="1:15">
      <c r="B29">
        <v>9000</v>
      </c>
      <c r="C29" s="1" t="s">
        <v>30</v>
      </c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</row>
    <row r="30" spans="1:15">
      <c r="C30" s="1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</row>
    <row r="31" spans="1:15">
      <c r="C31" s="1" t="s">
        <v>31</v>
      </c>
      <c r="D31" s="137">
        <f>SUM(D11:D30)</f>
        <v>687050</v>
      </c>
      <c r="E31" s="137">
        <f t="shared" ref="E31:O31" si="2">SUM(E11:E30)</f>
        <v>715932</v>
      </c>
      <c r="F31" s="137">
        <f t="shared" si="2"/>
        <v>708326</v>
      </c>
      <c r="G31" s="137">
        <f t="shared" si="2"/>
        <v>355443</v>
      </c>
      <c r="H31" s="137">
        <f t="shared" si="2"/>
        <v>360900</v>
      </c>
      <c r="I31" s="137">
        <f t="shared" si="2"/>
        <v>0</v>
      </c>
      <c r="J31" s="137">
        <f t="shared" si="2"/>
        <v>0</v>
      </c>
      <c r="K31" s="137">
        <f t="shared" si="2"/>
        <v>0</v>
      </c>
      <c r="L31" s="137">
        <f t="shared" si="2"/>
        <v>0</v>
      </c>
      <c r="M31" s="137">
        <f t="shared" si="2"/>
        <v>0</v>
      </c>
      <c r="N31" s="137">
        <f t="shared" si="2"/>
        <v>0</v>
      </c>
      <c r="O31" s="137">
        <f t="shared" si="2"/>
        <v>0</v>
      </c>
    </row>
    <row r="32" spans="1:15"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</row>
    <row r="33" spans="3:15">
      <c r="C33" s="1" t="s">
        <v>32</v>
      </c>
      <c r="D33" s="137">
        <f>+D9-D31</f>
        <v>0</v>
      </c>
      <c r="E33" s="137">
        <f t="shared" ref="E33:O33" si="3">+E9-E31</f>
        <v>0</v>
      </c>
      <c r="F33" s="137">
        <f t="shared" si="3"/>
        <v>-26469</v>
      </c>
      <c r="G33" s="137">
        <f t="shared" si="3"/>
        <v>16125</v>
      </c>
      <c r="H33" s="137">
        <f t="shared" si="3"/>
        <v>10344</v>
      </c>
      <c r="I33" s="137">
        <f t="shared" si="3"/>
        <v>0</v>
      </c>
      <c r="J33" s="137">
        <f t="shared" si="3"/>
        <v>0</v>
      </c>
      <c r="K33" s="137">
        <f t="shared" si="3"/>
        <v>0</v>
      </c>
      <c r="L33" s="137">
        <f t="shared" si="3"/>
        <v>0</v>
      </c>
      <c r="M33" s="137">
        <f t="shared" si="3"/>
        <v>0</v>
      </c>
      <c r="N33" s="137">
        <f t="shared" si="3"/>
        <v>0</v>
      </c>
      <c r="O33" s="137">
        <f t="shared" si="3"/>
        <v>0</v>
      </c>
    </row>
    <row r="34" spans="3:15"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</row>
    <row r="35" spans="3:15">
      <c r="C35" s="6" t="s">
        <v>33</v>
      </c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</row>
    <row r="36" spans="3:15">
      <c r="C36" s="1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</row>
    <row r="37" spans="3:15">
      <c r="C37" s="1" t="s">
        <v>34</v>
      </c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</row>
    <row r="38" spans="3:15">
      <c r="C38" s="1" t="s">
        <v>35</v>
      </c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</row>
    <row r="39" spans="3:15"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</row>
    <row r="40" spans="3:15"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</row>
    <row r="41" spans="3:15"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</row>
    <row r="42" spans="3:15"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</row>
    <row r="43" spans="3:15"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</row>
    <row r="44" spans="3:15"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</row>
    <row r="45" spans="3:15"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</row>
    <row r="46" spans="3:15"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</row>
    <row r="47" spans="3:15"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</row>
    <row r="48" spans="3:15"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A45FE-563D-4E68-96B6-143063F465EC}">
  <dimension ref="A1:AD48"/>
  <sheetViews>
    <sheetView workbookViewId="0">
      <selection activeCell="E16" sqref="E16"/>
    </sheetView>
  </sheetViews>
  <sheetFormatPr defaultRowHeight="12.75"/>
  <cols>
    <col min="1" max="1" width="5" customWidth="1"/>
    <col min="2" max="2" width="6.42578125" customWidth="1"/>
    <col min="3" max="3" width="31.28515625" customWidth="1"/>
    <col min="4" max="8" width="10.85546875" customWidth="1"/>
  </cols>
  <sheetData>
    <row r="1" spans="1:30">
      <c r="A1" s="1"/>
      <c r="B1" s="1"/>
      <c r="C1" s="136" t="s">
        <v>259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30">
      <c r="D2" s="3" t="s">
        <v>1</v>
      </c>
      <c r="E2" s="3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</row>
    <row r="3" spans="1:30" ht="42" customHeight="1">
      <c r="A3" s="139"/>
      <c r="B3" s="139"/>
      <c r="C3" s="140" t="s">
        <v>2</v>
      </c>
      <c r="D3" s="140" t="s">
        <v>3</v>
      </c>
      <c r="E3" s="140" t="s">
        <v>4</v>
      </c>
      <c r="F3" s="140" t="s">
        <v>5</v>
      </c>
      <c r="G3" s="140">
        <f t="shared" ref="G3:O3" si="0">F3-1</f>
        <v>2023</v>
      </c>
      <c r="H3" s="140">
        <f t="shared" si="0"/>
        <v>2022</v>
      </c>
      <c r="I3" s="140">
        <f t="shared" si="0"/>
        <v>2021</v>
      </c>
      <c r="J3" s="140">
        <f t="shared" si="0"/>
        <v>2020</v>
      </c>
      <c r="K3" s="140">
        <f t="shared" si="0"/>
        <v>2019</v>
      </c>
      <c r="L3" s="140">
        <f t="shared" si="0"/>
        <v>2018</v>
      </c>
      <c r="M3" s="140">
        <f t="shared" si="0"/>
        <v>2017</v>
      </c>
      <c r="N3" s="140">
        <f t="shared" si="0"/>
        <v>2016</v>
      </c>
      <c r="O3" s="140">
        <f t="shared" si="0"/>
        <v>2015</v>
      </c>
      <c r="P3" s="141" t="s">
        <v>253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>
      <c r="C4" s="1" t="s">
        <v>6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</row>
    <row r="5" spans="1:30">
      <c r="C5" s="1" t="s">
        <v>7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</row>
    <row r="6" spans="1:30">
      <c r="C6" s="1" t="s">
        <v>8</v>
      </c>
      <c r="D6" s="137">
        <v>477948</v>
      </c>
      <c r="E6" s="137">
        <v>563426</v>
      </c>
      <c r="F6" s="137">
        <v>536610</v>
      </c>
      <c r="G6" s="137">
        <v>156844</v>
      </c>
      <c r="H6" s="137">
        <v>156708</v>
      </c>
      <c r="I6" s="137"/>
      <c r="J6" s="137"/>
      <c r="K6" s="137"/>
      <c r="L6" s="137"/>
      <c r="M6" s="137"/>
      <c r="N6" s="137"/>
      <c r="O6" s="137"/>
    </row>
    <row r="7" spans="1:30">
      <c r="C7" s="1" t="s">
        <v>9</v>
      </c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</row>
    <row r="8" spans="1:30">
      <c r="C8" s="1" t="s">
        <v>10</v>
      </c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</row>
    <row r="9" spans="1:30">
      <c r="C9" s="1" t="s">
        <v>11</v>
      </c>
      <c r="D9" s="137">
        <f>SUM(D5:D8)</f>
        <v>477948</v>
      </c>
      <c r="E9" s="137">
        <f t="shared" ref="E9:O9" si="1">SUM(E5:E8)</f>
        <v>563426</v>
      </c>
      <c r="F9" s="137">
        <f t="shared" si="1"/>
        <v>536610</v>
      </c>
      <c r="G9" s="137">
        <f t="shared" si="1"/>
        <v>156844</v>
      </c>
      <c r="H9" s="137">
        <f t="shared" si="1"/>
        <v>156708</v>
      </c>
      <c r="I9" s="137">
        <f t="shared" si="1"/>
        <v>0</v>
      </c>
      <c r="J9" s="137">
        <f t="shared" si="1"/>
        <v>0</v>
      </c>
      <c r="K9" s="137">
        <f t="shared" si="1"/>
        <v>0</v>
      </c>
      <c r="L9" s="137">
        <f t="shared" si="1"/>
        <v>0</v>
      </c>
      <c r="M9" s="137">
        <f t="shared" si="1"/>
        <v>0</v>
      </c>
      <c r="N9" s="137">
        <f t="shared" si="1"/>
        <v>0</v>
      </c>
      <c r="O9" s="137">
        <f t="shared" si="1"/>
        <v>0</v>
      </c>
    </row>
    <row r="10" spans="1:30"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</row>
    <row r="11" spans="1:30">
      <c r="C11" s="1" t="s">
        <v>12</v>
      </c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</row>
    <row r="12" spans="1:30">
      <c r="A12">
        <v>100</v>
      </c>
      <c r="B12">
        <v>1000</v>
      </c>
      <c r="C12" s="1" t="s">
        <v>13</v>
      </c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</row>
    <row r="13" spans="1:30">
      <c r="A13">
        <v>200</v>
      </c>
      <c r="B13">
        <v>1000</v>
      </c>
      <c r="C13" s="1" t="s">
        <v>14</v>
      </c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</row>
    <row r="14" spans="1:30">
      <c r="A14">
        <v>300</v>
      </c>
      <c r="B14">
        <v>1000</v>
      </c>
      <c r="C14" s="1" t="s">
        <v>15</v>
      </c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</row>
    <row r="15" spans="1:30">
      <c r="A15">
        <v>600</v>
      </c>
      <c r="B15">
        <v>1000</v>
      </c>
      <c r="C15" s="1" t="s">
        <v>16</v>
      </c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</row>
    <row r="16" spans="1:30">
      <c r="A16">
        <v>900</v>
      </c>
      <c r="B16">
        <v>1000</v>
      </c>
      <c r="C16" s="1" t="s">
        <v>17</v>
      </c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</row>
    <row r="17" spans="1:15">
      <c r="A17">
        <v>400</v>
      </c>
      <c r="B17">
        <v>1000</v>
      </c>
      <c r="C17" s="1" t="s">
        <v>18</v>
      </c>
      <c r="D17" s="137">
        <v>477948</v>
      </c>
      <c r="E17" s="137">
        <v>563426</v>
      </c>
      <c r="F17" s="137">
        <v>536610</v>
      </c>
      <c r="G17" s="137">
        <v>156844</v>
      </c>
      <c r="H17" s="137">
        <v>156708</v>
      </c>
      <c r="I17" s="137"/>
      <c r="J17" s="137"/>
      <c r="K17" s="137"/>
      <c r="L17" s="137"/>
      <c r="M17" s="137"/>
      <c r="N17" s="137"/>
      <c r="O17" s="137"/>
    </row>
    <row r="18" spans="1:15">
      <c r="B18">
        <v>3000</v>
      </c>
      <c r="C18" s="1" t="s">
        <v>19</v>
      </c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</row>
    <row r="19" spans="1:15">
      <c r="B19">
        <v>2100</v>
      </c>
      <c r="C19" s="1" t="s">
        <v>20</v>
      </c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</row>
    <row r="20" spans="1:15">
      <c r="B20">
        <v>2200</v>
      </c>
      <c r="C20" s="1" t="s">
        <v>21</v>
      </c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</row>
    <row r="21" spans="1:15">
      <c r="B21">
        <v>2300</v>
      </c>
      <c r="C21" s="1" t="s">
        <v>22</v>
      </c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</row>
    <row r="22" spans="1:15">
      <c r="B22">
        <v>2400</v>
      </c>
      <c r="C22" s="1" t="s">
        <v>23</v>
      </c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</row>
    <row r="23" spans="1:15">
      <c r="B23">
        <v>2500</v>
      </c>
      <c r="C23" s="1" t="s">
        <v>24</v>
      </c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</row>
    <row r="24" spans="1:15">
      <c r="B24">
        <v>2600</v>
      </c>
      <c r="C24" s="1" t="s">
        <v>25</v>
      </c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</row>
    <row r="25" spans="1:15">
      <c r="B25">
        <v>2700</v>
      </c>
      <c r="C25" s="1" t="s">
        <v>26</v>
      </c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</row>
    <row r="26" spans="1:15">
      <c r="B26">
        <v>2900</v>
      </c>
      <c r="C26" s="1" t="s">
        <v>27</v>
      </c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</row>
    <row r="27" spans="1:15">
      <c r="B27">
        <v>4000</v>
      </c>
      <c r="C27" s="1" t="s">
        <v>28</v>
      </c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</row>
    <row r="28" spans="1:15">
      <c r="B28">
        <v>8000</v>
      </c>
      <c r="C28" s="1" t="s">
        <v>29</v>
      </c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</row>
    <row r="29" spans="1:15">
      <c r="B29">
        <v>9000</v>
      </c>
      <c r="C29" s="1" t="s">
        <v>30</v>
      </c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</row>
    <row r="30" spans="1:15">
      <c r="C30" s="1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</row>
    <row r="31" spans="1:15">
      <c r="C31" s="1" t="s">
        <v>31</v>
      </c>
      <c r="D31" s="137">
        <f>SUM(D11:D30)</f>
        <v>477948</v>
      </c>
      <c r="E31" s="137">
        <f t="shared" ref="E31:O31" si="2">SUM(E11:E30)</f>
        <v>563426</v>
      </c>
      <c r="F31" s="137">
        <f t="shared" si="2"/>
        <v>536610</v>
      </c>
      <c r="G31" s="137">
        <f t="shared" si="2"/>
        <v>156844</v>
      </c>
      <c r="H31" s="137">
        <f t="shared" si="2"/>
        <v>156708</v>
      </c>
      <c r="I31" s="137">
        <f t="shared" si="2"/>
        <v>0</v>
      </c>
      <c r="J31" s="137">
        <f t="shared" si="2"/>
        <v>0</v>
      </c>
      <c r="K31" s="137">
        <f t="shared" si="2"/>
        <v>0</v>
      </c>
      <c r="L31" s="137">
        <f t="shared" si="2"/>
        <v>0</v>
      </c>
      <c r="M31" s="137">
        <f t="shared" si="2"/>
        <v>0</v>
      </c>
      <c r="N31" s="137">
        <f t="shared" si="2"/>
        <v>0</v>
      </c>
      <c r="O31" s="137">
        <f t="shared" si="2"/>
        <v>0</v>
      </c>
    </row>
    <row r="32" spans="1:15"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</row>
    <row r="33" spans="3:15">
      <c r="C33" s="1" t="s">
        <v>32</v>
      </c>
      <c r="D33" s="137">
        <f>+D9-D31</f>
        <v>0</v>
      </c>
      <c r="E33" s="137">
        <f t="shared" ref="E33:O33" si="3">+E9-E31</f>
        <v>0</v>
      </c>
      <c r="F33" s="137">
        <f t="shared" si="3"/>
        <v>0</v>
      </c>
      <c r="G33" s="137">
        <f t="shared" si="3"/>
        <v>0</v>
      </c>
      <c r="H33" s="137">
        <f t="shared" si="3"/>
        <v>0</v>
      </c>
      <c r="I33" s="137">
        <f t="shared" si="3"/>
        <v>0</v>
      </c>
      <c r="J33" s="137">
        <f t="shared" si="3"/>
        <v>0</v>
      </c>
      <c r="K33" s="137">
        <f t="shared" si="3"/>
        <v>0</v>
      </c>
      <c r="L33" s="137">
        <f t="shared" si="3"/>
        <v>0</v>
      </c>
      <c r="M33" s="137">
        <f t="shared" si="3"/>
        <v>0</v>
      </c>
      <c r="N33" s="137">
        <f t="shared" si="3"/>
        <v>0</v>
      </c>
      <c r="O33" s="137">
        <f t="shared" si="3"/>
        <v>0</v>
      </c>
    </row>
    <row r="34" spans="3:15"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</row>
    <row r="35" spans="3:15">
      <c r="C35" s="6" t="s">
        <v>33</v>
      </c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</row>
    <row r="36" spans="3:15">
      <c r="C36" s="1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</row>
    <row r="37" spans="3:15">
      <c r="C37" s="1" t="s">
        <v>34</v>
      </c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</row>
    <row r="38" spans="3:15">
      <c r="C38" s="1" t="s">
        <v>35</v>
      </c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</row>
    <row r="39" spans="3:15"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</row>
    <row r="40" spans="3:15"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</row>
    <row r="41" spans="3:15"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</row>
    <row r="42" spans="3:15"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</row>
    <row r="43" spans="3:15"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</row>
    <row r="44" spans="3:15"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</row>
    <row r="45" spans="3:15"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</row>
    <row r="46" spans="3:15"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</row>
    <row r="47" spans="3:15"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</row>
    <row r="48" spans="3:15"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2:AJ23"/>
  <sheetViews>
    <sheetView workbookViewId="0"/>
  </sheetViews>
  <sheetFormatPr defaultColWidth="12.5703125" defaultRowHeight="15.75" customHeight="1"/>
  <cols>
    <col min="1" max="1" width="20.42578125" customWidth="1"/>
    <col min="4" max="4" width="14.28515625" customWidth="1"/>
    <col min="6" max="6" width="3.7109375" customWidth="1"/>
    <col min="9" max="9" width="14.28515625" customWidth="1"/>
    <col min="13" max="13" width="14.28515625" customWidth="1"/>
    <col min="17" max="17" width="13.5703125" customWidth="1"/>
  </cols>
  <sheetData>
    <row r="2" spans="1:36">
      <c r="A2" s="1" t="s">
        <v>100</v>
      </c>
    </row>
    <row r="3" spans="1:36">
      <c r="A3" s="20" t="s">
        <v>0</v>
      </c>
      <c r="B3" s="20" t="s">
        <v>101</v>
      </c>
      <c r="C3" s="20" t="s">
        <v>102</v>
      </c>
      <c r="D3" s="20" t="s">
        <v>103</v>
      </c>
      <c r="E3" s="20" t="s">
        <v>104</v>
      </c>
      <c r="F3" s="20"/>
      <c r="G3" s="20" t="s">
        <v>105</v>
      </c>
      <c r="H3" s="20" t="s">
        <v>102</v>
      </c>
      <c r="I3" s="20" t="s">
        <v>103</v>
      </c>
      <c r="J3" s="20" t="s">
        <v>104</v>
      </c>
      <c r="K3" s="20" t="s">
        <v>106</v>
      </c>
      <c r="L3" s="20" t="s">
        <v>107</v>
      </c>
      <c r="M3" s="20" t="s">
        <v>103</v>
      </c>
      <c r="N3" s="20" t="s">
        <v>104</v>
      </c>
      <c r="O3" s="20" t="s">
        <v>108</v>
      </c>
      <c r="P3" s="20" t="s">
        <v>107</v>
      </c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</row>
    <row r="4" spans="1:36">
      <c r="A4" s="1" t="s">
        <v>109</v>
      </c>
      <c r="B4" s="1">
        <v>281.77999999999997</v>
      </c>
      <c r="C4" s="1">
        <v>17580315</v>
      </c>
      <c r="D4" s="1">
        <v>5.5</v>
      </c>
      <c r="E4" s="1">
        <v>273061</v>
      </c>
      <c r="G4" s="1">
        <v>275.5</v>
      </c>
      <c r="H4" s="1">
        <v>19469885</v>
      </c>
      <c r="I4" s="1">
        <v>11.6</v>
      </c>
      <c r="J4" s="1">
        <v>699892</v>
      </c>
      <c r="K4" s="1">
        <v>275</v>
      </c>
      <c r="L4" s="1">
        <v>19981713</v>
      </c>
      <c r="M4" s="1">
        <v>5</v>
      </c>
      <c r="N4" s="1">
        <v>224212</v>
      </c>
      <c r="O4" s="1">
        <v>264</v>
      </c>
      <c r="P4" s="26">
        <v>18170653</v>
      </c>
    </row>
    <row r="5" spans="1:36">
      <c r="A5" s="1" t="s">
        <v>110</v>
      </c>
      <c r="B5" s="1">
        <v>147.88999999999999</v>
      </c>
      <c r="C5" s="1">
        <v>6207938</v>
      </c>
      <c r="D5" s="1">
        <v>6.44</v>
      </c>
      <c r="E5" s="1">
        <v>268775</v>
      </c>
      <c r="G5" s="1">
        <v>151.19999999999999</v>
      </c>
      <c r="H5" s="1">
        <v>6877151</v>
      </c>
      <c r="I5" s="1">
        <v>4.1900000000000004</v>
      </c>
      <c r="J5" s="1">
        <v>119334</v>
      </c>
      <c r="K5" s="1">
        <v>143.32</v>
      </c>
      <c r="L5" s="1">
        <v>6977234</v>
      </c>
      <c r="M5" s="1">
        <v>2.44</v>
      </c>
      <c r="N5" s="1">
        <v>107131</v>
      </c>
      <c r="O5" s="1">
        <v>135</v>
      </c>
      <c r="P5" s="26">
        <v>7056323</v>
      </c>
    </row>
    <row r="6" spans="1:36">
      <c r="A6" s="1" t="s">
        <v>111</v>
      </c>
      <c r="B6" s="1">
        <v>32.130000000000003</v>
      </c>
      <c r="C6" s="1">
        <v>1048923</v>
      </c>
      <c r="D6" s="1">
        <v>2.5</v>
      </c>
      <c r="E6" s="1">
        <v>82596</v>
      </c>
      <c r="G6" s="1">
        <v>30.875</v>
      </c>
      <c r="H6" s="1">
        <v>1309042</v>
      </c>
      <c r="I6" s="1">
        <v>1.75</v>
      </c>
      <c r="J6" s="1">
        <v>65621</v>
      </c>
      <c r="K6" s="1">
        <v>28.13</v>
      </c>
      <c r="L6" s="1">
        <v>1337086</v>
      </c>
      <c r="M6" s="1">
        <v>0.88</v>
      </c>
      <c r="N6" s="1">
        <v>33013</v>
      </c>
      <c r="O6" s="1">
        <v>28.13</v>
      </c>
      <c r="P6" s="26">
        <v>1133662</v>
      </c>
    </row>
    <row r="7" spans="1:36">
      <c r="A7" s="1" t="s">
        <v>112</v>
      </c>
      <c r="B7" s="1">
        <v>13</v>
      </c>
      <c r="C7" s="1">
        <v>863749</v>
      </c>
      <c r="D7" s="1">
        <v>0</v>
      </c>
      <c r="E7" s="1">
        <v>0</v>
      </c>
      <c r="G7" s="1">
        <v>13</v>
      </c>
      <c r="H7" s="1">
        <v>845725</v>
      </c>
      <c r="I7" s="1">
        <v>0</v>
      </c>
      <c r="J7" s="1">
        <v>0</v>
      </c>
      <c r="K7" s="1">
        <v>14</v>
      </c>
      <c r="L7" s="1">
        <v>1226378</v>
      </c>
      <c r="M7" s="1">
        <v>0</v>
      </c>
      <c r="N7" s="1">
        <v>0</v>
      </c>
      <c r="O7" s="1">
        <v>13</v>
      </c>
      <c r="P7" s="26">
        <v>1158536</v>
      </c>
    </row>
    <row r="8" spans="1:36">
      <c r="A8" s="1" t="s">
        <v>113</v>
      </c>
      <c r="B8" s="1">
        <v>26.5</v>
      </c>
      <c r="C8" s="1">
        <v>2709827</v>
      </c>
      <c r="D8" s="1">
        <v>1</v>
      </c>
      <c r="E8" s="1">
        <v>78008</v>
      </c>
      <c r="G8" s="1">
        <v>27.5</v>
      </c>
      <c r="H8" s="1">
        <v>3255903</v>
      </c>
      <c r="I8" s="1">
        <v>2</v>
      </c>
      <c r="J8" s="1">
        <v>205954</v>
      </c>
      <c r="K8" s="1">
        <v>26.9</v>
      </c>
      <c r="L8" s="1">
        <v>3318222</v>
      </c>
      <c r="M8" s="1">
        <v>1</v>
      </c>
      <c r="N8" s="1">
        <v>78008</v>
      </c>
      <c r="O8" s="1">
        <v>26.4</v>
      </c>
      <c r="P8" s="26">
        <v>3316526</v>
      </c>
    </row>
    <row r="10" spans="1:36">
      <c r="A10" s="1" t="s">
        <v>114</v>
      </c>
    </row>
    <row r="11" spans="1:36">
      <c r="A11" s="1" t="s">
        <v>109</v>
      </c>
      <c r="B11" s="1">
        <v>51.63</v>
      </c>
      <c r="C11" s="1">
        <v>2486424</v>
      </c>
      <c r="D11" s="1">
        <v>5.5</v>
      </c>
      <c r="E11" s="1">
        <v>273061</v>
      </c>
      <c r="G11" s="1">
        <v>48.3</v>
      </c>
      <c r="H11" s="1">
        <v>3651257</v>
      </c>
      <c r="I11" s="1">
        <v>4.5</v>
      </c>
      <c r="J11" s="1">
        <v>250088</v>
      </c>
      <c r="K11" s="1">
        <v>48.8</v>
      </c>
      <c r="L11" s="1">
        <v>3813408</v>
      </c>
      <c r="M11" s="1">
        <v>2</v>
      </c>
      <c r="N11" s="1">
        <v>165088</v>
      </c>
      <c r="O11" s="1">
        <v>48.8</v>
      </c>
      <c r="P11" s="1">
        <v>4163138</v>
      </c>
    </row>
    <row r="12" spans="1:36">
      <c r="A12" s="1" t="s">
        <v>110</v>
      </c>
      <c r="B12" s="1">
        <v>59.94</v>
      </c>
      <c r="C12" s="1">
        <v>1735702</v>
      </c>
      <c r="D12" s="1">
        <v>6.63</v>
      </c>
      <c r="E12" s="1">
        <v>183339</v>
      </c>
      <c r="G12" s="1">
        <v>60.57</v>
      </c>
      <c r="H12" s="1">
        <v>2114402</v>
      </c>
      <c r="I12" s="1">
        <v>5.75</v>
      </c>
      <c r="J12" s="1">
        <v>206476</v>
      </c>
      <c r="K12" s="1">
        <v>58.36</v>
      </c>
      <c r="L12" s="1">
        <v>2140871</v>
      </c>
      <c r="M12" s="1">
        <v>3.31</v>
      </c>
      <c r="N12" s="1">
        <v>90670</v>
      </c>
      <c r="O12" s="1">
        <v>53.5</v>
      </c>
      <c r="P12" s="1">
        <v>1911385</v>
      </c>
    </row>
    <row r="13" spans="1:36">
      <c r="A13" s="1" t="s">
        <v>111</v>
      </c>
      <c r="B13" s="1">
        <v>6</v>
      </c>
      <c r="C13" s="1">
        <v>274121</v>
      </c>
      <c r="D13" s="1">
        <v>0</v>
      </c>
      <c r="E13" s="1">
        <v>0</v>
      </c>
      <c r="G13" s="1">
        <v>6</v>
      </c>
      <c r="H13" s="1">
        <v>260578</v>
      </c>
      <c r="I13" s="1">
        <v>0</v>
      </c>
      <c r="J13" s="1">
        <v>0</v>
      </c>
      <c r="K13" s="1">
        <v>6</v>
      </c>
      <c r="L13" s="1">
        <v>373176</v>
      </c>
      <c r="M13" s="1">
        <v>0</v>
      </c>
      <c r="N13" s="1">
        <v>0</v>
      </c>
      <c r="O13" s="1">
        <v>6</v>
      </c>
      <c r="P13" s="1">
        <v>260063</v>
      </c>
    </row>
    <row r="14" spans="1:36">
      <c r="A14" s="1" t="s">
        <v>112</v>
      </c>
      <c r="B14" s="1">
        <v>7</v>
      </c>
      <c r="C14" s="1">
        <v>837037</v>
      </c>
      <c r="D14" s="1">
        <v>0</v>
      </c>
      <c r="E14" s="1">
        <v>0</v>
      </c>
      <c r="G14" s="1">
        <v>6</v>
      </c>
      <c r="H14" s="1">
        <v>598739</v>
      </c>
      <c r="I14" s="1">
        <v>0</v>
      </c>
      <c r="J14" s="1">
        <v>0</v>
      </c>
      <c r="K14" s="1">
        <v>7</v>
      </c>
      <c r="L14" s="1">
        <v>728755</v>
      </c>
      <c r="M14" s="1">
        <v>0</v>
      </c>
      <c r="N14" s="1">
        <v>0</v>
      </c>
      <c r="O14" s="1">
        <v>7</v>
      </c>
      <c r="P14" s="1">
        <v>789253</v>
      </c>
    </row>
    <row r="15" spans="1:36">
      <c r="A15" s="1" t="s">
        <v>113</v>
      </c>
      <c r="B15" s="1">
        <v>3</v>
      </c>
      <c r="C15" s="1">
        <v>274290</v>
      </c>
      <c r="D15" s="1">
        <v>0</v>
      </c>
      <c r="E15" s="1">
        <v>0</v>
      </c>
      <c r="G15" s="1">
        <v>2.65</v>
      </c>
      <c r="H15" s="1">
        <v>302977</v>
      </c>
      <c r="I15" s="1">
        <v>0</v>
      </c>
      <c r="J15" s="1">
        <v>0</v>
      </c>
      <c r="K15" s="1">
        <v>2.35</v>
      </c>
      <c r="L15" s="1">
        <v>263128</v>
      </c>
      <c r="M15" s="1">
        <v>0</v>
      </c>
      <c r="N15" s="1">
        <v>0</v>
      </c>
      <c r="O15" s="1">
        <v>2</v>
      </c>
      <c r="P15" s="1">
        <v>250029</v>
      </c>
    </row>
    <row r="17" spans="1:36">
      <c r="A17" s="20"/>
      <c r="B17" s="20" t="s">
        <v>115</v>
      </c>
      <c r="C17" s="20"/>
      <c r="D17" s="20"/>
      <c r="E17" s="20"/>
      <c r="F17" s="20"/>
      <c r="G17" s="20" t="s">
        <v>102</v>
      </c>
      <c r="H17" s="20"/>
      <c r="I17" s="20"/>
      <c r="J17" s="20"/>
      <c r="K17" s="20" t="s">
        <v>107</v>
      </c>
      <c r="L17" s="20"/>
      <c r="M17" s="20"/>
      <c r="N17" s="20"/>
      <c r="O17" s="20" t="s">
        <v>107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</row>
    <row r="18" spans="1:36">
      <c r="A18" s="1" t="s">
        <v>116</v>
      </c>
      <c r="B18" s="1">
        <v>8862855</v>
      </c>
      <c r="G18" s="1">
        <v>8829868</v>
      </c>
      <c r="K18" s="1">
        <v>8820000</v>
      </c>
      <c r="O18" s="1">
        <v>8820000</v>
      </c>
    </row>
    <row r="19" spans="1:36">
      <c r="A19" s="1" t="s">
        <v>117</v>
      </c>
      <c r="B19" s="1">
        <v>1000000</v>
      </c>
      <c r="G19" s="1">
        <v>1000000</v>
      </c>
      <c r="K19" s="1">
        <v>1000000</v>
      </c>
      <c r="O19" s="1">
        <v>1000000</v>
      </c>
    </row>
    <row r="20" spans="1:36">
      <c r="A20" s="1" t="s">
        <v>118</v>
      </c>
      <c r="B20" s="1">
        <v>-10200663</v>
      </c>
      <c r="G20" s="1">
        <v>-9189061</v>
      </c>
      <c r="K20" s="1">
        <v>-9364030</v>
      </c>
      <c r="O20" s="1">
        <v>-9714030</v>
      </c>
    </row>
    <row r="22" spans="1:36">
      <c r="A22" s="1" t="s">
        <v>119</v>
      </c>
      <c r="B22" s="1">
        <v>659909</v>
      </c>
      <c r="G22" s="1">
        <v>322101</v>
      </c>
      <c r="K22" s="1">
        <v>962908</v>
      </c>
      <c r="O22" s="1">
        <v>1418878</v>
      </c>
    </row>
    <row r="23" spans="1:36">
      <c r="A23" s="1" t="s">
        <v>120</v>
      </c>
      <c r="B23" s="1">
        <v>322101</v>
      </c>
      <c r="G23" s="1">
        <v>962908</v>
      </c>
      <c r="K23" s="1">
        <v>1418878</v>
      </c>
      <c r="O23" s="1">
        <v>1524848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P187"/>
  <sheetViews>
    <sheetView workbookViewId="0">
      <selection sqref="A1:F1"/>
    </sheetView>
  </sheetViews>
  <sheetFormatPr defaultColWidth="12.5703125" defaultRowHeight="15.75" customHeight="1"/>
  <sheetData>
    <row r="1" spans="1:42">
      <c r="A1" s="523" t="s">
        <v>121</v>
      </c>
      <c r="B1" s="510"/>
      <c r="C1" s="510"/>
      <c r="D1" s="510"/>
      <c r="E1" s="510"/>
      <c r="F1" s="510"/>
      <c r="G1" s="27"/>
      <c r="H1" s="524" t="s">
        <v>122</v>
      </c>
      <c r="I1" s="522"/>
      <c r="J1" s="522"/>
      <c r="K1" s="522"/>
      <c r="L1" s="525"/>
      <c r="M1" s="27"/>
      <c r="N1" s="27"/>
      <c r="O1" s="27"/>
      <c r="P1" s="27"/>
      <c r="Q1" s="28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9"/>
      <c r="AD1" s="29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</row>
    <row r="2" spans="1:42">
      <c r="A2" s="27"/>
      <c r="B2" s="29"/>
      <c r="C2" s="29"/>
      <c r="D2" s="29"/>
      <c r="E2" s="29"/>
      <c r="F2" s="29"/>
      <c r="G2" s="27"/>
      <c r="H2" s="27"/>
      <c r="I2" s="27"/>
      <c r="J2" s="27"/>
      <c r="K2" s="27"/>
      <c r="L2" s="27"/>
      <c r="M2" s="27"/>
      <c r="N2" s="27"/>
      <c r="O2" s="27"/>
      <c r="P2" s="27"/>
      <c r="Q2" s="28"/>
      <c r="R2" s="28"/>
      <c r="S2" s="28"/>
      <c r="T2" s="28"/>
      <c r="U2" s="28"/>
      <c r="V2" s="28"/>
      <c r="W2" s="28"/>
      <c r="X2" s="28"/>
      <c r="Y2" s="27"/>
      <c r="Z2" s="27"/>
      <c r="AA2" s="27"/>
      <c r="AB2" s="27"/>
      <c r="AC2" s="29"/>
      <c r="AD2" s="29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</row>
    <row r="3" spans="1:42">
      <c r="A3" s="29"/>
      <c r="B3" s="30" t="s">
        <v>123</v>
      </c>
      <c r="C3" s="31"/>
      <c r="D3" s="31"/>
      <c r="E3" s="32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8"/>
      <c r="R3" s="28"/>
      <c r="S3" s="28"/>
      <c r="T3" s="28"/>
      <c r="U3" s="28"/>
      <c r="V3" s="28"/>
      <c r="W3" s="28"/>
      <c r="X3" s="28"/>
      <c r="Y3" s="29"/>
      <c r="Z3" s="27"/>
      <c r="AA3" s="27"/>
      <c r="AB3" s="27"/>
      <c r="AC3" s="27"/>
      <c r="AD3" s="27"/>
      <c r="AE3" s="27"/>
      <c r="AF3" s="27"/>
      <c r="AG3" s="29"/>
      <c r="AH3" s="27"/>
      <c r="AI3" s="27"/>
      <c r="AJ3" s="27"/>
      <c r="AK3" s="27"/>
      <c r="AL3" s="27"/>
      <c r="AM3" s="27"/>
      <c r="AN3" s="27"/>
      <c r="AO3" s="27"/>
      <c r="AP3" s="33"/>
    </row>
    <row r="4" spans="1:42">
      <c r="A4" s="526" t="s">
        <v>124</v>
      </c>
      <c r="B4" s="510"/>
      <c r="C4" s="510"/>
      <c r="D4" s="510"/>
      <c r="E4" s="527" t="s">
        <v>125</v>
      </c>
      <c r="F4" s="522"/>
      <c r="G4" s="34"/>
      <c r="H4" s="35"/>
      <c r="I4" s="527" t="s">
        <v>126</v>
      </c>
      <c r="J4" s="522"/>
      <c r="K4" s="34"/>
      <c r="L4" s="35"/>
      <c r="M4" s="521" t="s">
        <v>127</v>
      </c>
      <c r="N4" s="522"/>
      <c r="O4" s="522"/>
      <c r="P4" s="35"/>
      <c r="Q4" s="521" t="s">
        <v>128</v>
      </c>
      <c r="R4" s="522"/>
      <c r="S4" s="34"/>
      <c r="T4" s="35"/>
      <c r="U4" s="521" t="s">
        <v>129</v>
      </c>
      <c r="V4" s="522"/>
      <c r="W4" s="522"/>
      <c r="X4" s="34"/>
      <c r="Y4" s="527" t="s">
        <v>130</v>
      </c>
      <c r="Z4" s="522"/>
      <c r="AA4" s="522"/>
      <c r="AB4" s="525"/>
      <c r="AC4" s="521" t="s">
        <v>131</v>
      </c>
      <c r="AD4" s="522"/>
      <c r="AE4" s="522"/>
      <c r="AF4" s="34"/>
      <c r="AG4" s="527" t="s">
        <v>132</v>
      </c>
      <c r="AH4" s="522"/>
      <c r="AI4" s="522"/>
      <c r="AJ4" s="35"/>
      <c r="AK4" s="521" t="s">
        <v>133</v>
      </c>
      <c r="AL4" s="522"/>
      <c r="AM4" s="36"/>
      <c r="AN4" s="37"/>
      <c r="AO4" s="27"/>
      <c r="AP4" s="33"/>
    </row>
    <row r="5" spans="1:42">
      <c r="A5" s="27"/>
      <c r="B5" s="29"/>
      <c r="C5" s="27"/>
      <c r="D5" s="38"/>
      <c r="E5" s="39" t="s">
        <v>134</v>
      </c>
      <c r="F5" s="39" t="s">
        <v>134</v>
      </c>
      <c r="G5" s="39" t="s">
        <v>134</v>
      </c>
      <c r="H5" s="39" t="s">
        <v>134</v>
      </c>
      <c r="I5" s="39" t="s">
        <v>134</v>
      </c>
      <c r="J5" s="39" t="s">
        <v>134</v>
      </c>
      <c r="K5" s="39" t="s">
        <v>134</v>
      </c>
      <c r="L5" s="39" t="s">
        <v>134</v>
      </c>
      <c r="M5" s="39" t="s">
        <v>134</v>
      </c>
      <c r="N5" s="39" t="s">
        <v>134</v>
      </c>
      <c r="O5" s="39" t="s">
        <v>134</v>
      </c>
      <c r="P5" s="39" t="s">
        <v>134</v>
      </c>
      <c r="Q5" s="39" t="s">
        <v>134</v>
      </c>
      <c r="R5" s="39" t="s">
        <v>134</v>
      </c>
      <c r="S5" s="39" t="s">
        <v>134</v>
      </c>
      <c r="T5" s="39" t="s">
        <v>134</v>
      </c>
      <c r="U5" s="39" t="s">
        <v>134</v>
      </c>
      <c r="V5" s="39" t="s">
        <v>134</v>
      </c>
      <c r="W5" s="39" t="s">
        <v>134</v>
      </c>
      <c r="X5" s="39" t="s">
        <v>134</v>
      </c>
      <c r="Y5" s="39" t="s">
        <v>134</v>
      </c>
      <c r="Z5" s="39" t="s">
        <v>134</v>
      </c>
      <c r="AA5" s="39" t="s">
        <v>134</v>
      </c>
      <c r="AB5" s="39" t="s">
        <v>134</v>
      </c>
      <c r="AC5" s="39" t="s">
        <v>134</v>
      </c>
      <c r="AD5" s="39" t="s">
        <v>134</v>
      </c>
      <c r="AE5" s="39" t="s">
        <v>134</v>
      </c>
      <c r="AF5" s="39" t="s">
        <v>134</v>
      </c>
      <c r="AG5" s="39" t="s">
        <v>134</v>
      </c>
      <c r="AH5" s="39" t="s">
        <v>134</v>
      </c>
      <c r="AI5" s="39" t="s">
        <v>134</v>
      </c>
      <c r="AJ5" s="39" t="s">
        <v>134</v>
      </c>
      <c r="AK5" s="39" t="s">
        <v>134</v>
      </c>
      <c r="AL5" s="39" t="s">
        <v>134</v>
      </c>
      <c r="AM5" s="39" t="s">
        <v>134</v>
      </c>
      <c r="AN5" s="39" t="s">
        <v>134</v>
      </c>
      <c r="AO5" s="27"/>
      <c r="AP5" s="33"/>
    </row>
    <row r="6" spans="1:42">
      <c r="A6" s="27"/>
      <c r="B6" s="27"/>
      <c r="C6" s="27"/>
      <c r="D6" s="27"/>
      <c r="E6" s="40">
        <v>2023</v>
      </c>
      <c r="F6" s="41">
        <v>2024</v>
      </c>
      <c r="G6" s="41">
        <v>2025</v>
      </c>
      <c r="H6" s="41">
        <v>2026</v>
      </c>
      <c r="I6" s="41">
        <v>2023</v>
      </c>
      <c r="J6" s="42">
        <v>2024</v>
      </c>
      <c r="K6" s="40">
        <v>2025</v>
      </c>
      <c r="L6" s="41">
        <v>2026</v>
      </c>
      <c r="M6" s="41">
        <v>2023</v>
      </c>
      <c r="N6" s="41">
        <v>2024</v>
      </c>
      <c r="O6" s="41">
        <v>2025</v>
      </c>
      <c r="P6" s="41">
        <v>2026</v>
      </c>
      <c r="Q6" s="41">
        <v>2023</v>
      </c>
      <c r="R6" s="41">
        <v>2024</v>
      </c>
      <c r="S6" s="41">
        <v>2025</v>
      </c>
      <c r="T6" s="41">
        <v>2026</v>
      </c>
      <c r="U6" s="41">
        <v>2023</v>
      </c>
      <c r="V6" s="41">
        <v>2024</v>
      </c>
      <c r="W6" s="41">
        <v>2025</v>
      </c>
      <c r="X6" s="41">
        <v>2026</v>
      </c>
      <c r="Y6" s="41">
        <v>2023</v>
      </c>
      <c r="Z6" s="41">
        <v>2024</v>
      </c>
      <c r="AA6" s="41">
        <v>2025</v>
      </c>
      <c r="AB6" s="41">
        <v>2026</v>
      </c>
      <c r="AC6" s="41">
        <v>2023</v>
      </c>
      <c r="AD6" s="41">
        <v>2024</v>
      </c>
      <c r="AE6" s="41">
        <v>2025</v>
      </c>
      <c r="AF6" s="42">
        <v>2026</v>
      </c>
      <c r="AG6" s="40">
        <v>2023</v>
      </c>
      <c r="AH6" s="41">
        <v>2024</v>
      </c>
      <c r="AI6" s="41">
        <v>2025</v>
      </c>
      <c r="AJ6" s="41">
        <v>2026</v>
      </c>
      <c r="AK6" s="41">
        <v>2023</v>
      </c>
      <c r="AL6" s="41">
        <v>2024</v>
      </c>
      <c r="AM6" s="41">
        <v>2025</v>
      </c>
      <c r="AN6" s="41">
        <v>2026</v>
      </c>
      <c r="AO6" s="27"/>
      <c r="AP6" s="33"/>
    </row>
    <row r="7" spans="1:42">
      <c r="A7" s="27"/>
      <c r="B7" s="27"/>
      <c r="C7" s="27"/>
      <c r="D7" s="27"/>
      <c r="E7" s="40" t="s">
        <v>102</v>
      </c>
      <c r="F7" s="41" t="s">
        <v>107</v>
      </c>
      <c r="G7" s="41" t="s">
        <v>135</v>
      </c>
      <c r="H7" s="41" t="s">
        <v>135</v>
      </c>
      <c r="I7" s="41" t="s">
        <v>102</v>
      </c>
      <c r="J7" s="42" t="s">
        <v>107</v>
      </c>
      <c r="K7" s="40" t="s">
        <v>135</v>
      </c>
      <c r="L7" s="41" t="s">
        <v>135</v>
      </c>
      <c r="M7" s="41" t="s">
        <v>102</v>
      </c>
      <c r="N7" s="41" t="s">
        <v>107</v>
      </c>
      <c r="O7" s="41" t="s">
        <v>135</v>
      </c>
      <c r="P7" s="41" t="s">
        <v>135</v>
      </c>
      <c r="Q7" s="41" t="s">
        <v>102</v>
      </c>
      <c r="R7" s="41" t="s">
        <v>107</v>
      </c>
      <c r="S7" s="41" t="s">
        <v>135</v>
      </c>
      <c r="T7" s="41" t="s">
        <v>135</v>
      </c>
      <c r="U7" s="41" t="s">
        <v>102</v>
      </c>
      <c r="V7" s="41" t="s">
        <v>107</v>
      </c>
      <c r="W7" s="41" t="s">
        <v>135</v>
      </c>
      <c r="X7" s="41" t="s">
        <v>135</v>
      </c>
      <c r="Y7" s="41" t="s">
        <v>102</v>
      </c>
      <c r="Z7" s="41" t="s">
        <v>107</v>
      </c>
      <c r="AA7" s="41" t="s">
        <v>135</v>
      </c>
      <c r="AB7" s="41" t="s">
        <v>135</v>
      </c>
      <c r="AC7" s="41" t="s">
        <v>102</v>
      </c>
      <c r="AD7" s="41" t="s">
        <v>107</v>
      </c>
      <c r="AE7" s="41" t="s">
        <v>135</v>
      </c>
      <c r="AF7" s="42" t="s">
        <v>135</v>
      </c>
      <c r="AG7" s="40" t="s">
        <v>102</v>
      </c>
      <c r="AH7" s="41" t="s">
        <v>107</v>
      </c>
      <c r="AI7" s="41" t="s">
        <v>135</v>
      </c>
      <c r="AJ7" s="41" t="s">
        <v>135</v>
      </c>
      <c r="AK7" s="41" t="s">
        <v>102</v>
      </c>
      <c r="AL7" s="41" t="s">
        <v>107</v>
      </c>
      <c r="AM7" s="41" t="s">
        <v>135</v>
      </c>
      <c r="AN7" s="41" t="s">
        <v>135</v>
      </c>
      <c r="AO7" s="27"/>
      <c r="AP7" s="33"/>
    </row>
    <row r="8" spans="1:42">
      <c r="A8" s="43" t="s">
        <v>136</v>
      </c>
      <c r="B8" s="44" t="s">
        <v>2</v>
      </c>
      <c r="C8" s="44" t="s">
        <v>137</v>
      </c>
      <c r="D8" s="44" t="s">
        <v>2</v>
      </c>
      <c r="E8" s="45" t="s">
        <v>138</v>
      </c>
      <c r="F8" s="46" t="s">
        <v>138</v>
      </c>
      <c r="G8" s="46" t="s">
        <v>138</v>
      </c>
      <c r="H8" s="46" t="s">
        <v>138</v>
      </c>
      <c r="I8" s="46" t="s">
        <v>138</v>
      </c>
      <c r="J8" s="47" t="s">
        <v>138</v>
      </c>
      <c r="K8" s="45" t="s">
        <v>138</v>
      </c>
      <c r="L8" s="46" t="s">
        <v>138</v>
      </c>
      <c r="M8" s="46" t="s">
        <v>138</v>
      </c>
      <c r="N8" s="46" t="s">
        <v>138</v>
      </c>
      <c r="O8" s="46" t="s">
        <v>138</v>
      </c>
      <c r="P8" s="46" t="s">
        <v>138</v>
      </c>
      <c r="Q8" s="46" t="s">
        <v>138</v>
      </c>
      <c r="R8" s="46" t="s">
        <v>138</v>
      </c>
      <c r="S8" s="46" t="s">
        <v>138</v>
      </c>
      <c r="T8" s="46" t="s">
        <v>138</v>
      </c>
      <c r="U8" s="46" t="s">
        <v>138</v>
      </c>
      <c r="V8" s="46" t="s">
        <v>138</v>
      </c>
      <c r="W8" s="46" t="s">
        <v>138</v>
      </c>
      <c r="X8" s="46" t="s">
        <v>138</v>
      </c>
      <c r="Y8" s="46" t="s">
        <v>138</v>
      </c>
      <c r="Z8" s="46" t="s">
        <v>138</v>
      </c>
      <c r="AA8" s="47" t="s">
        <v>138</v>
      </c>
      <c r="AB8" s="45" t="s">
        <v>138</v>
      </c>
      <c r="AC8" s="46" t="s">
        <v>138</v>
      </c>
      <c r="AD8" s="46" t="s">
        <v>138</v>
      </c>
      <c r="AE8" s="46" t="s">
        <v>138</v>
      </c>
      <c r="AF8" s="47" t="s">
        <v>138</v>
      </c>
      <c r="AG8" s="45" t="s">
        <v>138</v>
      </c>
      <c r="AH8" s="46" t="s">
        <v>138</v>
      </c>
      <c r="AI8" s="46" t="s">
        <v>138</v>
      </c>
      <c r="AJ8" s="46" t="s">
        <v>138</v>
      </c>
      <c r="AK8" s="46" t="s">
        <v>138</v>
      </c>
      <c r="AL8" s="46" t="s">
        <v>138</v>
      </c>
      <c r="AM8" s="46" t="s">
        <v>138</v>
      </c>
      <c r="AN8" s="46" t="s">
        <v>138</v>
      </c>
      <c r="AO8" s="27"/>
      <c r="AP8" s="33"/>
    </row>
    <row r="9" spans="1:42">
      <c r="A9" s="519" t="s">
        <v>139</v>
      </c>
      <c r="B9" s="520"/>
      <c r="C9" s="520"/>
      <c r="D9" s="48"/>
      <c r="E9" s="27"/>
      <c r="F9" s="27"/>
      <c r="G9" s="27"/>
      <c r="H9" s="38"/>
      <c r="I9" s="27"/>
      <c r="J9" s="27"/>
      <c r="K9" s="27"/>
      <c r="L9" s="38"/>
      <c r="M9" s="27"/>
      <c r="N9" s="27"/>
      <c r="O9" s="27"/>
      <c r="P9" s="38"/>
      <c r="Q9" s="27"/>
      <c r="R9" s="27"/>
      <c r="S9" s="27"/>
      <c r="T9" s="38"/>
      <c r="U9" s="27"/>
      <c r="V9" s="27"/>
      <c r="W9" s="27"/>
      <c r="X9" s="38"/>
      <c r="Y9" s="27"/>
      <c r="Z9" s="27"/>
      <c r="AA9" s="27"/>
      <c r="AB9" s="38"/>
      <c r="AC9" s="27"/>
      <c r="AD9" s="27"/>
      <c r="AE9" s="27"/>
      <c r="AF9" s="27"/>
      <c r="AG9" s="49"/>
      <c r="AH9" s="27"/>
      <c r="AI9" s="27"/>
      <c r="AJ9" s="38"/>
      <c r="AK9" s="27"/>
      <c r="AL9" s="27"/>
      <c r="AM9" s="27"/>
      <c r="AN9" s="38"/>
      <c r="AO9" s="27"/>
      <c r="AP9" s="33"/>
    </row>
    <row r="10" spans="1:42">
      <c r="A10" s="50">
        <v>1000</v>
      </c>
      <c r="B10" s="33" t="s">
        <v>92</v>
      </c>
      <c r="C10" s="51">
        <v>100</v>
      </c>
      <c r="D10" s="48" t="s">
        <v>140</v>
      </c>
      <c r="E10" s="44"/>
      <c r="F10" s="44"/>
      <c r="G10" s="44"/>
      <c r="H10" s="52"/>
      <c r="I10" s="44"/>
      <c r="J10" s="44"/>
      <c r="K10" s="44"/>
      <c r="L10" s="52"/>
      <c r="M10" s="44"/>
      <c r="N10" s="44"/>
      <c r="O10" s="44"/>
      <c r="P10" s="52"/>
      <c r="Q10" s="44"/>
      <c r="R10" s="44"/>
      <c r="S10" s="44"/>
      <c r="T10" s="52"/>
      <c r="U10" s="44"/>
      <c r="V10" s="44"/>
      <c r="W10" s="44"/>
      <c r="X10" s="52"/>
      <c r="Y10" s="44"/>
      <c r="Z10" s="44"/>
      <c r="AA10" s="44"/>
      <c r="AB10" s="52"/>
      <c r="AC10" s="44"/>
      <c r="AD10" s="44"/>
      <c r="AE10" s="44"/>
      <c r="AF10" s="44"/>
      <c r="AG10" s="53"/>
      <c r="AH10" s="44"/>
      <c r="AI10" s="44"/>
      <c r="AJ10" s="52"/>
      <c r="AK10" s="44"/>
      <c r="AL10" s="44"/>
      <c r="AM10" s="44"/>
      <c r="AN10" s="52"/>
      <c r="AO10" s="27"/>
      <c r="AP10" s="33"/>
    </row>
    <row r="11" spans="1:42">
      <c r="A11" s="54"/>
      <c r="B11" s="33"/>
      <c r="C11" s="55" t="s">
        <v>141</v>
      </c>
      <c r="D11" s="56" t="s">
        <v>88</v>
      </c>
      <c r="E11" s="57">
        <v>234.4</v>
      </c>
      <c r="F11" s="57">
        <v>233.6</v>
      </c>
      <c r="G11" s="57">
        <v>232.6</v>
      </c>
      <c r="H11" s="58">
        <v>232.6</v>
      </c>
      <c r="I11" s="59">
        <v>0</v>
      </c>
      <c r="J11" s="57">
        <v>0</v>
      </c>
      <c r="K11" s="57">
        <v>0</v>
      </c>
      <c r="L11" s="58">
        <v>0</v>
      </c>
      <c r="M11" s="59">
        <v>0</v>
      </c>
      <c r="N11" s="57">
        <v>0</v>
      </c>
      <c r="O11" s="57">
        <v>0</v>
      </c>
      <c r="P11" s="58">
        <v>0</v>
      </c>
      <c r="Q11" s="59">
        <v>0</v>
      </c>
      <c r="R11" s="57">
        <v>0</v>
      </c>
      <c r="S11" s="57">
        <v>0</v>
      </c>
      <c r="T11" s="58">
        <v>0</v>
      </c>
      <c r="U11" s="59">
        <v>0</v>
      </c>
      <c r="V11" s="57">
        <v>0</v>
      </c>
      <c r="W11" s="57">
        <v>0</v>
      </c>
      <c r="X11" s="58">
        <v>0</v>
      </c>
      <c r="Y11" s="59">
        <v>0</v>
      </c>
      <c r="Z11" s="57">
        <v>0</v>
      </c>
      <c r="AA11" s="57">
        <v>0</v>
      </c>
      <c r="AB11" s="58">
        <v>0</v>
      </c>
      <c r="AC11" s="59">
        <v>0</v>
      </c>
      <c r="AD11" s="57">
        <v>0</v>
      </c>
      <c r="AE11" s="57">
        <v>0</v>
      </c>
      <c r="AF11" s="58">
        <v>0</v>
      </c>
      <c r="AG11" s="59">
        <v>5</v>
      </c>
      <c r="AH11" s="57">
        <v>5</v>
      </c>
      <c r="AI11" s="57">
        <v>5</v>
      </c>
      <c r="AJ11" s="58">
        <v>5</v>
      </c>
      <c r="AK11" s="60">
        <v>239.4</v>
      </c>
      <c r="AL11" s="61">
        <v>238.6</v>
      </c>
      <c r="AM11" s="61">
        <v>237.6</v>
      </c>
      <c r="AN11" s="62">
        <v>237.6</v>
      </c>
      <c r="AO11" s="27"/>
      <c r="AP11" s="33"/>
    </row>
    <row r="12" spans="1:42">
      <c r="A12" s="54"/>
      <c r="B12" s="33"/>
      <c r="C12" s="55" t="s">
        <v>142</v>
      </c>
      <c r="D12" s="56" t="s">
        <v>89</v>
      </c>
      <c r="E12" s="57">
        <v>24.63</v>
      </c>
      <c r="F12" s="57">
        <v>28.97</v>
      </c>
      <c r="G12" s="57">
        <v>28.97</v>
      </c>
      <c r="H12" s="58">
        <v>28.97</v>
      </c>
      <c r="I12" s="59">
        <v>0</v>
      </c>
      <c r="J12" s="57">
        <v>0</v>
      </c>
      <c r="K12" s="57">
        <v>0</v>
      </c>
      <c r="L12" s="58">
        <v>0</v>
      </c>
      <c r="M12" s="59">
        <v>0</v>
      </c>
      <c r="N12" s="57">
        <v>0</v>
      </c>
      <c r="O12" s="57">
        <v>0</v>
      </c>
      <c r="P12" s="58">
        <v>0</v>
      </c>
      <c r="Q12" s="59">
        <v>0</v>
      </c>
      <c r="R12" s="57">
        <v>0</v>
      </c>
      <c r="S12" s="57">
        <v>0</v>
      </c>
      <c r="T12" s="58">
        <v>0</v>
      </c>
      <c r="U12" s="59">
        <v>0</v>
      </c>
      <c r="V12" s="57">
        <v>0</v>
      </c>
      <c r="W12" s="57">
        <v>0</v>
      </c>
      <c r="X12" s="58">
        <v>0</v>
      </c>
      <c r="Y12" s="59">
        <v>0</v>
      </c>
      <c r="Z12" s="57">
        <v>0</v>
      </c>
      <c r="AA12" s="57">
        <v>0</v>
      </c>
      <c r="AB12" s="58">
        <v>0</v>
      </c>
      <c r="AC12" s="59">
        <v>0</v>
      </c>
      <c r="AD12" s="57">
        <v>0</v>
      </c>
      <c r="AE12" s="57">
        <v>0</v>
      </c>
      <c r="AF12" s="58">
        <v>0</v>
      </c>
      <c r="AG12" s="59">
        <v>1.63</v>
      </c>
      <c r="AH12" s="57">
        <v>1.63</v>
      </c>
      <c r="AI12" s="57">
        <v>1.63</v>
      </c>
      <c r="AJ12" s="58">
        <v>1.63</v>
      </c>
      <c r="AK12" s="60">
        <v>26.26</v>
      </c>
      <c r="AL12" s="62">
        <v>30.6</v>
      </c>
      <c r="AM12" s="62">
        <v>30.6</v>
      </c>
      <c r="AN12" s="62">
        <v>30.6</v>
      </c>
      <c r="AO12" s="27"/>
      <c r="AP12" s="33"/>
    </row>
    <row r="13" spans="1:42">
      <c r="A13" s="54"/>
      <c r="B13" s="33"/>
      <c r="C13" s="55"/>
      <c r="D13" s="56" t="s">
        <v>91</v>
      </c>
      <c r="E13" s="62">
        <v>259.02999999999997</v>
      </c>
      <c r="F13" s="62">
        <v>262.57</v>
      </c>
      <c r="G13" s="62">
        <v>261.57</v>
      </c>
      <c r="H13" s="63">
        <v>261.57</v>
      </c>
      <c r="I13" s="60">
        <v>0</v>
      </c>
      <c r="J13" s="62">
        <v>0</v>
      </c>
      <c r="K13" s="62">
        <v>0</v>
      </c>
      <c r="L13" s="63">
        <v>0</v>
      </c>
      <c r="M13" s="60">
        <v>0</v>
      </c>
      <c r="N13" s="62">
        <v>0</v>
      </c>
      <c r="O13" s="62">
        <v>0</v>
      </c>
      <c r="P13" s="63">
        <v>0</v>
      </c>
      <c r="Q13" s="60">
        <v>0</v>
      </c>
      <c r="R13" s="62">
        <v>0</v>
      </c>
      <c r="S13" s="62">
        <v>0</v>
      </c>
      <c r="T13" s="63">
        <v>0</v>
      </c>
      <c r="U13" s="60">
        <v>0</v>
      </c>
      <c r="V13" s="62">
        <v>0</v>
      </c>
      <c r="W13" s="62">
        <v>0</v>
      </c>
      <c r="X13" s="63">
        <v>0</v>
      </c>
      <c r="Y13" s="60">
        <v>0</v>
      </c>
      <c r="Z13" s="62">
        <v>0</v>
      </c>
      <c r="AA13" s="62">
        <v>0</v>
      </c>
      <c r="AB13" s="63">
        <v>0</v>
      </c>
      <c r="AC13" s="60">
        <v>0</v>
      </c>
      <c r="AD13" s="62">
        <v>0</v>
      </c>
      <c r="AE13" s="62">
        <v>0</v>
      </c>
      <c r="AF13" s="63">
        <v>0</v>
      </c>
      <c r="AG13" s="60">
        <v>6.63</v>
      </c>
      <c r="AH13" s="62">
        <v>6.63</v>
      </c>
      <c r="AI13" s="62">
        <v>6.63</v>
      </c>
      <c r="AJ13" s="63">
        <v>6.63</v>
      </c>
      <c r="AK13" s="60">
        <v>265.66000000000003</v>
      </c>
      <c r="AL13" s="62">
        <v>269.2</v>
      </c>
      <c r="AM13" s="62">
        <v>268.2</v>
      </c>
      <c r="AN13" s="62">
        <v>268.2</v>
      </c>
      <c r="AO13" s="27"/>
      <c r="AP13" s="33"/>
    </row>
    <row r="14" spans="1:42">
      <c r="A14" s="50">
        <v>1000</v>
      </c>
      <c r="B14" s="33" t="s">
        <v>92</v>
      </c>
      <c r="C14" s="51">
        <v>200</v>
      </c>
      <c r="D14" s="48" t="s">
        <v>143</v>
      </c>
      <c r="E14" s="48"/>
      <c r="F14" s="48"/>
      <c r="G14" s="48"/>
      <c r="H14" s="33"/>
      <c r="I14" s="64"/>
      <c r="J14" s="48"/>
      <c r="K14" s="48"/>
      <c r="L14" s="33"/>
      <c r="M14" s="64"/>
      <c r="N14" s="48"/>
      <c r="O14" s="48"/>
      <c r="P14" s="33"/>
      <c r="Q14" s="64"/>
      <c r="R14" s="48"/>
      <c r="S14" s="48"/>
      <c r="T14" s="33"/>
      <c r="U14" s="64"/>
      <c r="V14" s="48"/>
      <c r="W14" s="48"/>
      <c r="X14" s="33"/>
      <c r="Y14" s="64"/>
      <c r="Z14" s="48"/>
      <c r="AA14" s="48"/>
      <c r="AB14" s="33"/>
      <c r="AC14" s="64"/>
      <c r="AD14" s="48"/>
      <c r="AE14" s="48"/>
      <c r="AF14" s="33"/>
      <c r="AG14" s="64"/>
      <c r="AH14" s="48"/>
      <c r="AI14" s="48"/>
      <c r="AJ14" s="33"/>
      <c r="AK14" s="49"/>
      <c r="AL14" s="27"/>
      <c r="AM14" s="27"/>
      <c r="AN14" s="38"/>
      <c r="AO14" s="27"/>
      <c r="AP14" s="33"/>
    </row>
    <row r="15" spans="1:42">
      <c r="A15" s="54"/>
      <c r="B15" s="55" t="s">
        <v>144</v>
      </c>
      <c r="C15" s="55" t="s">
        <v>145</v>
      </c>
      <c r="D15" s="56" t="s">
        <v>88</v>
      </c>
      <c r="E15" s="57">
        <v>0</v>
      </c>
      <c r="F15" s="57">
        <v>0</v>
      </c>
      <c r="G15" s="57">
        <v>0</v>
      </c>
      <c r="H15" s="65">
        <v>0</v>
      </c>
      <c r="I15" s="57">
        <v>0</v>
      </c>
      <c r="J15" s="57">
        <v>0</v>
      </c>
      <c r="K15" s="57">
        <v>0</v>
      </c>
      <c r="L15" s="65">
        <v>0</v>
      </c>
      <c r="M15" s="57">
        <v>0</v>
      </c>
      <c r="N15" s="57">
        <v>0</v>
      </c>
      <c r="O15" s="57">
        <v>0</v>
      </c>
      <c r="P15" s="65">
        <v>0</v>
      </c>
      <c r="Q15" s="57">
        <v>0</v>
      </c>
      <c r="R15" s="57">
        <v>0</v>
      </c>
      <c r="S15" s="57">
        <v>0</v>
      </c>
      <c r="T15" s="65">
        <v>0</v>
      </c>
      <c r="U15" s="57">
        <v>46.5</v>
      </c>
      <c r="V15" s="57">
        <v>49.8</v>
      </c>
      <c r="W15" s="57">
        <v>49.8</v>
      </c>
      <c r="X15" s="65">
        <v>49.8</v>
      </c>
      <c r="Y15" s="57">
        <v>0</v>
      </c>
      <c r="Z15" s="57">
        <v>0</v>
      </c>
      <c r="AA15" s="57">
        <v>0</v>
      </c>
      <c r="AB15" s="65">
        <v>0</v>
      </c>
      <c r="AC15" s="57">
        <v>0</v>
      </c>
      <c r="AD15" s="57">
        <v>0</v>
      </c>
      <c r="AE15" s="57">
        <v>0</v>
      </c>
      <c r="AF15" s="65">
        <v>0</v>
      </c>
      <c r="AG15" s="57">
        <v>0</v>
      </c>
      <c r="AH15" s="57">
        <v>0</v>
      </c>
      <c r="AI15" s="57">
        <v>0</v>
      </c>
      <c r="AJ15" s="65">
        <v>0</v>
      </c>
      <c r="AK15" s="61">
        <v>46.5</v>
      </c>
      <c r="AL15" s="61">
        <v>49.8</v>
      </c>
      <c r="AM15" s="61">
        <v>49.8</v>
      </c>
      <c r="AN15" s="66">
        <v>49.8</v>
      </c>
      <c r="AO15" s="27"/>
      <c r="AP15" s="33"/>
    </row>
    <row r="16" spans="1:42">
      <c r="A16" s="54"/>
      <c r="B16" s="33"/>
      <c r="C16" s="55" t="s">
        <v>146</v>
      </c>
      <c r="D16" s="56" t="s">
        <v>89</v>
      </c>
      <c r="E16" s="57">
        <v>0</v>
      </c>
      <c r="F16" s="57">
        <v>0</v>
      </c>
      <c r="G16" s="57">
        <v>0</v>
      </c>
      <c r="H16" s="58">
        <v>0</v>
      </c>
      <c r="I16" s="59">
        <v>0</v>
      </c>
      <c r="J16" s="57">
        <v>0</v>
      </c>
      <c r="K16" s="57">
        <v>0</v>
      </c>
      <c r="L16" s="58">
        <v>0</v>
      </c>
      <c r="M16" s="59">
        <v>0</v>
      </c>
      <c r="N16" s="57">
        <v>0</v>
      </c>
      <c r="O16" s="57">
        <v>0</v>
      </c>
      <c r="P16" s="58">
        <v>0</v>
      </c>
      <c r="Q16" s="59">
        <v>0</v>
      </c>
      <c r="R16" s="57">
        <v>0</v>
      </c>
      <c r="S16" s="57">
        <v>0</v>
      </c>
      <c r="T16" s="58">
        <v>0</v>
      </c>
      <c r="U16" s="59">
        <v>60.82</v>
      </c>
      <c r="V16" s="57">
        <v>65.94</v>
      </c>
      <c r="W16" s="57">
        <v>65.94</v>
      </c>
      <c r="X16" s="58">
        <v>65.94</v>
      </c>
      <c r="Y16" s="59">
        <v>0</v>
      </c>
      <c r="Z16" s="57">
        <v>0</v>
      </c>
      <c r="AA16" s="57">
        <v>0</v>
      </c>
      <c r="AB16" s="58">
        <v>0</v>
      </c>
      <c r="AC16" s="59">
        <v>0</v>
      </c>
      <c r="AD16" s="57">
        <v>0</v>
      </c>
      <c r="AE16" s="57">
        <v>0</v>
      </c>
      <c r="AF16" s="58">
        <v>0</v>
      </c>
      <c r="AG16" s="59">
        <v>4.43</v>
      </c>
      <c r="AH16" s="57">
        <v>4.43</v>
      </c>
      <c r="AI16" s="57">
        <v>4.43</v>
      </c>
      <c r="AJ16" s="58">
        <v>4.43</v>
      </c>
      <c r="AK16" s="60">
        <v>65.25</v>
      </c>
      <c r="AL16" s="62">
        <v>70.37</v>
      </c>
      <c r="AM16" s="62">
        <v>70.37</v>
      </c>
      <c r="AN16" s="62">
        <v>70.37</v>
      </c>
      <c r="AO16" s="27"/>
      <c r="AP16" s="27"/>
    </row>
    <row r="17" spans="1:42">
      <c r="A17" s="54"/>
      <c r="B17" s="33"/>
      <c r="C17" s="55"/>
      <c r="D17" s="56" t="s">
        <v>91</v>
      </c>
      <c r="E17" s="62">
        <v>0</v>
      </c>
      <c r="F17" s="62">
        <v>0</v>
      </c>
      <c r="G17" s="62">
        <v>0</v>
      </c>
      <c r="H17" s="63">
        <v>0</v>
      </c>
      <c r="I17" s="60">
        <v>0</v>
      </c>
      <c r="J17" s="62">
        <v>0</v>
      </c>
      <c r="K17" s="62">
        <v>0</v>
      </c>
      <c r="L17" s="63">
        <v>0</v>
      </c>
      <c r="M17" s="60">
        <v>0</v>
      </c>
      <c r="N17" s="62">
        <v>0</v>
      </c>
      <c r="O17" s="62">
        <v>0</v>
      </c>
      <c r="P17" s="63">
        <v>0</v>
      </c>
      <c r="Q17" s="60">
        <v>0</v>
      </c>
      <c r="R17" s="62">
        <v>0</v>
      </c>
      <c r="S17" s="62">
        <v>0</v>
      </c>
      <c r="T17" s="63">
        <v>0</v>
      </c>
      <c r="U17" s="60">
        <v>107.32</v>
      </c>
      <c r="V17" s="62">
        <v>115.74</v>
      </c>
      <c r="W17" s="62">
        <v>115.74</v>
      </c>
      <c r="X17" s="63">
        <v>115.74</v>
      </c>
      <c r="Y17" s="60">
        <v>0</v>
      </c>
      <c r="Z17" s="62">
        <v>0</v>
      </c>
      <c r="AA17" s="62">
        <v>0</v>
      </c>
      <c r="AB17" s="63">
        <v>0</v>
      </c>
      <c r="AC17" s="60">
        <v>0</v>
      </c>
      <c r="AD17" s="62">
        <v>0</v>
      </c>
      <c r="AE17" s="62">
        <v>0</v>
      </c>
      <c r="AF17" s="63">
        <v>0</v>
      </c>
      <c r="AG17" s="60">
        <v>4.43</v>
      </c>
      <c r="AH17" s="62">
        <v>4.43</v>
      </c>
      <c r="AI17" s="62">
        <v>4.43</v>
      </c>
      <c r="AJ17" s="63">
        <v>4.43</v>
      </c>
      <c r="AK17" s="60">
        <v>111.75</v>
      </c>
      <c r="AL17" s="62">
        <v>120.17</v>
      </c>
      <c r="AM17" s="62">
        <v>120.17</v>
      </c>
      <c r="AN17" s="62">
        <v>120.17</v>
      </c>
      <c r="AO17" s="27"/>
      <c r="AP17" s="27"/>
    </row>
    <row r="18" spans="1:42">
      <c r="A18" s="50">
        <v>1000</v>
      </c>
      <c r="B18" s="33" t="s">
        <v>92</v>
      </c>
      <c r="C18" s="51">
        <v>300</v>
      </c>
      <c r="D18" s="48" t="s">
        <v>147</v>
      </c>
      <c r="E18" s="48"/>
      <c r="F18" s="48"/>
      <c r="G18" s="48"/>
      <c r="H18" s="33"/>
      <c r="I18" s="64"/>
      <c r="J18" s="48"/>
      <c r="K18" s="48"/>
      <c r="L18" s="33"/>
      <c r="M18" s="64"/>
      <c r="N18" s="48"/>
      <c r="O18" s="48"/>
      <c r="P18" s="33"/>
      <c r="Q18" s="64"/>
      <c r="R18" s="48"/>
      <c r="S18" s="48"/>
      <c r="T18" s="33"/>
      <c r="U18" s="64"/>
      <c r="V18" s="48"/>
      <c r="W18" s="48"/>
      <c r="X18" s="33"/>
      <c r="Y18" s="64"/>
      <c r="Z18" s="48"/>
      <c r="AA18" s="48"/>
      <c r="AB18" s="33"/>
      <c r="AC18" s="64"/>
      <c r="AD18" s="48"/>
      <c r="AE18" s="48"/>
      <c r="AF18" s="33"/>
      <c r="AG18" s="64"/>
      <c r="AH18" s="48"/>
      <c r="AI18" s="48"/>
      <c r="AJ18" s="33"/>
      <c r="AK18" s="49"/>
      <c r="AL18" s="27"/>
      <c r="AM18" s="27"/>
      <c r="AN18" s="38"/>
      <c r="AO18" s="27"/>
      <c r="AP18" s="27"/>
    </row>
    <row r="19" spans="1:42">
      <c r="A19" s="54"/>
      <c r="B19" s="33"/>
      <c r="C19" s="55" t="s">
        <v>148</v>
      </c>
      <c r="D19" s="56" t="s">
        <v>88</v>
      </c>
      <c r="E19" s="57">
        <v>6</v>
      </c>
      <c r="F19" s="57">
        <v>7</v>
      </c>
      <c r="G19" s="57">
        <v>7</v>
      </c>
      <c r="H19" s="65">
        <v>7</v>
      </c>
      <c r="I19" s="57">
        <v>0</v>
      </c>
      <c r="J19" s="57">
        <v>0</v>
      </c>
      <c r="K19" s="57">
        <v>0</v>
      </c>
      <c r="L19" s="65">
        <v>0</v>
      </c>
      <c r="M19" s="57">
        <v>0</v>
      </c>
      <c r="N19" s="57">
        <v>0</v>
      </c>
      <c r="O19" s="57">
        <v>0</v>
      </c>
      <c r="P19" s="65">
        <v>0</v>
      </c>
      <c r="Q19" s="57">
        <v>0</v>
      </c>
      <c r="R19" s="57">
        <v>0</v>
      </c>
      <c r="S19" s="57">
        <v>0</v>
      </c>
      <c r="T19" s="65">
        <v>0</v>
      </c>
      <c r="U19" s="57">
        <v>0</v>
      </c>
      <c r="V19" s="57">
        <v>0</v>
      </c>
      <c r="W19" s="57">
        <v>0</v>
      </c>
      <c r="X19" s="65">
        <v>0</v>
      </c>
      <c r="Y19" s="57">
        <v>0</v>
      </c>
      <c r="Z19" s="57">
        <v>0</v>
      </c>
      <c r="AA19" s="57">
        <v>0</v>
      </c>
      <c r="AB19" s="65">
        <v>0</v>
      </c>
      <c r="AC19" s="57">
        <v>0</v>
      </c>
      <c r="AD19" s="57">
        <v>0</v>
      </c>
      <c r="AE19" s="57">
        <v>0</v>
      </c>
      <c r="AF19" s="65">
        <v>0</v>
      </c>
      <c r="AG19" s="57">
        <v>0</v>
      </c>
      <c r="AH19" s="57">
        <v>0</v>
      </c>
      <c r="AI19" s="57">
        <v>0</v>
      </c>
      <c r="AJ19" s="65">
        <v>0</v>
      </c>
      <c r="AK19" s="61">
        <v>6</v>
      </c>
      <c r="AL19" s="61">
        <v>7</v>
      </c>
      <c r="AM19" s="61">
        <v>7</v>
      </c>
      <c r="AN19" s="66">
        <v>7</v>
      </c>
      <c r="AO19" s="27"/>
      <c r="AP19" s="27"/>
    </row>
    <row r="20" spans="1:42">
      <c r="A20" s="54"/>
      <c r="B20" s="33"/>
      <c r="C20" s="55" t="s">
        <v>149</v>
      </c>
      <c r="D20" s="56" t="s">
        <v>89</v>
      </c>
      <c r="E20" s="57">
        <v>0</v>
      </c>
      <c r="F20" s="57">
        <v>0</v>
      </c>
      <c r="G20" s="57">
        <v>0</v>
      </c>
      <c r="H20" s="58">
        <v>0</v>
      </c>
      <c r="I20" s="59">
        <v>0</v>
      </c>
      <c r="J20" s="57">
        <v>0</v>
      </c>
      <c r="K20" s="57">
        <v>0</v>
      </c>
      <c r="L20" s="58">
        <v>0</v>
      </c>
      <c r="M20" s="59">
        <v>0</v>
      </c>
      <c r="N20" s="57">
        <v>0</v>
      </c>
      <c r="O20" s="57">
        <v>0</v>
      </c>
      <c r="P20" s="58">
        <v>0</v>
      </c>
      <c r="Q20" s="59">
        <v>0</v>
      </c>
      <c r="R20" s="57">
        <v>0</v>
      </c>
      <c r="S20" s="57">
        <v>0</v>
      </c>
      <c r="T20" s="58">
        <v>0</v>
      </c>
      <c r="U20" s="59">
        <v>0</v>
      </c>
      <c r="V20" s="57">
        <v>0</v>
      </c>
      <c r="W20" s="57">
        <v>0</v>
      </c>
      <c r="X20" s="58">
        <v>0</v>
      </c>
      <c r="Y20" s="59">
        <v>0</v>
      </c>
      <c r="Z20" s="57">
        <v>0</v>
      </c>
      <c r="AA20" s="57">
        <v>0</v>
      </c>
      <c r="AB20" s="58">
        <v>0</v>
      </c>
      <c r="AC20" s="59">
        <v>0</v>
      </c>
      <c r="AD20" s="57">
        <v>0</v>
      </c>
      <c r="AE20" s="57">
        <v>0</v>
      </c>
      <c r="AF20" s="58">
        <v>0</v>
      </c>
      <c r="AG20" s="59">
        <v>0</v>
      </c>
      <c r="AH20" s="57">
        <v>0</v>
      </c>
      <c r="AI20" s="57">
        <v>0</v>
      </c>
      <c r="AJ20" s="58">
        <v>0</v>
      </c>
      <c r="AK20" s="60">
        <v>0</v>
      </c>
      <c r="AL20" s="62">
        <v>0</v>
      </c>
      <c r="AM20" s="62">
        <v>0</v>
      </c>
      <c r="AN20" s="62">
        <v>0</v>
      </c>
      <c r="AO20" s="27"/>
      <c r="AP20" s="27"/>
    </row>
    <row r="21" spans="1:42">
      <c r="A21" s="54"/>
      <c r="B21" s="33"/>
      <c r="C21" s="55"/>
      <c r="D21" s="56" t="s">
        <v>91</v>
      </c>
      <c r="E21" s="62">
        <v>6</v>
      </c>
      <c r="F21" s="62">
        <v>7</v>
      </c>
      <c r="G21" s="62">
        <v>7</v>
      </c>
      <c r="H21" s="63">
        <v>7</v>
      </c>
      <c r="I21" s="60">
        <v>0</v>
      </c>
      <c r="J21" s="62">
        <v>0</v>
      </c>
      <c r="K21" s="62">
        <v>0</v>
      </c>
      <c r="L21" s="63">
        <v>0</v>
      </c>
      <c r="M21" s="60">
        <v>0</v>
      </c>
      <c r="N21" s="62">
        <v>0</v>
      </c>
      <c r="O21" s="62">
        <v>0</v>
      </c>
      <c r="P21" s="63">
        <v>0</v>
      </c>
      <c r="Q21" s="60">
        <v>0</v>
      </c>
      <c r="R21" s="62">
        <v>0</v>
      </c>
      <c r="S21" s="62">
        <v>0</v>
      </c>
      <c r="T21" s="63">
        <v>0</v>
      </c>
      <c r="U21" s="60">
        <v>0</v>
      </c>
      <c r="V21" s="62">
        <v>0</v>
      </c>
      <c r="W21" s="62">
        <v>0</v>
      </c>
      <c r="X21" s="63">
        <v>0</v>
      </c>
      <c r="Y21" s="60">
        <v>0</v>
      </c>
      <c r="Z21" s="62">
        <v>0</v>
      </c>
      <c r="AA21" s="62">
        <v>0</v>
      </c>
      <c r="AB21" s="63">
        <v>0</v>
      </c>
      <c r="AC21" s="60">
        <v>0</v>
      </c>
      <c r="AD21" s="62">
        <v>0</v>
      </c>
      <c r="AE21" s="62">
        <v>0</v>
      </c>
      <c r="AF21" s="63">
        <v>0</v>
      </c>
      <c r="AG21" s="60">
        <v>0</v>
      </c>
      <c r="AH21" s="62">
        <v>0</v>
      </c>
      <c r="AI21" s="62">
        <v>0</v>
      </c>
      <c r="AJ21" s="63">
        <v>0</v>
      </c>
      <c r="AK21" s="60">
        <v>6</v>
      </c>
      <c r="AL21" s="62">
        <v>7</v>
      </c>
      <c r="AM21" s="62">
        <v>7</v>
      </c>
      <c r="AN21" s="62">
        <v>7</v>
      </c>
      <c r="AO21" s="27"/>
      <c r="AP21" s="27"/>
    </row>
    <row r="22" spans="1:42">
      <c r="A22" s="50">
        <v>1000</v>
      </c>
      <c r="B22" s="33" t="s">
        <v>92</v>
      </c>
      <c r="C22" s="51">
        <v>400</v>
      </c>
      <c r="D22" s="48" t="s">
        <v>18</v>
      </c>
      <c r="E22" s="48"/>
      <c r="F22" s="48"/>
      <c r="G22" s="48"/>
      <c r="H22" s="33"/>
      <c r="I22" s="64"/>
      <c r="J22" s="48"/>
      <c r="K22" s="48"/>
      <c r="L22" s="33"/>
      <c r="M22" s="64"/>
      <c r="N22" s="48"/>
      <c r="O22" s="48"/>
      <c r="P22" s="33"/>
      <c r="Q22" s="64"/>
      <c r="R22" s="48"/>
      <c r="S22" s="48"/>
      <c r="T22" s="33"/>
      <c r="U22" s="64"/>
      <c r="V22" s="48"/>
      <c r="W22" s="48"/>
      <c r="X22" s="33"/>
      <c r="Y22" s="64"/>
      <c r="Z22" s="48"/>
      <c r="AA22" s="48"/>
      <c r="AB22" s="33"/>
      <c r="AC22" s="64"/>
      <c r="AD22" s="48"/>
      <c r="AE22" s="48"/>
      <c r="AF22" s="33"/>
      <c r="AG22" s="64"/>
      <c r="AH22" s="48"/>
      <c r="AI22" s="48"/>
      <c r="AJ22" s="33"/>
      <c r="AK22" s="49"/>
      <c r="AL22" s="27"/>
      <c r="AM22" s="27"/>
      <c r="AN22" s="38"/>
      <c r="AO22" s="27"/>
      <c r="AP22" s="27"/>
    </row>
    <row r="23" spans="1:42">
      <c r="A23" s="54"/>
      <c r="B23" s="33"/>
      <c r="C23" s="55" t="s">
        <v>150</v>
      </c>
      <c r="D23" s="56" t="s">
        <v>88</v>
      </c>
      <c r="E23" s="57">
        <v>2</v>
      </c>
      <c r="F23" s="57">
        <v>2</v>
      </c>
      <c r="G23" s="57">
        <v>2</v>
      </c>
      <c r="H23" s="65">
        <v>2</v>
      </c>
      <c r="I23" s="57">
        <v>0</v>
      </c>
      <c r="J23" s="57">
        <v>0</v>
      </c>
      <c r="K23" s="57">
        <v>0</v>
      </c>
      <c r="L23" s="65">
        <v>0</v>
      </c>
      <c r="M23" s="57">
        <v>0</v>
      </c>
      <c r="N23" s="57">
        <v>0</v>
      </c>
      <c r="O23" s="57">
        <v>0</v>
      </c>
      <c r="P23" s="65">
        <v>0</v>
      </c>
      <c r="Q23" s="57">
        <v>0</v>
      </c>
      <c r="R23" s="57">
        <v>0</v>
      </c>
      <c r="S23" s="57">
        <v>0</v>
      </c>
      <c r="T23" s="65">
        <v>0</v>
      </c>
      <c r="U23" s="57">
        <v>0</v>
      </c>
      <c r="V23" s="57">
        <v>0</v>
      </c>
      <c r="W23" s="57">
        <v>0</v>
      </c>
      <c r="X23" s="65">
        <v>0</v>
      </c>
      <c r="Y23" s="57">
        <v>0</v>
      </c>
      <c r="Z23" s="57">
        <v>0</v>
      </c>
      <c r="AA23" s="57">
        <v>0</v>
      </c>
      <c r="AB23" s="65">
        <v>0</v>
      </c>
      <c r="AC23" s="57">
        <v>0</v>
      </c>
      <c r="AD23" s="57">
        <v>0</v>
      </c>
      <c r="AE23" s="57">
        <v>0</v>
      </c>
      <c r="AF23" s="65">
        <v>0</v>
      </c>
      <c r="AG23" s="57">
        <v>0.22</v>
      </c>
      <c r="AH23" s="57">
        <v>0.22</v>
      </c>
      <c r="AI23" s="57">
        <v>0.22</v>
      </c>
      <c r="AJ23" s="65">
        <v>0.22</v>
      </c>
      <c r="AK23" s="61">
        <v>2.2200000000000002</v>
      </c>
      <c r="AL23" s="61">
        <v>2.2200000000000002</v>
      </c>
      <c r="AM23" s="61">
        <v>2.2200000000000002</v>
      </c>
      <c r="AN23" s="66">
        <v>2.2200000000000002</v>
      </c>
      <c r="AO23" s="27"/>
      <c r="AP23" s="27"/>
    </row>
    <row r="24" spans="1:42">
      <c r="A24" s="54"/>
      <c r="B24" s="33"/>
      <c r="C24" s="55" t="s">
        <v>151</v>
      </c>
      <c r="D24" s="56" t="s">
        <v>89</v>
      </c>
      <c r="E24" s="57">
        <v>5</v>
      </c>
      <c r="F24" s="57">
        <v>5</v>
      </c>
      <c r="G24" s="57">
        <v>5</v>
      </c>
      <c r="H24" s="58">
        <v>5</v>
      </c>
      <c r="I24" s="59">
        <v>0</v>
      </c>
      <c r="J24" s="57">
        <v>0</v>
      </c>
      <c r="K24" s="57">
        <v>0</v>
      </c>
      <c r="L24" s="58">
        <v>0</v>
      </c>
      <c r="M24" s="59">
        <v>0</v>
      </c>
      <c r="N24" s="57">
        <v>0</v>
      </c>
      <c r="O24" s="57">
        <v>0</v>
      </c>
      <c r="P24" s="58">
        <v>0</v>
      </c>
      <c r="Q24" s="59">
        <v>0</v>
      </c>
      <c r="R24" s="57">
        <v>0</v>
      </c>
      <c r="S24" s="57">
        <v>0</v>
      </c>
      <c r="T24" s="58">
        <v>0</v>
      </c>
      <c r="U24" s="59">
        <v>0</v>
      </c>
      <c r="V24" s="57">
        <v>0</v>
      </c>
      <c r="W24" s="57">
        <v>0</v>
      </c>
      <c r="X24" s="58">
        <v>0</v>
      </c>
      <c r="Y24" s="59">
        <v>0</v>
      </c>
      <c r="Z24" s="57">
        <v>0</v>
      </c>
      <c r="AA24" s="57">
        <v>0</v>
      </c>
      <c r="AB24" s="58">
        <v>0</v>
      </c>
      <c r="AC24" s="59">
        <v>0</v>
      </c>
      <c r="AD24" s="57">
        <v>0</v>
      </c>
      <c r="AE24" s="57">
        <v>0</v>
      </c>
      <c r="AF24" s="58">
        <v>0</v>
      </c>
      <c r="AG24" s="59">
        <v>0</v>
      </c>
      <c r="AH24" s="57">
        <v>0</v>
      </c>
      <c r="AI24" s="57">
        <v>0</v>
      </c>
      <c r="AJ24" s="58">
        <v>0</v>
      </c>
      <c r="AK24" s="60">
        <v>5</v>
      </c>
      <c r="AL24" s="62">
        <v>5</v>
      </c>
      <c r="AM24" s="62">
        <v>5</v>
      </c>
      <c r="AN24" s="62">
        <v>5</v>
      </c>
      <c r="AO24" s="27"/>
      <c r="AP24" s="27"/>
    </row>
    <row r="25" spans="1:42">
      <c r="A25" s="54"/>
      <c r="B25" s="33"/>
      <c r="C25" s="55"/>
      <c r="D25" s="56" t="s">
        <v>91</v>
      </c>
      <c r="E25" s="62">
        <v>7</v>
      </c>
      <c r="F25" s="62">
        <v>7</v>
      </c>
      <c r="G25" s="62">
        <v>7</v>
      </c>
      <c r="H25" s="63">
        <v>7</v>
      </c>
      <c r="I25" s="60">
        <v>0</v>
      </c>
      <c r="J25" s="62">
        <v>0</v>
      </c>
      <c r="K25" s="62">
        <v>0</v>
      </c>
      <c r="L25" s="63">
        <v>0</v>
      </c>
      <c r="M25" s="60">
        <v>0</v>
      </c>
      <c r="N25" s="62">
        <v>0</v>
      </c>
      <c r="O25" s="62">
        <v>0</v>
      </c>
      <c r="P25" s="63">
        <v>0</v>
      </c>
      <c r="Q25" s="60">
        <v>0</v>
      </c>
      <c r="R25" s="62">
        <v>0</v>
      </c>
      <c r="S25" s="62">
        <v>0</v>
      </c>
      <c r="T25" s="63">
        <v>0</v>
      </c>
      <c r="U25" s="60">
        <v>0</v>
      </c>
      <c r="V25" s="62">
        <v>0</v>
      </c>
      <c r="W25" s="62">
        <v>0</v>
      </c>
      <c r="X25" s="63">
        <v>0</v>
      </c>
      <c r="Y25" s="60">
        <v>0</v>
      </c>
      <c r="Z25" s="62">
        <v>0</v>
      </c>
      <c r="AA25" s="62">
        <v>0</v>
      </c>
      <c r="AB25" s="63">
        <v>0</v>
      </c>
      <c r="AC25" s="60">
        <v>0</v>
      </c>
      <c r="AD25" s="62">
        <v>0</v>
      </c>
      <c r="AE25" s="62">
        <v>0</v>
      </c>
      <c r="AF25" s="63">
        <v>0</v>
      </c>
      <c r="AG25" s="60">
        <v>0.22</v>
      </c>
      <c r="AH25" s="62">
        <v>0.22</v>
      </c>
      <c r="AI25" s="62">
        <v>0.22</v>
      </c>
      <c r="AJ25" s="63">
        <v>0.22</v>
      </c>
      <c r="AK25" s="60">
        <v>7.22</v>
      </c>
      <c r="AL25" s="62">
        <v>7.22</v>
      </c>
      <c r="AM25" s="62">
        <v>7.22</v>
      </c>
      <c r="AN25" s="62">
        <v>7.22</v>
      </c>
      <c r="AO25" s="27"/>
      <c r="AP25" s="27"/>
    </row>
    <row r="26" spans="1:42">
      <c r="A26" s="50">
        <v>1000</v>
      </c>
      <c r="B26" s="33" t="s">
        <v>92</v>
      </c>
      <c r="C26" s="51">
        <v>208</v>
      </c>
      <c r="D26" s="48" t="s">
        <v>152</v>
      </c>
      <c r="E26" s="48"/>
      <c r="F26" s="48"/>
      <c r="G26" s="48"/>
      <c r="H26" s="33"/>
      <c r="I26" s="64"/>
      <c r="J26" s="48"/>
      <c r="K26" s="48"/>
      <c r="L26" s="33"/>
      <c r="M26" s="64"/>
      <c r="N26" s="48"/>
      <c r="O26" s="48"/>
      <c r="P26" s="33"/>
      <c r="Q26" s="64"/>
      <c r="R26" s="48"/>
      <c r="S26" s="48"/>
      <c r="T26" s="33"/>
      <c r="U26" s="64"/>
      <c r="V26" s="48"/>
      <c r="W26" s="48"/>
      <c r="X26" s="33"/>
      <c r="Y26" s="64"/>
      <c r="Z26" s="48"/>
      <c r="AA26" s="48"/>
      <c r="AB26" s="33"/>
      <c r="AC26" s="64"/>
      <c r="AD26" s="48"/>
      <c r="AE26" s="48"/>
      <c r="AF26" s="33"/>
      <c r="AG26" s="64"/>
      <c r="AH26" s="48"/>
      <c r="AI26" s="48"/>
      <c r="AJ26" s="33"/>
      <c r="AK26" s="49"/>
      <c r="AL26" s="27"/>
      <c r="AM26" s="27"/>
      <c r="AN26" s="38"/>
      <c r="AO26" s="27"/>
      <c r="AP26" s="27"/>
    </row>
    <row r="27" spans="1:42">
      <c r="A27" s="54"/>
      <c r="B27" s="33"/>
      <c r="C27" s="55" t="s">
        <v>153</v>
      </c>
      <c r="D27" s="56" t="s">
        <v>88</v>
      </c>
      <c r="E27" s="57">
        <v>1.4</v>
      </c>
      <c r="F27" s="57">
        <v>0</v>
      </c>
      <c r="G27" s="57">
        <v>0</v>
      </c>
      <c r="H27" s="65">
        <v>0</v>
      </c>
      <c r="I27" s="57">
        <v>7</v>
      </c>
      <c r="J27" s="57">
        <v>7</v>
      </c>
      <c r="K27" s="57">
        <v>7</v>
      </c>
      <c r="L27" s="65">
        <v>7</v>
      </c>
      <c r="M27" s="57">
        <v>0</v>
      </c>
      <c r="N27" s="57">
        <v>0</v>
      </c>
      <c r="O27" s="57">
        <v>0</v>
      </c>
      <c r="P27" s="65">
        <v>0</v>
      </c>
      <c r="Q27" s="57">
        <v>0</v>
      </c>
      <c r="R27" s="57">
        <v>0</v>
      </c>
      <c r="S27" s="57">
        <v>0</v>
      </c>
      <c r="T27" s="65">
        <v>0</v>
      </c>
      <c r="U27" s="57">
        <v>0</v>
      </c>
      <c r="V27" s="57">
        <v>0</v>
      </c>
      <c r="W27" s="57">
        <v>0</v>
      </c>
      <c r="X27" s="65">
        <v>0</v>
      </c>
      <c r="Y27" s="57">
        <v>0</v>
      </c>
      <c r="Z27" s="57">
        <v>0</v>
      </c>
      <c r="AA27" s="57">
        <v>0</v>
      </c>
      <c r="AB27" s="65">
        <v>0</v>
      </c>
      <c r="AC27" s="57">
        <v>0</v>
      </c>
      <c r="AD27" s="57">
        <v>0</v>
      </c>
      <c r="AE27" s="57">
        <v>0</v>
      </c>
      <c r="AF27" s="65">
        <v>0</v>
      </c>
      <c r="AG27" s="57">
        <v>0</v>
      </c>
      <c r="AH27" s="57">
        <v>0</v>
      </c>
      <c r="AI27" s="57">
        <v>0</v>
      </c>
      <c r="AJ27" s="65">
        <v>0</v>
      </c>
      <c r="AK27" s="61">
        <v>8.4</v>
      </c>
      <c r="AL27" s="61">
        <v>7</v>
      </c>
      <c r="AM27" s="61">
        <v>7</v>
      </c>
      <c r="AN27" s="66">
        <v>7</v>
      </c>
      <c r="AO27" s="27"/>
      <c r="AP27" s="27"/>
    </row>
    <row r="28" spans="1:42">
      <c r="A28" s="54"/>
      <c r="B28" s="33"/>
      <c r="C28" s="55" t="s">
        <v>154</v>
      </c>
      <c r="D28" s="56" t="s">
        <v>89</v>
      </c>
      <c r="E28" s="57">
        <v>0</v>
      </c>
      <c r="F28" s="57">
        <v>0</v>
      </c>
      <c r="G28" s="57">
        <v>0</v>
      </c>
      <c r="H28" s="58">
        <v>0</v>
      </c>
      <c r="I28" s="59">
        <v>0</v>
      </c>
      <c r="J28" s="57">
        <v>0</v>
      </c>
      <c r="K28" s="57">
        <v>0</v>
      </c>
      <c r="L28" s="58">
        <v>0</v>
      </c>
      <c r="M28" s="59">
        <v>0</v>
      </c>
      <c r="N28" s="57">
        <v>0</v>
      </c>
      <c r="O28" s="57">
        <v>0</v>
      </c>
      <c r="P28" s="58">
        <v>0</v>
      </c>
      <c r="Q28" s="59">
        <v>0</v>
      </c>
      <c r="R28" s="57">
        <v>0</v>
      </c>
      <c r="S28" s="57">
        <v>0</v>
      </c>
      <c r="T28" s="58">
        <v>0</v>
      </c>
      <c r="U28" s="59">
        <v>0</v>
      </c>
      <c r="V28" s="57">
        <v>0</v>
      </c>
      <c r="W28" s="57">
        <v>0</v>
      </c>
      <c r="X28" s="58">
        <v>0</v>
      </c>
      <c r="Y28" s="59">
        <v>0</v>
      </c>
      <c r="Z28" s="57">
        <v>0</v>
      </c>
      <c r="AA28" s="57">
        <v>0</v>
      </c>
      <c r="AB28" s="58">
        <v>0</v>
      </c>
      <c r="AC28" s="59">
        <v>0</v>
      </c>
      <c r="AD28" s="57">
        <v>0</v>
      </c>
      <c r="AE28" s="57">
        <v>0</v>
      </c>
      <c r="AF28" s="58">
        <v>0</v>
      </c>
      <c r="AG28" s="59">
        <v>0</v>
      </c>
      <c r="AH28" s="57">
        <v>0</v>
      </c>
      <c r="AI28" s="57">
        <v>0</v>
      </c>
      <c r="AJ28" s="58">
        <v>0</v>
      </c>
      <c r="AK28" s="60">
        <v>0</v>
      </c>
      <c r="AL28" s="62">
        <v>0</v>
      </c>
      <c r="AM28" s="62">
        <v>0</v>
      </c>
      <c r="AN28" s="62">
        <v>0</v>
      </c>
      <c r="AO28" s="27"/>
      <c r="AP28" s="27"/>
    </row>
    <row r="29" spans="1:42">
      <c r="A29" s="54"/>
      <c r="B29" s="33"/>
      <c r="C29" s="55"/>
      <c r="D29" s="56" t="s">
        <v>91</v>
      </c>
      <c r="E29" s="62">
        <v>1.4</v>
      </c>
      <c r="F29" s="62">
        <v>0</v>
      </c>
      <c r="G29" s="62">
        <v>0</v>
      </c>
      <c r="H29" s="63">
        <v>0</v>
      </c>
      <c r="I29" s="60">
        <v>7</v>
      </c>
      <c r="J29" s="62">
        <v>7</v>
      </c>
      <c r="K29" s="62">
        <v>7</v>
      </c>
      <c r="L29" s="63">
        <v>7</v>
      </c>
      <c r="M29" s="60">
        <v>0</v>
      </c>
      <c r="N29" s="62">
        <v>0</v>
      </c>
      <c r="O29" s="62">
        <v>0</v>
      </c>
      <c r="P29" s="63">
        <v>0</v>
      </c>
      <c r="Q29" s="60">
        <v>0</v>
      </c>
      <c r="R29" s="62">
        <v>0</v>
      </c>
      <c r="S29" s="62">
        <v>0</v>
      </c>
      <c r="T29" s="63">
        <v>0</v>
      </c>
      <c r="U29" s="60">
        <v>0</v>
      </c>
      <c r="V29" s="62">
        <v>0</v>
      </c>
      <c r="W29" s="62">
        <v>0</v>
      </c>
      <c r="X29" s="63">
        <v>0</v>
      </c>
      <c r="Y29" s="60">
        <v>0</v>
      </c>
      <c r="Z29" s="62">
        <v>0</v>
      </c>
      <c r="AA29" s="62">
        <v>0</v>
      </c>
      <c r="AB29" s="63">
        <v>0</v>
      </c>
      <c r="AC29" s="60">
        <v>0</v>
      </c>
      <c r="AD29" s="62">
        <v>0</v>
      </c>
      <c r="AE29" s="62">
        <v>0</v>
      </c>
      <c r="AF29" s="63">
        <v>0</v>
      </c>
      <c r="AG29" s="60">
        <v>0</v>
      </c>
      <c r="AH29" s="62">
        <v>0</v>
      </c>
      <c r="AI29" s="62">
        <v>0</v>
      </c>
      <c r="AJ29" s="63">
        <v>0</v>
      </c>
      <c r="AK29" s="60">
        <v>8.4</v>
      </c>
      <c r="AL29" s="62">
        <v>7</v>
      </c>
      <c r="AM29" s="62">
        <v>7</v>
      </c>
      <c r="AN29" s="62">
        <v>7</v>
      </c>
      <c r="AO29" s="27"/>
      <c r="AP29" s="27"/>
    </row>
    <row r="30" spans="1:42">
      <c r="A30" s="50">
        <v>1000</v>
      </c>
      <c r="B30" s="33" t="s">
        <v>92</v>
      </c>
      <c r="C30" s="51">
        <v>207</v>
      </c>
      <c r="D30" s="48" t="s">
        <v>155</v>
      </c>
      <c r="E30" s="48"/>
      <c r="F30" s="48"/>
      <c r="G30" s="48"/>
      <c r="H30" s="33"/>
      <c r="I30" s="64"/>
      <c r="J30" s="48"/>
      <c r="K30" s="48"/>
      <c r="L30" s="33"/>
      <c r="M30" s="64"/>
      <c r="N30" s="48"/>
      <c r="O30" s="48"/>
      <c r="P30" s="33"/>
      <c r="Q30" s="64"/>
      <c r="R30" s="48"/>
      <c r="S30" s="48"/>
      <c r="T30" s="33"/>
      <c r="U30" s="64"/>
      <c r="V30" s="48"/>
      <c r="W30" s="48"/>
      <c r="X30" s="33"/>
      <c r="Y30" s="64"/>
      <c r="Z30" s="48"/>
      <c r="AA30" s="48"/>
      <c r="AB30" s="33"/>
      <c r="AC30" s="64"/>
      <c r="AD30" s="48"/>
      <c r="AE30" s="48"/>
      <c r="AF30" s="33"/>
      <c r="AG30" s="64"/>
      <c r="AH30" s="48"/>
      <c r="AI30" s="48"/>
      <c r="AJ30" s="33"/>
      <c r="AK30" s="49"/>
      <c r="AL30" s="27"/>
      <c r="AM30" s="27"/>
      <c r="AN30" s="38"/>
      <c r="AO30" s="27"/>
      <c r="AP30" s="27"/>
    </row>
    <row r="31" spans="1:42">
      <c r="A31" s="54"/>
      <c r="B31" s="33"/>
      <c r="C31" s="55" t="s">
        <v>156</v>
      </c>
      <c r="D31" s="56" t="s">
        <v>88</v>
      </c>
      <c r="E31" s="57">
        <v>1.5</v>
      </c>
      <c r="F31" s="57">
        <v>0</v>
      </c>
      <c r="G31" s="57">
        <v>0</v>
      </c>
      <c r="H31" s="65">
        <v>0</v>
      </c>
      <c r="I31" s="57">
        <v>0</v>
      </c>
      <c r="J31" s="57">
        <v>0</v>
      </c>
      <c r="K31" s="57">
        <v>0</v>
      </c>
      <c r="L31" s="65">
        <v>0</v>
      </c>
      <c r="M31" s="57">
        <v>0</v>
      </c>
      <c r="N31" s="57">
        <v>0</v>
      </c>
      <c r="O31" s="57">
        <v>0</v>
      </c>
      <c r="P31" s="65">
        <v>0</v>
      </c>
      <c r="Q31" s="57">
        <v>2</v>
      </c>
      <c r="R31" s="57">
        <v>4.5</v>
      </c>
      <c r="S31" s="57">
        <v>7.5</v>
      </c>
      <c r="T31" s="65">
        <v>7.5</v>
      </c>
      <c r="U31" s="57">
        <v>0</v>
      </c>
      <c r="V31" s="57">
        <v>0</v>
      </c>
      <c r="W31" s="57">
        <v>0</v>
      </c>
      <c r="X31" s="65">
        <v>0</v>
      </c>
      <c r="Y31" s="57">
        <v>0</v>
      </c>
      <c r="Z31" s="57">
        <v>0</v>
      </c>
      <c r="AA31" s="57">
        <v>0</v>
      </c>
      <c r="AB31" s="65">
        <v>0</v>
      </c>
      <c r="AC31" s="57">
        <v>0</v>
      </c>
      <c r="AD31" s="57">
        <v>0</v>
      </c>
      <c r="AE31" s="57">
        <v>0</v>
      </c>
      <c r="AF31" s="65">
        <v>0</v>
      </c>
      <c r="AG31" s="57">
        <v>0</v>
      </c>
      <c r="AH31" s="57">
        <v>0</v>
      </c>
      <c r="AI31" s="57">
        <v>0</v>
      </c>
      <c r="AJ31" s="65">
        <v>0</v>
      </c>
      <c r="AK31" s="61">
        <v>3.5</v>
      </c>
      <c r="AL31" s="61">
        <v>4.5</v>
      </c>
      <c r="AM31" s="61">
        <v>7.5</v>
      </c>
      <c r="AN31" s="66">
        <v>7.5</v>
      </c>
      <c r="AO31" s="27"/>
      <c r="AP31" s="27"/>
    </row>
    <row r="32" spans="1:42">
      <c r="A32" s="54"/>
      <c r="B32" s="33"/>
      <c r="C32" s="55" t="s">
        <v>157</v>
      </c>
      <c r="D32" s="56" t="s">
        <v>89</v>
      </c>
      <c r="E32" s="57">
        <v>0</v>
      </c>
      <c r="F32" s="57">
        <v>0</v>
      </c>
      <c r="G32" s="57">
        <v>0</v>
      </c>
      <c r="H32" s="58">
        <v>0</v>
      </c>
      <c r="I32" s="59">
        <v>0</v>
      </c>
      <c r="J32" s="57">
        <v>0</v>
      </c>
      <c r="K32" s="57">
        <v>0</v>
      </c>
      <c r="L32" s="58">
        <v>0</v>
      </c>
      <c r="M32" s="59">
        <v>0</v>
      </c>
      <c r="N32" s="57">
        <v>0</v>
      </c>
      <c r="O32" s="57">
        <v>0</v>
      </c>
      <c r="P32" s="58">
        <v>0</v>
      </c>
      <c r="Q32" s="59">
        <v>0</v>
      </c>
      <c r="R32" s="57">
        <v>0</v>
      </c>
      <c r="S32" s="57">
        <v>0</v>
      </c>
      <c r="T32" s="58">
        <v>0</v>
      </c>
      <c r="U32" s="59">
        <v>0</v>
      </c>
      <c r="V32" s="57">
        <v>0</v>
      </c>
      <c r="W32" s="57">
        <v>0</v>
      </c>
      <c r="X32" s="58">
        <v>0</v>
      </c>
      <c r="Y32" s="59">
        <v>0</v>
      </c>
      <c r="Z32" s="57">
        <v>0</v>
      </c>
      <c r="AA32" s="57">
        <v>0</v>
      </c>
      <c r="AB32" s="58">
        <v>0</v>
      </c>
      <c r="AC32" s="59">
        <v>0</v>
      </c>
      <c r="AD32" s="57">
        <v>0</v>
      </c>
      <c r="AE32" s="57">
        <v>0</v>
      </c>
      <c r="AF32" s="58">
        <v>0</v>
      </c>
      <c r="AG32" s="59">
        <v>0</v>
      </c>
      <c r="AH32" s="57">
        <v>0</v>
      </c>
      <c r="AI32" s="57">
        <v>0</v>
      </c>
      <c r="AJ32" s="58">
        <v>0</v>
      </c>
      <c r="AK32" s="60">
        <v>0</v>
      </c>
      <c r="AL32" s="62">
        <v>0</v>
      </c>
      <c r="AM32" s="62">
        <v>0</v>
      </c>
      <c r="AN32" s="62">
        <v>0</v>
      </c>
      <c r="AO32" s="27"/>
      <c r="AP32" s="27"/>
    </row>
    <row r="33" spans="1:42">
      <c r="A33" s="54"/>
      <c r="B33" s="33"/>
      <c r="C33" s="55"/>
      <c r="D33" s="56" t="s">
        <v>91</v>
      </c>
      <c r="E33" s="62">
        <v>1.5</v>
      </c>
      <c r="F33" s="62">
        <v>0</v>
      </c>
      <c r="G33" s="62">
        <v>0</v>
      </c>
      <c r="H33" s="63">
        <v>0</v>
      </c>
      <c r="I33" s="60">
        <v>0</v>
      </c>
      <c r="J33" s="62">
        <v>0</v>
      </c>
      <c r="K33" s="62">
        <v>0</v>
      </c>
      <c r="L33" s="63">
        <v>0</v>
      </c>
      <c r="M33" s="60">
        <v>0</v>
      </c>
      <c r="N33" s="62">
        <v>0</v>
      </c>
      <c r="O33" s="62">
        <v>0</v>
      </c>
      <c r="P33" s="63">
        <v>0</v>
      </c>
      <c r="Q33" s="60">
        <v>2</v>
      </c>
      <c r="R33" s="62">
        <v>4.5</v>
      </c>
      <c r="S33" s="62">
        <v>7.5</v>
      </c>
      <c r="T33" s="63">
        <v>7.5</v>
      </c>
      <c r="U33" s="60">
        <v>0</v>
      </c>
      <c r="V33" s="62">
        <v>0</v>
      </c>
      <c r="W33" s="62">
        <v>0</v>
      </c>
      <c r="X33" s="63">
        <v>0</v>
      </c>
      <c r="Y33" s="60">
        <v>0</v>
      </c>
      <c r="Z33" s="62">
        <v>0</v>
      </c>
      <c r="AA33" s="62">
        <v>0</v>
      </c>
      <c r="AB33" s="63">
        <v>0</v>
      </c>
      <c r="AC33" s="60">
        <v>0</v>
      </c>
      <c r="AD33" s="62">
        <v>0</v>
      </c>
      <c r="AE33" s="62">
        <v>0</v>
      </c>
      <c r="AF33" s="63">
        <v>0</v>
      </c>
      <c r="AG33" s="60">
        <v>0</v>
      </c>
      <c r="AH33" s="62">
        <v>0</v>
      </c>
      <c r="AI33" s="62">
        <v>0</v>
      </c>
      <c r="AJ33" s="63">
        <v>0</v>
      </c>
      <c r="AK33" s="60">
        <v>3.5</v>
      </c>
      <c r="AL33" s="62">
        <v>4.5</v>
      </c>
      <c r="AM33" s="62">
        <v>7.5</v>
      </c>
      <c r="AN33" s="62">
        <v>7.5</v>
      </c>
      <c r="AO33" s="27"/>
      <c r="AP33" s="27"/>
    </row>
    <row r="34" spans="1:42">
      <c r="A34" s="50">
        <v>1000</v>
      </c>
      <c r="B34" s="33" t="s">
        <v>92</v>
      </c>
      <c r="C34" s="51">
        <v>208</v>
      </c>
      <c r="D34" s="48" t="s">
        <v>158</v>
      </c>
      <c r="E34" s="48"/>
      <c r="F34" s="48"/>
      <c r="G34" s="48"/>
      <c r="H34" s="33"/>
      <c r="I34" s="64"/>
      <c r="J34" s="48"/>
      <c r="K34" s="48"/>
      <c r="L34" s="33"/>
      <c r="M34" s="64"/>
      <c r="N34" s="48"/>
      <c r="O34" s="48"/>
      <c r="P34" s="33"/>
      <c r="Q34" s="64"/>
      <c r="R34" s="48"/>
      <c r="S34" s="48"/>
      <c r="T34" s="33"/>
      <c r="U34" s="64"/>
      <c r="V34" s="48"/>
      <c r="W34" s="48"/>
      <c r="X34" s="33"/>
      <c r="Y34" s="64"/>
      <c r="Z34" s="48"/>
      <c r="AA34" s="48"/>
      <c r="AB34" s="33"/>
      <c r="AC34" s="64"/>
      <c r="AD34" s="48"/>
      <c r="AE34" s="48"/>
      <c r="AF34" s="33"/>
      <c r="AG34" s="64"/>
      <c r="AH34" s="48"/>
      <c r="AI34" s="48"/>
      <c r="AJ34" s="33"/>
      <c r="AK34" s="49"/>
      <c r="AL34" s="27"/>
      <c r="AM34" s="27"/>
      <c r="AN34" s="38"/>
      <c r="AO34" s="27"/>
      <c r="AP34" s="27"/>
    </row>
    <row r="35" spans="1:42">
      <c r="A35" s="54"/>
      <c r="B35" s="33"/>
      <c r="C35" s="55" t="s">
        <v>159</v>
      </c>
      <c r="D35" s="56" t="s">
        <v>88</v>
      </c>
      <c r="E35" s="57">
        <v>0</v>
      </c>
      <c r="F35" s="57">
        <v>0</v>
      </c>
      <c r="G35" s="57">
        <v>0</v>
      </c>
      <c r="H35" s="65">
        <v>0</v>
      </c>
      <c r="I35" s="57">
        <v>0</v>
      </c>
      <c r="J35" s="57">
        <v>0</v>
      </c>
      <c r="K35" s="57">
        <v>0</v>
      </c>
      <c r="L35" s="65">
        <v>0</v>
      </c>
      <c r="M35" s="57">
        <v>1</v>
      </c>
      <c r="N35" s="57">
        <v>1</v>
      </c>
      <c r="O35" s="57">
        <v>1</v>
      </c>
      <c r="P35" s="65">
        <v>1</v>
      </c>
      <c r="Q35" s="57">
        <v>0</v>
      </c>
      <c r="R35" s="57">
        <v>0</v>
      </c>
      <c r="S35" s="57">
        <v>0</v>
      </c>
      <c r="T35" s="65">
        <v>0</v>
      </c>
      <c r="U35" s="57">
        <v>0</v>
      </c>
      <c r="V35" s="57">
        <v>0</v>
      </c>
      <c r="W35" s="57">
        <v>0</v>
      </c>
      <c r="X35" s="65">
        <v>0</v>
      </c>
      <c r="Y35" s="57">
        <v>0</v>
      </c>
      <c r="Z35" s="57">
        <v>0</v>
      </c>
      <c r="AA35" s="57">
        <v>0</v>
      </c>
      <c r="AB35" s="65">
        <v>0</v>
      </c>
      <c r="AC35" s="57">
        <v>0</v>
      </c>
      <c r="AD35" s="57">
        <v>0</v>
      </c>
      <c r="AE35" s="57">
        <v>0</v>
      </c>
      <c r="AF35" s="65">
        <v>0</v>
      </c>
      <c r="AG35" s="57">
        <v>0</v>
      </c>
      <c r="AH35" s="57">
        <v>0</v>
      </c>
      <c r="AI35" s="57">
        <v>0</v>
      </c>
      <c r="AJ35" s="65">
        <v>0</v>
      </c>
      <c r="AK35" s="61">
        <v>1</v>
      </c>
      <c r="AL35" s="61">
        <v>1</v>
      </c>
      <c r="AM35" s="61">
        <v>1</v>
      </c>
      <c r="AN35" s="66">
        <v>1</v>
      </c>
      <c r="AO35" s="27"/>
      <c r="AP35" s="27"/>
    </row>
    <row r="36" spans="1:42">
      <c r="A36" s="54"/>
      <c r="B36" s="33"/>
      <c r="C36" s="55" t="s">
        <v>160</v>
      </c>
      <c r="D36" s="56" t="s">
        <v>89</v>
      </c>
      <c r="E36" s="57">
        <v>0</v>
      </c>
      <c r="F36" s="57">
        <v>0</v>
      </c>
      <c r="G36" s="57">
        <v>0</v>
      </c>
      <c r="H36" s="58">
        <v>0</v>
      </c>
      <c r="I36" s="59">
        <v>0</v>
      </c>
      <c r="J36" s="57">
        <v>0</v>
      </c>
      <c r="K36" s="57">
        <v>0</v>
      </c>
      <c r="L36" s="58">
        <v>0</v>
      </c>
      <c r="M36" s="59">
        <v>0</v>
      </c>
      <c r="N36" s="57">
        <v>0</v>
      </c>
      <c r="O36" s="57">
        <v>0</v>
      </c>
      <c r="P36" s="58">
        <v>0</v>
      </c>
      <c r="Q36" s="59">
        <v>0</v>
      </c>
      <c r="R36" s="57">
        <v>0</v>
      </c>
      <c r="S36" s="57">
        <v>0</v>
      </c>
      <c r="T36" s="58">
        <v>0</v>
      </c>
      <c r="U36" s="59">
        <v>0</v>
      </c>
      <c r="V36" s="57">
        <v>0</v>
      </c>
      <c r="W36" s="57">
        <v>0</v>
      </c>
      <c r="X36" s="58">
        <v>0</v>
      </c>
      <c r="Y36" s="59">
        <v>0</v>
      </c>
      <c r="Z36" s="57">
        <v>0</v>
      </c>
      <c r="AA36" s="57">
        <v>0</v>
      </c>
      <c r="AB36" s="58">
        <v>0</v>
      </c>
      <c r="AC36" s="59">
        <v>0</v>
      </c>
      <c r="AD36" s="57">
        <v>0</v>
      </c>
      <c r="AE36" s="57">
        <v>0</v>
      </c>
      <c r="AF36" s="58">
        <v>0</v>
      </c>
      <c r="AG36" s="59">
        <v>0</v>
      </c>
      <c r="AH36" s="57">
        <v>0</v>
      </c>
      <c r="AI36" s="57">
        <v>0</v>
      </c>
      <c r="AJ36" s="58">
        <v>0</v>
      </c>
      <c r="AK36" s="60">
        <v>0</v>
      </c>
      <c r="AL36" s="62">
        <v>0</v>
      </c>
      <c r="AM36" s="62">
        <v>0</v>
      </c>
      <c r="AN36" s="62">
        <v>0</v>
      </c>
      <c r="AO36" s="27"/>
      <c r="AP36" s="27"/>
    </row>
    <row r="37" spans="1:42">
      <c r="A37" s="54"/>
      <c r="B37" s="33"/>
      <c r="C37" s="55"/>
      <c r="D37" s="56" t="s">
        <v>91</v>
      </c>
      <c r="E37" s="62">
        <v>0</v>
      </c>
      <c r="F37" s="62">
        <v>0</v>
      </c>
      <c r="G37" s="62">
        <v>0</v>
      </c>
      <c r="H37" s="63">
        <v>0</v>
      </c>
      <c r="I37" s="60">
        <v>0</v>
      </c>
      <c r="J37" s="62">
        <v>0</v>
      </c>
      <c r="K37" s="62">
        <v>0</v>
      </c>
      <c r="L37" s="63">
        <v>0</v>
      </c>
      <c r="M37" s="60">
        <v>1</v>
      </c>
      <c r="N37" s="62">
        <v>1</v>
      </c>
      <c r="O37" s="62">
        <v>1</v>
      </c>
      <c r="P37" s="63">
        <v>1</v>
      </c>
      <c r="Q37" s="60">
        <v>0</v>
      </c>
      <c r="R37" s="62">
        <v>0</v>
      </c>
      <c r="S37" s="62">
        <v>0</v>
      </c>
      <c r="T37" s="63">
        <v>0</v>
      </c>
      <c r="U37" s="60">
        <v>0</v>
      </c>
      <c r="V37" s="62">
        <v>0</v>
      </c>
      <c r="W37" s="62">
        <v>0</v>
      </c>
      <c r="X37" s="63">
        <v>0</v>
      </c>
      <c r="Y37" s="60">
        <v>0</v>
      </c>
      <c r="Z37" s="62">
        <v>0</v>
      </c>
      <c r="AA37" s="62">
        <v>0</v>
      </c>
      <c r="AB37" s="63">
        <v>0</v>
      </c>
      <c r="AC37" s="60">
        <v>0</v>
      </c>
      <c r="AD37" s="62">
        <v>0</v>
      </c>
      <c r="AE37" s="62">
        <v>0</v>
      </c>
      <c r="AF37" s="63">
        <v>0</v>
      </c>
      <c r="AG37" s="60">
        <v>0</v>
      </c>
      <c r="AH37" s="62">
        <v>0</v>
      </c>
      <c r="AI37" s="62">
        <v>0</v>
      </c>
      <c r="AJ37" s="63">
        <v>0</v>
      </c>
      <c r="AK37" s="60">
        <v>1</v>
      </c>
      <c r="AL37" s="62">
        <v>1</v>
      </c>
      <c r="AM37" s="62">
        <v>1</v>
      </c>
      <c r="AN37" s="62">
        <v>1</v>
      </c>
      <c r="AO37" s="27"/>
      <c r="AP37" s="27"/>
    </row>
    <row r="38" spans="1:42">
      <c r="A38" s="50">
        <v>1000</v>
      </c>
      <c r="B38" s="33" t="s">
        <v>92</v>
      </c>
      <c r="C38" s="51">
        <v>600</v>
      </c>
      <c r="D38" s="48" t="s">
        <v>16</v>
      </c>
      <c r="E38" s="48"/>
      <c r="F38" s="48"/>
      <c r="G38" s="48"/>
      <c r="H38" s="33"/>
      <c r="I38" s="64"/>
      <c r="J38" s="48"/>
      <c r="K38" s="48"/>
      <c r="L38" s="33"/>
      <c r="M38" s="64"/>
      <c r="N38" s="48"/>
      <c r="O38" s="48"/>
      <c r="P38" s="33"/>
      <c r="Q38" s="64"/>
      <c r="R38" s="48"/>
      <c r="S38" s="48"/>
      <c r="T38" s="33"/>
      <c r="U38" s="64"/>
      <c r="V38" s="48"/>
      <c r="W38" s="48"/>
      <c r="X38" s="33"/>
      <c r="Y38" s="64"/>
      <c r="Z38" s="48"/>
      <c r="AA38" s="48"/>
      <c r="AB38" s="33"/>
      <c r="AC38" s="64"/>
      <c r="AD38" s="48"/>
      <c r="AE38" s="48"/>
      <c r="AF38" s="33"/>
      <c r="AG38" s="64"/>
      <c r="AH38" s="48"/>
      <c r="AI38" s="48"/>
      <c r="AJ38" s="33"/>
      <c r="AK38" s="49"/>
      <c r="AL38" s="27"/>
      <c r="AM38" s="27"/>
      <c r="AN38" s="38"/>
      <c r="AO38" s="27"/>
      <c r="AP38" s="27"/>
    </row>
    <row r="39" spans="1:42">
      <c r="A39" s="54"/>
      <c r="B39" s="33"/>
      <c r="C39" s="55" t="s">
        <v>161</v>
      </c>
      <c r="D39" s="56" t="s">
        <v>88</v>
      </c>
      <c r="E39" s="57">
        <v>0</v>
      </c>
      <c r="F39" s="57">
        <v>0</v>
      </c>
      <c r="G39" s="57">
        <v>0</v>
      </c>
      <c r="H39" s="65">
        <v>0</v>
      </c>
      <c r="I39" s="57">
        <v>0</v>
      </c>
      <c r="J39" s="57">
        <v>0</v>
      </c>
      <c r="K39" s="57">
        <v>0</v>
      </c>
      <c r="L39" s="65">
        <v>0</v>
      </c>
      <c r="M39" s="57">
        <v>0</v>
      </c>
      <c r="N39" s="57">
        <v>0</v>
      </c>
      <c r="O39" s="57">
        <v>0</v>
      </c>
      <c r="P39" s="65">
        <v>0</v>
      </c>
      <c r="Q39" s="57">
        <v>0</v>
      </c>
      <c r="R39" s="57">
        <v>0</v>
      </c>
      <c r="S39" s="57">
        <v>0</v>
      </c>
      <c r="T39" s="65">
        <v>0</v>
      </c>
      <c r="U39" s="57">
        <v>0</v>
      </c>
      <c r="V39" s="57">
        <v>0</v>
      </c>
      <c r="W39" s="57">
        <v>0</v>
      </c>
      <c r="X39" s="65">
        <v>0</v>
      </c>
      <c r="Y39" s="57">
        <v>0</v>
      </c>
      <c r="Z39" s="57">
        <v>0</v>
      </c>
      <c r="AA39" s="57">
        <v>0</v>
      </c>
      <c r="AB39" s="65">
        <v>0</v>
      </c>
      <c r="AC39" s="57">
        <v>0</v>
      </c>
      <c r="AD39" s="57">
        <v>0</v>
      </c>
      <c r="AE39" s="57">
        <v>0</v>
      </c>
      <c r="AF39" s="65">
        <v>0</v>
      </c>
      <c r="AG39" s="57">
        <v>0</v>
      </c>
      <c r="AH39" s="57">
        <v>0</v>
      </c>
      <c r="AI39" s="57">
        <v>0</v>
      </c>
      <c r="AJ39" s="65">
        <v>0</v>
      </c>
      <c r="AK39" s="61">
        <v>0</v>
      </c>
      <c r="AL39" s="61">
        <v>0</v>
      </c>
      <c r="AM39" s="61">
        <v>0</v>
      </c>
      <c r="AN39" s="66">
        <v>0</v>
      </c>
      <c r="AO39" s="27"/>
      <c r="AP39" s="27"/>
    </row>
    <row r="40" spans="1:42">
      <c r="A40" s="54"/>
      <c r="B40" s="33"/>
      <c r="C40" s="55" t="s">
        <v>162</v>
      </c>
      <c r="D40" s="56" t="s">
        <v>89</v>
      </c>
      <c r="E40" s="57">
        <v>0</v>
      </c>
      <c r="F40" s="57">
        <v>0</v>
      </c>
      <c r="G40" s="57">
        <v>0</v>
      </c>
      <c r="H40" s="58">
        <v>0</v>
      </c>
      <c r="I40" s="59">
        <v>0</v>
      </c>
      <c r="J40" s="57">
        <v>0</v>
      </c>
      <c r="K40" s="57">
        <v>0</v>
      </c>
      <c r="L40" s="58">
        <v>0</v>
      </c>
      <c r="M40" s="59">
        <v>0</v>
      </c>
      <c r="N40" s="57">
        <v>0</v>
      </c>
      <c r="O40" s="57">
        <v>0</v>
      </c>
      <c r="P40" s="58">
        <v>0</v>
      </c>
      <c r="Q40" s="59">
        <v>0</v>
      </c>
      <c r="R40" s="57">
        <v>0</v>
      </c>
      <c r="S40" s="57">
        <v>0</v>
      </c>
      <c r="T40" s="58">
        <v>0</v>
      </c>
      <c r="U40" s="59">
        <v>0</v>
      </c>
      <c r="V40" s="57">
        <v>0</v>
      </c>
      <c r="W40" s="57">
        <v>0</v>
      </c>
      <c r="X40" s="58">
        <v>0</v>
      </c>
      <c r="Y40" s="59">
        <v>0</v>
      </c>
      <c r="Z40" s="57">
        <v>0</v>
      </c>
      <c r="AA40" s="57">
        <v>0</v>
      </c>
      <c r="AB40" s="58">
        <v>0</v>
      </c>
      <c r="AC40" s="59">
        <v>0</v>
      </c>
      <c r="AD40" s="57">
        <v>0</v>
      </c>
      <c r="AE40" s="57">
        <v>0</v>
      </c>
      <c r="AF40" s="58">
        <v>0</v>
      </c>
      <c r="AG40" s="59">
        <v>0</v>
      </c>
      <c r="AH40" s="57">
        <v>0</v>
      </c>
      <c r="AI40" s="57">
        <v>0</v>
      </c>
      <c r="AJ40" s="58">
        <v>0</v>
      </c>
      <c r="AK40" s="60">
        <v>0</v>
      </c>
      <c r="AL40" s="62">
        <v>0</v>
      </c>
      <c r="AM40" s="62">
        <v>0</v>
      </c>
      <c r="AN40" s="62">
        <v>0</v>
      </c>
      <c r="AO40" s="27"/>
      <c r="AP40" s="27"/>
    </row>
    <row r="41" spans="1:42">
      <c r="A41" s="54"/>
      <c r="B41" s="33"/>
      <c r="C41" s="55"/>
      <c r="D41" s="56" t="s">
        <v>91</v>
      </c>
      <c r="E41" s="62">
        <v>0</v>
      </c>
      <c r="F41" s="62">
        <v>0</v>
      </c>
      <c r="G41" s="62">
        <v>0</v>
      </c>
      <c r="H41" s="63">
        <v>0</v>
      </c>
      <c r="I41" s="60">
        <v>0</v>
      </c>
      <c r="J41" s="62">
        <v>0</v>
      </c>
      <c r="K41" s="62">
        <v>0</v>
      </c>
      <c r="L41" s="63">
        <v>0</v>
      </c>
      <c r="M41" s="60">
        <v>0</v>
      </c>
      <c r="N41" s="62">
        <v>0</v>
      </c>
      <c r="O41" s="62">
        <v>0</v>
      </c>
      <c r="P41" s="63">
        <v>0</v>
      </c>
      <c r="Q41" s="60">
        <v>0</v>
      </c>
      <c r="R41" s="62">
        <v>0</v>
      </c>
      <c r="S41" s="62">
        <v>0</v>
      </c>
      <c r="T41" s="63">
        <v>0</v>
      </c>
      <c r="U41" s="60">
        <v>0</v>
      </c>
      <c r="V41" s="62">
        <v>0</v>
      </c>
      <c r="W41" s="62">
        <v>0</v>
      </c>
      <c r="X41" s="63">
        <v>0</v>
      </c>
      <c r="Y41" s="60">
        <v>0</v>
      </c>
      <c r="Z41" s="62">
        <v>0</v>
      </c>
      <c r="AA41" s="62">
        <v>0</v>
      </c>
      <c r="AB41" s="63">
        <v>0</v>
      </c>
      <c r="AC41" s="60">
        <v>0</v>
      </c>
      <c r="AD41" s="62">
        <v>0</v>
      </c>
      <c r="AE41" s="62">
        <v>0</v>
      </c>
      <c r="AF41" s="63">
        <v>0</v>
      </c>
      <c r="AG41" s="60">
        <v>0</v>
      </c>
      <c r="AH41" s="62">
        <v>0</v>
      </c>
      <c r="AI41" s="62">
        <v>0</v>
      </c>
      <c r="AJ41" s="63">
        <v>0</v>
      </c>
      <c r="AK41" s="60">
        <v>0</v>
      </c>
      <c r="AL41" s="62">
        <v>0</v>
      </c>
      <c r="AM41" s="62">
        <v>0</v>
      </c>
      <c r="AN41" s="62">
        <v>0</v>
      </c>
      <c r="AO41" s="27"/>
      <c r="AP41" s="27"/>
    </row>
    <row r="42" spans="1:42">
      <c r="A42" s="50">
        <v>1000</v>
      </c>
      <c r="B42" s="33" t="s">
        <v>92</v>
      </c>
      <c r="C42" s="51">
        <v>800</v>
      </c>
      <c r="D42" s="48" t="s">
        <v>19</v>
      </c>
      <c r="E42" s="48"/>
      <c r="F42" s="48"/>
      <c r="G42" s="48"/>
      <c r="H42" s="33"/>
      <c r="I42" s="64"/>
      <c r="J42" s="48"/>
      <c r="K42" s="48"/>
      <c r="L42" s="33"/>
      <c r="M42" s="64"/>
      <c r="N42" s="48"/>
      <c r="O42" s="48"/>
      <c r="P42" s="33"/>
      <c r="Q42" s="64"/>
      <c r="R42" s="48"/>
      <c r="S42" s="48"/>
      <c r="T42" s="33"/>
      <c r="U42" s="64"/>
      <c r="V42" s="48"/>
      <c r="W42" s="48"/>
      <c r="X42" s="33"/>
      <c r="Y42" s="64"/>
      <c r="Z42" s="48"/>
      <c r="AA42" s="48"/>
      <c r="AB42" s="33"/>
      <c r="AC42" s="64"/>
      <c r="AD42" s="48"/>
      <c r="AE42" s="48"/>
      <c r="AF42" s="33"/>
      <c r="AG42" s="64"/>
      <c r="AH42" s="48"/>
      <c r="AI42" s="48"/>
      <c r="AJ42" s="33"/>
      <c r="AK42" s="49"/>
      <c r="AL42" s="27"/>
      <c r="AM42" s="27"/>
      <c r="AN42" s="38"/>
      <c r="AO42" s="27"/>
      <c r="AP42" s="27"/>
    </row>
    <row r="43" spans="1:42">
      <c r="A43" s="54"/>
      <c r="B43" s="33"/>
      <c r="C43" s="55" t="s">
        <v>163</v>
      </c>
      <c r="D43" s="56" t="s">
        <v>88</v>
      </c>
      <c r="E43" s="57">
        <v>0</v>
      </c>
      <c r="F43" s="57">
        <v>0</v>
      </c>
      <c r="G43" s="57">
        <v>0</v>
      </c>
      <c r="H43" s="65">
        <v>0</v>
      </c>
      <c r="I43" s="57">
        <v>0</v>
      </c>
      <c r="J43" s="57">
        <v>0</v>
      </c>
      <c r="K43" s="57">
        <v>0</v>
      </c>
      <c r="L43" s="65">
        <v>0</v>
      </c>
      <c r="M43" s="57">
        <v>0</v>
      </c>
      <c r="N43" s="57">
        <v>0</v>
      </c>
      <c r="O43" s="57">
        <v>0</v>
      </c>
      <c r="P43" s="65">
        <v>0</v>
      </c>
      <c r="Q43" s="57">
        <v>0</v>
      </c>
      <c r="R43" s="57">
        <v>0</v>
      </c>
      <c r="S43" s="57">
        <v>0</v>
      </c>
      <c r="T43" s="65">
        <v>0</v>
      </c>
      <c r="U43" s="57">
        <v>0</v>
      </c>
      <c r="V43" s="57">
        <v>0</v>
      </c>
      <c r="W43" s="57">
        <v>0</v>
      </c>
      <c r="X43" s="65">
        <v>0</v>
      </c>
      <c r="Y43" s="57">
        <v>0</v>
      </c>
      <c r="Z43" s="57">
        <v>0</v>
      </c>
      <c r="AA43" s="57">
        <v>0</v>
      </c>
      <c r="AB43" s="65">
        <v>0</v>
      </c>
      <c r="AC43" s="57">
        <v>0</v>
      </c>
      <c r="AD43" s="57">
        <v>0</v>
      </c>
      <c r="AE43" s="57">
        <v>0</v>
      </c>
      <c r="AF43" s="65">
        <v>0</v>
      </c>
      <c r="AG43" s="57">
        <v>0</v>
      </c>
      <c r="AH43" s="57">
        <v>0</v>
      </c>
      <c r="AI43" s="57">
        <v>0</v>
      </c>
      <c r="AJ43" s="65">
        <v>0</v>
      </c>
      <c r="AK43" s="61">
        <v>0</v>
      </c>
      <c r="AL43" s="61">
        <v>0</v>
      </c>
      <c r="AM43" s="61">
        <v>0</v>
      </c>
      <c r="AN43" s="66">
        <v>0</v>
      </c>
      <c r="AO43" s="27"/>
      <c r="AP43" s="27"/>
    </row>
    <row r="44" spans="1:42">
      <c r="A44" s="54"/>
      <c r="B44" s="33"/>
      <c r="C44" s="55" t="s">
        <v>164</v>
      </c>
      <c r="D44" s="56" t="s">
        <v>89</v>
      </c>
      <c r="E44" s="57">
        <v>0</v>
      </c>
      <c r="F44" s="57">
        <v>0</v>
      </c>
      <c r="G44" s="57">
        <v>0</v>
      </c>
      <c r="H44" s="58">
        <v>0</v>
      </c>
      <c r="I44" s="59">
        <v>0</v>
      </c>
      <c r="J44" s="57">
        <v>0</v>
      </c>
      <c r="K44" s="57">
        <v>0</v>
      </c>
      <c r="L44" s="58">
        <v>0</v>
      </c>
      <c r="M44" s="59">
        <v>0</v>
      </c>
      <c r="N44" s="57">
        <v>0</v>
      </c>
      <c r="O44" s="57">
        <v>0</v>
      </c>
      <c r="P44" s="58">
        <v>0</v>
      </c>
      <c r="Q44" s="59">
        <v>0</v>
      </c>
      <c r="R44" s="57">
        <v>0</v>
      </c>
      <c r="S44" s="57">
        <v>0</v>
      </c>
      <c r="T44" s="58">
        <v>0</v>
      </c>
      <c r="U44" s="59">
        <v>0</v>
      </c>
      <c r="V44" s="57">
        <v>0</v>
      </c>
      <c r="W44" s="57">
        <v>0</v>
      </c>
      <c r="X44" s="58">
        <v>0</v>
      </c>
      <c r="Y44" s="59">
        <v>0</v>
      </c>
      <c r="Z44" s="57">
        <v>0</v>
      </c>
      <c r="AA44" s="57">
        <v>0</v>
      </c>
      <c r="AB44" s="58">
        <v>0</v>
      </c>
      <c r="AC44" s="59">
        <v>0</v>
      </c>
      <c r="AD44" s="57">
        <v>0</v>
      </c>
      <c r="AE44" s="57">
        <v>0</v>
      </c>
      <c r="AF44" s="58">
        <v>0</v>
      </c>
      <c r="AG44" s="59">
        <v>0</v>
      </c>
      <c r="AH44" s="57">
        <v>0</v>
      </c>
      <c r="AI44" s="57">
        <v>0</v>
      </c>
      <c r="AJ44" s="58">
        <v>0</v>
      </c>
      <c r="AK44" s="60">
        <v>0</v>
      </c>
      <c r="AL44" s="62">
        <v>0</v>
      </c>
      <c r="AM44" s="62">
        <v>0</v>
      </c>
      <c r="AN44" s="62">
        <v>0</v>
      </c>
      <c r="AO44" s="27"/>
      <c r="AP44" s="27"/>
    </row>
    <row r="45" spans="1:42">
      <c r="A45" s="54"/>
      <c r="B45" s="33"/>
      <c r="C45" s="55"/>
      <c r="D45" s="56" t="s">
        <v>91</v>
      </c>
      <c r="E45" s="62">
        <v>0</v>
      </c>
      <c r="F45" s="62">
        <v>0</v>
      </c>
      <c r="G45" s="62">
        <v>0</v>
      </c>
      <c r="H45" s="63">
        <v>0</v>
      </c>
      <c r="I45" s="60">
        <v>0</v>
      </c>
      <c r="J45" s="62">
        <v>0</v>
      </c>
      <c r="K45" s="62">
        <v>0</v>
      </c>
      <c r="L45" s="63">
        <v>0</v>
      </c>
      <c r="M45" s="60">
        <v>0</v>
      </c>
      <c r="N45" s="62">
        <v>0</v>
      </c>
      <c r="O45" s="62">
        <v>0</v>
      </c>
      <c r="P45" s="63">
        <v>0</v>
      </c>
      <c r="Q45" s="60">
        <v>0</v>
      </c>
      <c r="R45" s="62">
        <v>0</v>
      </c>
      <c r="S45" s="62">
        <v>0</v>
      </c>
      <c r="T45" s="63">
        <v>0</v>
      </c>
      <c r="U45" s="60">
        <v>0</v>
      </c>
      <c r="V45" s="62">
        <v>0</v>
      </c>
      <c r="W45" s="62">
        <v>0</v>
      </c>
      <c r="X45" s="63">
        <v>0</v>
      </c>
      <c r="Y45" s="60">
        <v>0</v>
      </c>
      <c r="Z45" s="62">
        <v>0</v>
      </c>
      <c r="AA45" s="62">
        <v>0</v>
      </c>
      <c r="AB45" s="63">
        <v>0</v>
      </c>
      <c r="AC45" s="60">
        <v>0</v>
      </c>
      <c r="AD45" s="62">
        <v>0</v>
      </c>
      <c r="AE45" s="62">
        <v>0</v>
      </c>
      <c r="AF45" s="63">
        <v>0</v>
      </c>
      <c r="AG45" s="60">
        <v>0</v>
      </c>
      <c r="AH45" s="62">
        <v>0</v>
      </c>
      <c r="AI45" s="62">
        <v>0</v>
      </c>
      <c r="AJ45" s="63">
        <v>0</v>
      </c>
      <c r="AK45" s="60">
        <v>0</v>
      </c>
      <c r="AL45" s="62">
        <v>0</v>
      </c>
      <c r="AM45" s="62">
        <v>0</v>
      </c>
      <c r="AN45" s="62">
        <v>0</v>
      </c>
      <c r="AO45" s="27"/>
      <c r="AP45" s="27"/>
    </row>
    <row r="46" spans="1:42">
      <c r="A46" s="50">
        <v>1000</v>
      </c>
      <c r="B46" s="33" t="s">
        <v>92</v>
      </c>
      <c r="C46" s="51">
        <v>910</v>
      </c>
      <c r="D46" s="48" t="s">
        <v>165</v>
      </c>
      <c r="E46" s="48"/>
      <c r="F46" s="48"/>
      <c r="G46" s="48"/>
      <c r="H46" s="33"/>
      <c r="I46" s="64"/>
      <c r="J46" s="48"/>
      <c r="K46" s="48"/>
      <c r="L46" s="33"/>
      <c r="M46" s="64"/>
      <c r="N46" s="48"/>
      <c r="O46" s="48"/>
      <c r="P46" s="33"/>
      <c r="Q46" s="64"/>
      <c r="R46" s="48"/>
      <c r="S46" s="48"/>
      <c r="T46" s="33"/>
      <c r="U46" s="64"/>
      <c r="V46" s="48"/>
      <c r="W46" s="48"/>
      <c r="X46" s="33"/>
      <c r="Y46" s="64"/>
      <c r="Z46" s="48"/>
      <c r="AA46" s="48"/>
      <c r="AB46" s="33"/>
      <c r="AC46" s="64"/>
      <c r="AD46" s="48"/>
      <c r="AE46" s="48"/>
      <c r="AF46" s="33"/>
      <c r="AG46" s="64"/>
      <c r="AH46" s="48"/>
      <c r="AI46" s="48"/>
      <c r="AJ46" s="33"/>
      <c r="AK46" s="49"/>
      <c r="AL46" s="27"/>
      <c r="AM46" s="27"/>
      <c r="AN46" s="38"/>
      <c r="AO46" s="27"/>
      <c r="AP46" s="27"/>
    </row>
    <row r="47" spans="1:42">
      <c r="A47" s="54"/>
      <c r="B47" s="33"/>
      <c r="C47" s="55" t="s">
        <v>166</v>
      </c>
      <c r="D47" s="56" t="s">
        <v>88</v>
      </c>
      <c r="E47" s="57">
        <v>0</v>
      </c>
      <c r="F47" s="57">
        <v>0</v>
      </c>
      <c r="G47" s="57">
        <v>0</v>
      </c>
      <c r="H47" s="65">
        <v>0</v>
      </c>
      <c r="I47" s="57">
        <v>0</v>
      </c>
      <c r="J47" s="57">
        <v>0</v>
      </c>
      <c r="K47" s="57">
        <v>0</v>
      </c>
      <c r="L47" s="65">
        <v>0</v>
      </c>
      <c r="M47" s="57">
        <v>0</v>
      </c>
      <c r="N47" s="57">
        <v>0</v>
      </c>
      <c r="O47" s="57">
        <v>0</v>
      </c>
      <c r="P47" s="65">
        <v>0</v>
      </c>
      <c r="Q47" s="57">
        <v>0</v>
      </c>
      <c r="R47" s="57">
        <v>0</v>
      </c>
      <c r="S47" s="57">
        <v>0</v>
      </c>
      <c r="T47" s="65">
        <v>0</v>
      </c>
      <c r="U47" s="57">
        <v>0</v>
      </c>
      <c r="V47" s="57">
        <v>0</v>
      </c>
      <c r="W47" s="57">
        <v>0</v>
      </c>
      <c r="X47" s="65">
        <v>0</v>
      </c>
      <c r="Y47" s="57">
        <v>0</v>
      </c>
      <c r="Z47" s="57">
        <v>0</v>
      </c>
      <c r="AA47" s="57">
        <v>0</v>
      </c>
      <c r="AB47" s="65">
        <v>0</v>
      </c>
      <c r="AC47" s="57">
        <v>0</v>
      </c>
      <c r="AD47" s="57">
        <v>0</v>
      </c>
      <c r="AE47" s="57">
        <v>0</v>
      </c>
      <c r="AF47" s="65">
        <v>0</v>
      </c>
      <c r="AG47" s="57">
        <v>0</v>
      </c>
      <c r="AH47" s="57">
        <v>0</v>
      </c>
      <c r="AI47" s="57">
        <v>0</v>
      </c>
      <c r="AJ47" s="65">
        <v>0</v>
      </c>
      <c r="AK47" s="61">
        <v>0</v>
      </c>
      <c r="AL47" s="61">
        <v>0</v>
      </c>
      <c r="AM47" s="61">
        <v>0</v>
      </c>
      <c r="AN47" s="66">
        <v>0</v>
      </c>
      <c r="AO47" s="27"/>
      <c r="AP47" s="27"/>
    </row>
    <row r="48" spans="1:42">
      <c r="A48" s="54"/>
      <c r="B48" s="33"/>
      <c r="C48" s="55" t="s">
        <v>167</v>
      </c>
      <c r="D48" s="56" t="s">
        <v>89</v>
      </c>
      <c r="E48" s="57">
        <v>0</v>
      </c>
      <c r="F48" s="57">
        <v>0</v>
      </c>
      <c r="G48" s="57">
        <v>0</v>
      </c>
      <c r="H48" s="58">
        <v>0</v>
      </c>
      <c r="I48" s="59">
        <v>0</v>
      </c>
      <c r="J48" s="57">
        <v>0</v>
      </c>
      <c r="K48" s="57">
        <v>0</v>
      </c>
      <c r="L48" s="58">
        <v>0</v>
      </c>
      <c r="M48" s="59">
        <v>0</v>
      </c>
      <c r="N48" s="57">
        <v>0</v>
      </c>
      <c r="O48" s="57">
        <v>0</v>
      </c>
      <c r="P48" s="58">
        <v>0</v>
      </c>
      <c r="Q48" s="59">
        <v>0</v>
      </c>
      <c r="R48" s="57">
        <v>0</v>
      </c>
      <c r="S48" s="57">
        <v>0</v>
      </c>
      <c r="T48" s="58">
        <v>0</v>
      </c>
      <c r="U48" s="59">
        <v>0</v>
      </c>
      <c r="V48" s="57">
        <v>0</v>
      </c>
      <c r="W48" s="57">
        <v>0</v>
      </c>
      <c r="X48" s="58">
        <v>0</v>
      </c>
      <c r="Y48" s="59">
        <v>0</v>
      </c>
      <c r="Z48" s="57">
        <v>0</v>
      </c>
      <c r="AA48" s="57">
        <v>0</v>
      </c>
      <c r="AB48" s="58">
        <v>0</v>
      </c>
      <c r="AC48" s="59">
        <v>0</v>
      </c>
      <c r="AD48" s="57">
        <v>0</v>
      </c>
      <c r="AE48" s="57">
        <v>0</v>
      </c>
      <c r="AF48" s="58">
        <v>0</v>
      </c>
      <c r="AG48" s="59">
        <v>0</v>
      </c>
      <c r="AH48" s="57">
        <v>0</v>
      </c>
      <c r="AI48" s="57">
        <v>0</v>
      </c>
      <c r="AJ48" s="58">
        <v>0</v>
      </c>
      <c r="AK48" s="60">
        <v>0</v>
      </c>
      <c r="AL48" s="62">
        <v>0</v>
      </c>
      <c r="AM48" s="62">
        <v>0</v>
      </c>
      <c r="AN48" s="62">
        <v>0</v>
      </c>
      <c r="AO48" s="27"/>
      <c r="AP48" s="27"/>
    </row>
    <row r="49" spans="1:42">
      <c r="A49" s="54"/>
      <c r="B49" s="33"/>
      <c r="C49" s="55"/>
      <c r="D49" s="56" t="s">
        <v>91</v>
      </c>
      <c r="E49" s="62">
        <v>0</v>
      </c>
      <c r="F49" s="62">
        <v>0</v>
      </c>
      <c r="G49" s="62">
        <v>0</v>
      </c>
      <c r="H49" s="63">
        <v>0</v>
      </c>
      <c r="I49" s="60">
        <v>0</v>
      </c>
      <c r="J49" s="62">
        <v>0</v>
      </c>
      <c r="K49" s="62">
        <v>0</v>
      </c>
      <c r="L49" s="63">
        <v>0</v>
      </c>
      <c r="M49" s="60">
        <v>0</v>
      </c>
      <c r="N49" s="62">
        <v>0</v>
      </c>
      <c r="O49" s="62">
        <v>0</v>
      </c>
      <c r="P49" s="63">
        <v>0</v>
      </c>
      <c r="Q49" s="60">
        <v>0</v>
      </c>
      <c r="R49" s="62">
        <v>0</v>
      </c>
      <c r="S49" s="62">
        <v>0</v>
      </c>
      <c r="T49" s="63">
        <v>0</v>
      </c>
      <c r="U49" s="60">
        <v>0</v>
      </c>
      <c r="V49" s="62">
        <v>0</v>
      </c>
      <c r="W49" s="62">
        <v>0</v>
      </c>
      <c r="X49" s="63">
        <v>0</v>
      </c>
      <c r="Y49" s="60">
        <v>0</v>
      </c>
      <c r="Z49" s="62">
        <v>0</v>
      </c>
      <c r="AA49" s="62">
        <v>0</v>
      </c>
      <c r="AB49" s="63">
        <v>0</v>
      </c>
      <c r="AC49" s="60">
        <v>0</v>
      </c>
      <c r="AD49" s="62">
        <v>0</v>
      </c>
      <c r="AE49" s="62">
        <v>0</v>
      </c>
      <c r="AF49" s="63">
        <v>0</v>
      </c>
      <c r="AG49" s="60">
        <v>0</v>
      </c>
      <c r="AH49" s="62">
        <v>0</v>
      </c>
      <c r="AI49" s="62">
        <v>0</v>
      </c>
      <c r="AJ49" s="63">
        <v>0</v>
      </c>
      <c r="AK49" s="60">
        <v>0</v>
      </c>
      <c r="AL49" s="62">
        <v>0</v>
      </c>
      <c r="AM49" s="62">
        <v>0</v>
      </c>
      <c r="AN49" s="62">
        <v>0</v>
      </c>
      <c r="AO49" s="27"/>
      <c r="AP49" s="27"/>
    </row>
    <row r="50" spans="1:42">
      <c r="A50" s="50">
        <v>1000</v>
      </c>
      <c r="B50" s="33" t="s">
        <v>92</v>
      </c>
      <c r="C50" s="51">
        <v>920</v>
      </c>
      <c r="D50" s="48" t="s">
        <v>168</v>
      </c>
      <c r="E50" s="48"/>
      <c r="F50" s="48"/>
      <c r="G50" s="48"/>
      <c r="H50" s="33"/>
      <c r="I50" s="64"/>
      <c r="J50" s="48"/>
      <c r="K50" s="48"/>
      <c r="L50" s="33"/>
      <c r="M50" s="64"/>
      <c r="N50" s="48"/>
      <c r="O50" s="48"/>
      <c r="P50" s="33"/>
      <c r="Q50" s="64"/>
      <c r="R50" s="48"/>
      <c r="S50" s="48"/>
      <c r="T50" s="33"/>
      <c r="U50" s="64"/>
      <c r="V50" s="48"/>
      <c r="W50" s="48"/>
      <c r="X50" s="33"/>
      <c r="Y50" s="64"/>
      <c r="Z50" s="48"/>
      <c r="AA50" s="48"/>
      <c r="AB50" s="33"/>
      <c r="AC50" s="64"/>
      <c r="AD50" s="48"/>
      <c r="AE50" s="48"/>
      <c r="AF50" s="33"/>
      <c r="AG50" s="64"/>
      <c r="AH50" s="48"/>
      <c r="AI50" s="48"/>
      <c r="AJ50" s="33"/>
      <c r="AK50" s="49"/>
      <c r="AL50" s="27"/>
      <c r="AM50" s="27"/>
      <c r="AN50" s="38"/>
      <c r="AO50" s="27"/>
      <c r="AP50" s="27"/>
    </row>
    <row r="51" spans="1:42">
      <c r="A51" s="54"/>
      <c r="B51" s="33"/>
      <c r="C51" s="55" t="s">
        <v>169</v>
      </c>
      <c r="D51" s="56" t="s">
        <v>88</v>
      </c>
      <c r="E51" s="57">
        <v>0</v>
      </c>
      <c r="F51" s="57">
        <v>0</v>
      </c>
      <c r="G51" s="57">
        <v>0</v>
      </c>
      <c r="H51" s="65">
        <v>0</v>
      </c>
      <c r="I51" s="57">
        <v>0</v>
      </c>
      <c r="J51" s="57">
        <v>0</v>
      </c>
      <c r="K51" s="57">
        <v>0</v>
      </c>
      <c r="L51" s="65">
        <v>0</v>
      </c>
      <c r="M51" s="57">
        <v>0</v>
      </c>
      <c r="N51" s="57">
        <v>0</v>
      </c>
      <c r="O51" s="57">
        <v>0</v>
      </c>
      <c r="P51" s="65">
        <v>0</v>
      </c>
      <c r="Q51" s="57">
        <v>0</v>
      </c>
      <c r="R51" s="57">
        <v>0</v>
      </c>
      <c r="S51" s="57">
        <v>0</v>
      </c>
      <c r="T51" s="65">
        <v>0</v>
      </c>
      <c r="U51" s="57">
        <v>0</v>
      </c>
      <c r="V51" s="57">
        <v>0</v>
      </c>
      <c r="W51" s="57">
        <v>0</v>
      </c>
      <c r="X51" s="65">
        <v>0</v>
      </c>
      <c r="Y51" s="57">
        <v>0</v>
      </c>
      <c r="Z51" s="57">
        <v>0</v>
      </c>
      <c r="AA51" s="57">
        <v>0</v>
      </c>
      <c r="AB51" s="65">
        <v>0</v>
      </c>
      <c r="AC51" s="57">
        <v>0</v>
      </c>
      <c r="AD51" s="57">
        <v>0</v>
      </c>
      <c r="AE51" s="57">
        <v>0</v>
      </c>
      <c r="AF51" s="65">
        <v>0</v>
      </c>
      <c r="AG51" s="57">
        <v>0</v>
      </c>
      <c r="AH51" s="57">
        <v>0</v>
      </c>
      <c r="AI51" s="57">
        <v>0</v>
      </c>
      <c r="AJ51" s="65">
        <v>0</v>
      </c>
      <c r="AK51" s="61">
        <v>0</v>
      </c>
      <c r="AL51" s="61">
        <v>0</v>
      </c>
      <c r="AM51" s="61">
        <v>0</v>
      </c>
      <c r="AN51" s="66">
        <v>0</v>
      </c>
      <c r="AO51" s="27"/>
      <c r="AP51" s="27"/>
    </row>
    <row r="52" spans="1:42">
      <c r="A52" s="54"/>
      <c r="B52" s="33"/>
      <c r="C52" s="55" t="s">
        <v>170</v>
      </c>
      <c r="D52" s="56" t="s">
        <v>89</v>
      </c>
      <c r="E52" s="57">
        <v>0</v>
      </c>
      <c r="F52" s="57">
        <v>0</v>
      </c>
      <c r="G52" s="57">
        <v>0</v>
      </c>
      <c r="H52" s="58">
        <v>0</v>
      </c>
      <c r="I52" s="59">
        <v>0</v>
      </c>
      <c r="J52" s="57">
        <v>0</v>
      </c>
      <c r="K52" s="57">
        <v>0</v>
      </c>
      <c r="L52" s="58">
        <v>0</v>
      </c>
      <c r="M52" s="59">
        <v>0</v>
      </c>
      <c r="N52" s="57">
        <v>0</v>
      </c>
      <c r="O52" s="57">
        <v>0</v>
      </c>
      <c r="P52" s="58">
        <v>0</v>
      </c>
      <c r="Q52" s="59">
        <v>0</v>
      </c>
      <c r="R52" s="57">
        <v>0</v>
      </c>
      <c r="S52" s="57">
        <v>0</v>
      </c>
      <c r="T52" s="58">
        <v>0</v>
      </c>
      <c r="U52" s="59">
        <v>0</v>
      </c>
      <c r="V52" s="57">
        <v>0</v>
      </c>
      <c r="W52" s="57">
        <v>0</v>
      </c>
      <c r="X52" s="58">
        <v>0</v>
      </c>
      <c r="Y52" s="59">
        <v>0</v>
      </c>
      <c r="Z52" s="57">
        <v>0</v>
      </c>
      <c r="AA52" s="57">
        <v>0</v>
      </c>
      <c r="AB52" s="58">
        <v>0</v>
      </c>
      <c r="AC52" s="59">
        <v>0</v>
      </c>
      <c r="AD52" s="57">
        <v>0</v>
      </c>
      <c r="AE52" s="57">
        <v>0</v>
      </c>
      <c r="AF52" s="58">
        <v>0</v>
      </c>
      <c r="AG52" s="59">
        <v>0</v>
      </c>
      <c r="AH52" s="57">
        <v>0</v>
      </c>
      <c r="AI52" s="57">
        <v>0</v>
      </c>
      <c r="AJ52" s="58">
        <v>0</v>
      </c>
      <c r="AK52" s="60">
        <v>0</v>
      </c>
      <c r="AL52" s="62">
        <v>0</v>
      </c>
      <c r="AM52" s="62">
        <v>0</v>
      </c>
      <c r="AN52" s="62">
        <v>0</v>
      </c>
      <c r="AO52" s="27"/>
      <c r="AP52" s="27"/>
    </row>
    <row r="53" spans="1:42">
      <c r="A53" s="54"/>
      <c r="B53" s="33"/>
      <c r="C53" s="55"/>
      <c r="D53" s="56" t="s">
        <v>91</v>
      </c>
      <c r="E53" s="62">
        <v>0</v>
      </c>
      <c r="F53" s="62">
        <v>0</v>
      </c>
      <c r="G53" s="62">
        <v>0</v>
      </c>
      <c r="H53" s="63">
        <v>0</v>
      </c>
      <c r="I53" s="60">
        <v>0</v>
      </c>
      <c r="J53" s="62">
        <v>0</v>
      </c>
      <c r="K53" s="62">
        <v>0</v>
      </c>
      <c r="L53" s="63">
        <v>0</v>
      </c>
      <c r="M53" s="60">
        <v>0</v>
      </c>
      <c r="N53" s="62">
        <v>0</v>
      </c>
      <c r="O53" s="62">
        <v>0</v>
      </c>
      <c r="P53" s="63">
        <v>0</v>
      </c>
      <c r="Q53" s="60">
        <v>0</v>
      </c>
      <c r="R53" s="62">
        <v>0</v>
      </c>
      <c r="S53" s="62">
        <v>0</v>
      </c>
      <c r="T53" s="63">
        <v>0</v>
      </c>
      <c r="U53" s="60">
        <v>0</v>
      </c>
      <c r="V53" s="62">
        <v>0</v>
      </c>
      <c r="W53" s="62">
        <v>0</v>
      </c>
      <c r="X53" s="63">
        <v>0</v>
      </c>
      <c r="Y53" s="60">
        <v>0</v>
      </c>
      <c r="Z53" s="62">
        <v>0</v>
      </c>
      <c r="AA53" s="62">
        <v>0</v>
      </c>
      <c r="AB53" s="63">
        <v>0</v>
      </c>
      <c r="AC53" s="60">
        <v>0</v>
      </c>
      <c r="AD53" s="62">
        <v>0</v>
      </c>
      <c r="AE53" s="62">
        <v>0</v>
      </c>
      <c r="AF53" s="63">
        <v>0</v>
      </c>
      <c r="AG53" s="60">
        <v>0</v>
      </c>
      <c r="AH53" s="62">
        <v>0</v>
      </c>
      <c r="AI53" s="62">
        <v>0</v>
      </c>
      <c r="AJ53" s="63">
        <v>0</v>
      </c>
      <c r="AK53" s="60">
        <v>0</v>
      </c>
      <c r="AL53" s="62">
        <v>0</v>
      </c>
      <c r="AM53" s="62">
        <v>0</v>
      </c>
      <c r="AN53" s="62">
        <v>0</v>
      </c>
      <c r="AO53" s="27"/>
      <c r="AP53" s="27"/>
    </row>
    <row r="54" spans="1:42">
      <c r="A54" s="50">
        <v>1000</v>
      </c>
      <c r="B54" s="33" t="s">
        <v>92</v>
      </c>
      <c r="C54" s="51" t="s">
        <v>171</v>
      </c>
      <c r="D54" s="48" t="s">
        <v>172</v>
      </c>
      <c r="E54" s="48"/>
      <c r="F54" s="48"/>
      <c r="G54" s="48"/>
      <c r="H54" s="33"/>
      <c r="I54" s="64"/>
      <c r="J54" s="48"/>
      <c r="K54" s="48"/>
      <c r="L54" s="33"/>
      <c r="M54" s="64"/>
      <c r="N54" s="48"/>
      <c r="O54" s="48"/>
      <c r="P54" s="33"/>
      <c r="Q54" s="64"/>
      <c r="R54" s="48"/>
      <c r="S54" s="48"/>
      <c r="T54" s="33"/>
      <c r="U54" s="64"/>
      <c r="V54" s="48"/>
      <c r="W54" s="48"/>
      <c r="X54" s="33"/>
      <c r="Y54" s="64"/>
      <c r="Z54" s="48"/>
      <c r="AA54" s="48"/>
      <c r="AB54" s="33"/>
      <c r="AC54" s="64"/>
      <c r="AD54" s="48"/>
      <c r="AE54" s="48"/>
      <c r="AF54" s="33"/>
      <c r="AG54" s="64"/>
      <c r="AH54" s="48"/>
      <c r="AI54" s="48"/>
      <c r="AJ54" s="33"/>
      <c r="AK54" s="49"/>
      <c r="AL54" s="27"/>
      <c r="AM54" s="27"/>
      <c r="AN54" s="38"/>
      <c r="AO54" s="27"/>
      <c r="AP54" s="27"/>
    </row>
    <row r="55" spans="1:42">
      <c r="A55" s="54"/>
      <c r="B55" s="33"/>
      <c r="C55" s="55" t="s">
        <v>173</v>
      </c>
      <c r="D55" s="56" t="s">
        <v>88</v>
      </c>
      <c r="E55" s="57">
        <v>0</v>
      </c>
      <c r="F55" s="57">
        <v>0</v>
      </c>
      <c r="G55" s="57">
        <v>0</v>
      </c>
      <c r="H55" s="65">
        <v>0</v>
      </c>
      <c r="I55" s="57">
        <v>0</v>
      </c>
      <c r="J55" s="57">
        <v>0</v>
      </c>
      <c r="K55" s="57">
        <v>0</v>
      </c>
      <c r="L55" s="65">
        <v>0</v>
      </c>
      <c r="M55" s="57">
        <v>0</v>
      </c>
      <c r="N55" s="57">
        <v>0</v>
      </c>
      <c r="O55" s="57">
        <v>0</v>
      </c>
      <c r="P55" s="65">
        <v>0</v>
      </c>
      <c r="Q55" s="57">
        <v>0</v>
      </c>
      <c r="R55" s="57">
        <v>0</v>
      </c>
      <c r="S55" s="57">
        <v>0</v>
      </c>
      <c r="T55" s="65">
        <v>0</v>
      </c>
      <c r="U55" s="57">
        <v>0</v>
      </c>
      <c r="V55" s="57">
        <v>0</v>
      </c>
      <c r="W55" s="57">
        <v>0</v>
      </c>
      <c r="X55" s="65">
        <v>0</v>
      </c>
      <c r="Y55" s="57">
        <v>0</v>
      </c>
      <c r="Z55" s="57">
        <v>0</v>
      </c>
      <c r="AA55" s="57">
        <v>0</v>
      </c>
      <c r="AB55" s="65">
        <v>0</v>
      </c>
      <c r="AC55" s="57">
        <v>0</v>
      </c>
      <c r="AD55" s="57">
        <v>0</v>
      </c>
      <c r="AE55" s="57">
        <v>0</v>
      </c>
      <c r="AF55" s="65">
        <v>0</v>
      </c>
      <c r="AG55" s="57">
        <v>0</v>
      </c>
      <c r="AH55" s="57">
        <v>0</v>
      </c>
      <c r="AI55" s="57">
        <v>0</v>
      </c>
      <c r="AJ55" s="65">
        <v>0</v>
      </c>
      <c r="AK55" s="61">
        <v>0</v>
      </c>
      <c r="AL55" s="61">
        <v>0</v>
      </c>
      <c r="AM55" s="61">
        <v>0</v>
      </c>
      <c r="AN55" s="66">
        <v>0</v>
      </c>
      <c r="AO55" s="27"/>
      <c r="AP55" s="27"/>
    </row>
    <row r="56" spans="1:42">
      <c r="A56" s="54"/>
      <c r="B56" s="33"/>
      <c r="C56" s="55" t="s">
        <v>174</v>
      </c>
      <c r="D56" s="56" t="s">
        <v>89</v>
      </c>
      <c r="E56" s="57">
        <v>0</v>
      </c>
      <c r="F56" s="57">
        <v>0</v>
      </c>
      <c r="G56" s="57">
        <v>0</v>
      </c>
      <c r="H56" s="58">
        <v>0</v>
      </c>
      <c r="I56" s="59">
        <v>0</v>
      </c>
      <c r="J56" s="57">
        <v>0</v>
      </c>
      <c r="K56" s="57">
        <v>0</v>
      </c>
      <c r="L56" s="58">
        <v>0</v>
      </c>
      <c r="M56" s="59">
        <v>0</v>
      </c>
      <c r="N56" s="57">
        <v>0</v>
      </c>
      <c r="O56" s="57">
        <v>0</v>
      </c>
      <c r="P56" s="58">
        <v>0</v>
      </c>
      <c r="Q56" s="59">
        <v>0</v>
      </c>
      <c r="R56" s="57">
        <v>0</v>
      </c>
      <c r="S56" s="57">
        <v>0</v>
      </c>
      <c r="T56" s="58">
        <v>0</v>
      </c>
      <c r="U56" s="59">
        <v>0</v>
      </c>
      <c r="V56" s="57">
        <v>0</v>
      </c>
      <c r="W56" s="57">
        <v>0</v>
      </c>
      <c r="X56" s="58">
        <v>0</v>
      </c>
      <c r="Y56" s="59">
        <v>0</v>
      </c>
      <c r="Z56" s="57">
        <v>0</v>
      </c>
      <c r="AA56" s="57">
        <v>0</v>
      </c>
      <c r="AB56" s="58">
        <v>0</v>
      </c>
      <c r="AC56" s="59">
        <v>0</v>
      </c>
      <c r="AD56" s="57">
        <v>0</v>
      </c>
      <c r="AE56" s="57">
        <v>0</v>
      </c>
      <c r="AF56" s="58">
        <v>0</v>
      </c>
      <c r="AG56" s="59">
        <v>0</v>
      </c>
      <c r="AH56" s="57">
        <v>0</v>
      </c>
      <c r="AI56" s="57">
        <v>0</v>
      </c>
      <c r="AJ56" s="58">
        <v>0</v>
      </c>
      <c r="AK56" s="60">
        <v>0</v>
      </c>
      <c r="AL56" s="62">
        <v>0</v>
      </c>
      <c r="AM56" s="62">
        <v>0</v>
      </c>
      <c r="AN56" s="62">
        <v>0</v>
      </c>
      <c r="AO56" s="27"/>
      <c r="AP56" s="27"/>
    </row>
    <row r="57" spans="1:42">
      <c r="A57" s="54"/>
      <c r="B57" s="33"/>
      <c r="C57" s="55"/>
      <c r="D57" s="56" t="s">
        <v>91</v>
      </c>
      <c r="E57" s="62">
        <v>0</v>
      </c>
      <c r="F57" s="62">
        <v>0</v>
      </c>
      <c r="G57" s="62">
        <v>0</v>
      </c>
      <c r="H57" s="63">
        <v>0</v>
      </c>
      <c r="I57" s="60">
        <v>0</v>
      </c>
      <c r="J57" s="62">
        <v>0</v>
      </c>
      <c r="K57" s="62">
        <v>0</v>
      </c>
      <c r="L57" s="63">
        <v>0</v>
      </c>
      <c r="M57" s="60">
        <v>0</v>
      </c>
      <c r="N57" s="62">
        <v>0</v>
      </c>
      <c r="O57" s="62">
        <v>0</v>
      </c>
      <c r="P57" s="63">
        <v>0</v>
      </c>
      <c r="Q57" s="60">
        <v>0</v>
      </c>
      <c r="R57" s="62">
        <v>0</v>
      </c>
      <c r="S57" s="62">
        <v>0</v>
      </c>
      <c r="T57" s="63">
        <v>0</v>
      </c>
      <c r="U57" s="60">
        <v>0</v>
      </c>
      <c r="V57" s="62">
        <v>0</v>
      </c>
      <c r="W57" s="62">
        <v>0</v>
      </c>
      <c r="X57" s="63">
        <v>0</v>
      </c>
      <c r="Y57" s="60">
        <v>0</v>
      </c>
      <c r="Z57" s="62">
        <v>0</v>
      </c>
      <c r="AA57" s="62">
        <v>0</v>
      </c>
      <c r="AB57" s="63">
        <v>0</v>
      </c>
      <c r="AC57" s="60">
        <v>0</v>
      </c>
      <c r="AD57" s="62">
        <v>0</v>
      </c>
      <c r="AE57" s="62">
        <v>0</v>
      </c>
      <c r="AF57" s="63">
        <v>0</v>
      </c>
      <c r="AG57" s="60">
        <v>0</v>
      </c>
      <c r="AH57" s="62">
        <v>0</v>
      </c>
      <c r="AI57" s="62">
        <v>0</v>
      </c>
      <c r="AJ57" s="63">
        <v>0</v>
      </c>
      <c r="AK57" s="60">
        <v>0</v>
      </c>
      <c r="AL57" s="62">
        <v>0</v>
      </c>
      <c r="AM57" s="62">
        <v>0</v>
      </c>
      <c r="AN57" s="62">
        <v>0</v>
      </c>
      <c r="AO57" s="27"/>
      <c r="AP57" s="27"/>
    </row>
    <row r="58" spans="1:42">
      <c r="A58" s="50">
        <v>1000</v>
      </c>
      <c r="B58" s="33" t="s">
        <v>92</v>
      </c>
      <c r="C58" s="51">
        <v>0</v>
      </c>
      <c r="D58" s="48" t="s">
        <v>175</v>
      </c>
      <c r="E58" s="48"/>
      <c r="F58" s="48"/>
      <c r="G58" s="48"/>
      <c r="H58" s="33"/>
      <c r="I58" s="64"/>
      <c r="J58" s="48"/>
      <c r="K58" s="48"/>
      <c r="L58" s="33"/>
      <c r="M58" s="64"/>
      <c r="N58" s="48"/>
      <c r="O58" s="48"/>
      <c r="P58" s="33"/>
      <c r="Q58" s="64"/>
      <c r="R58" s="48"/>
      <c r="S58" s="48"/>
      <c r="T58" s="33"/>
      <c r="U58" s="64"/>
      <c r="V58" s="48"/>
      <c r="W58" s="48"/>
      <c r="X58" s="33"/>
      <c r="Y58" s="64"/>
      <c r="Z58" s="48"/>
      <c r="AA58" s="48"/>
      <c r="AB58" s="33"/>
      <c r="AC58" s="64"/>
      <c r="AD58" s="48"/>
      <c r="AE58" s="48"/>
      <c r="AF58" s="33"/>
      <c r="AG58" s="64"/>
      <c r="AH58" s="48"/>
      <c r="AI58" s="48"/>
      <c r="AJ58" s="33"/>
      <c r="AK58" s="49"/>
      <c r="AL58" s="27"/>
      <c r="AM58" s="27"/>
      <c r="AN58" s="38"/>
      <c r="AO58" s="27"/>
      <c r="AP58" s="27"/>
    </row>
    <row r="59" spans="1:42">
      <c r="A59" s="54"/>
      <c r="B59" s="33"/>
      <c r="C59" s="55" t="s">
        <v>176</v>
      </c>
      <c r="D59" s="56" t="s">
        <v>88</v>
      </c>
      <c r="E59" s="57">
        <v>0</v>
      </c>
      <c r="F59" s="57">
        <v>0</v>
      </c>
      <c r="G59" s="57">
        <v>0</v>
      </c>
      <c r="H59" s="65">
        <v>0</v>
      </c>
      <c r="I59" s="57">
        <v>0</v>
      </c>
      <c r="J59" s="57">
        <v>0</v>
      </c>
      <c r="K59" s="57">
        <v>0</v>
      </c>
      <c r="L59" s="65">
        <v>0</v>
      </c>
      <c r="M59" s="57">
        <v>0</v>
      </c>
      <c r="N59" s="57">
        <v>0</v>
      </c>
      <c r="O59" s="57">
        <v>0</v>
      </c>
      <c r="P59" s="65">
        <v>0</v>
      </c>
      <c r="Q59" s="57">
        <v>0</v>
      </c>
      <c r="R59" s="57">
        <v>0</v>
      </c>
      <c r="S59" s="57">
        <v>0</v>
      </c>
      <c r="T59" s="65">
        <v>0</v>
      </c>
      <c r="U59" s="57">
        <v>0</v>
      </c>
      <c r="V59" s="57">
        <v>0</v>
      </c>
      <c r="W59" s="57">
        <v>0</v>
      </c>
      <c r="X59" s="65">
        <v>0</v>
      </c>
      <c r="Y59" s="57">
        <v>0</v>
      </c>
      <c r="Z59" s="57">
        <v>0</v>
      </c>
      <c r="AA59" s="57">
        <v>0</v>
      </c>
      <c r="AB59" s="65">
        <v>0</v>
      </c>
      <c r="AC59" s="57">
        <v>0</v>
      </c>
      <c r="AD59" s="57">
        <v>0</v>
      </c>
      <c r="AE59" s="57">
        <v>0</v>
      </c>
      <c r="AF59" s="65">
        <v>0</v>
      </c>
      <c r="AG59" s="57">
        <v>0</v>
      </c>
      <c r="AH59" s="57">
        <v>0</v>
      </c>
      <c r="AI59" s="57">
        <v>0</v>
      </c>
      <c r="AJ59" s="65">
        <v>0</v>
      </c>
      <c r="AK59" s="61">
        <v>0</v>
      </c>
      <c r="AL59" s="61">
        <v>0</v>
      </c>
      <c r="AM59" s="61">
        <v>0</v>
      </c>
      <c r="AN59" s="66">
        <v>0</v>
      </c>
      <c r="AO59" s="27"/>
      <c r="AP59" s="27"/>
    </row>
    <row r="60" spans="1:42">
      <c r="A60" s="54"/>
      <c r="B60" s="33"/>
      <c r="C60" s="55" t="s">
        <v>177</v>
      </c>
      <c r="D60" s="56" t="s">
        <v>89</v>
      </c>
      <c r="E60" s="57">
        <v>0</v>
      </c>
      <c r="F60" s="57">
        <v>0</v>
      </c>
      <c r="G60" s="57">
        <v>0</v>
      </c>
      <c r="H60" s="58">
        <v>0</v>
      </c>
      <c r="I60" s="59">
        <v>0</v>
      </c>
      <c r="J60" s="57">
        <v>0</v>
      </c>
      <c r="K60" s="57">
        <v>0</v>
      </c>
      <c r="L60" s="58">
        <v>0</v>
      </c>
      <c r="M60" s="59">
        <v>0</v>
      </c>
      <c r="N60" s="57">
        <v>0</v>
      </c>
      <c r="O60" s="57">
        <v>0</v>
      </c>
      <c r="P60" s="58">
        <v>0</v>
      </c>
      <c r="Q60" s="59">
        <v>0</v>
      </c>
      <c r="R60" s="57">
        <v>0</v>
      </c>
      <c r="S60" s="57">
        <v>0</v>
      </c>
      <c r="T60" s="58">
        <v>0</v>
      </c>
      <c r="U60" s="59">
        <v>0</v>
      </c>
      <c r="V60" s="57">
        <v>0</v>
      </c>
      <c r="W60" s="57">
        <v>0</v>
      </c>
      <c r="X60" s="58">
        <v>0</v>
      </c>
      <c r="Y60" s="59">
        <v>0</v>
      </c>
      <c r="Z60" s="57">
        <v>0</v>
      </c>
      <c r="AA60" s="57">
        <v>0</v>
      </c>
      <c r="AB60" s="58">
        <v>0</v>
      </c>
      <c r="AC60" s="59">
        <v>0</v>
      </c>
      <c r="AD60" s="57">
        <v>0</v>
      </c>
      <c r="AE60" s="57">
        <v>0</v>
      </c>
      <c r="AF60" s="58">
        <v>0</v>
      </c>
      <c r="AG60" s="59">
        <v>0</v>
      </c>
      <c r="AH60" s="57">
        <v>0</v>
      </c>
      <c r="AI60" s="57">
        <v>0</v>
      </c>
      <c r="AJ60" s="58">
        <v>0</v>
      </c>
      <c r="AK60" s="60">
        <v>0</v>
      </c>
      <c r="AL60" s="62">
        <v>0</v>
      </c>
      <c r="AM60" s="62">
        <v>0</v>
      </c>
      <c r="AN60" s="62">
        <v>0</v>
      </c>
      <c r="AO60" s="27"/>
      <c r="AP60" s="27"/>
    </row>
    <row r="61" spans="1:42">
      <c r="A61" s="54"/>
      <c r="B61" s="33"/>
      <c r="C61" s="55"/>
      <c r="D61" s="56" t="s">
        <v>91</v>
      </c>
      <c r="E61" s="62">
        <v>0</v>
      </c>
      <c r="F61" s="62">
        <v>0</v>
      </c>
      <c r="G61" s="62">
        <v>0</v>
      </c>
      <c r="H61" s="63">
        <v>0</v>
      </c>
      <c r="I61" s="60">
        <v>0</v>
      </c>
      <c r="J61" s="62">
        <v>0</v>
      </c>
      <c r="K61" s="62">
        <v>0</v>
      </c>
      <c r="L61" s="63">
        <v>0</v>
      </c>
      <c r="M61" s="60">
        <v>0</v>
      </c>
      <c r="N61" s="62">
        <v>0</v>
      </c>
      <c r="O61" s="62">
        <v>0</v>
      </c>
      <c r="P61" s="63">
        <v>0</v>
      </c>
      <c r="Q61" s="60">
        <v>0</v>
      </c>
      <c r="R61" s="62">
        <v>0</v>
      </c>
      <c r="S61" s="62">
        <v>0</v>
      </c>
      <c r="T61" s="63">
        <v>0</v>
      </c>
      <c r="U61" s="60">
        <v>0</v>
      </c>
      <c r="V61" s="62">
        <v>0</v>
      </c>
      <c r="W61" s="62">
        <v>0</v>
      </c>
      <c r="X61" s="63">
        <v>0</v>
      </c>
      <c r="Y61" s="60">
        <v>0</v>
      </c>
      <c r="Z61" s="62">
        <v>0</v>
      </c>
      <c r="AA61" s="62">
        <v>0</v>
      </c>
      <c r="AB61" s="63">
        <v>0</v>
      </c>
      <c r="AC61" s="60">
        <v>0</v>
      </c>
      <c r="AD61" s="62">
        <v>0</v>
      </c>
      <c r="AE61" s="62">
        <v>0</v>
      </c>
      <c r="AF61" s="63">
        <v>0</v>
      </c>
      <c r="AG61" s="60">
        <v>0</v>
      </c>
      <c r="AH61" s="62">
        <v>0</v>
      </c>
      <c r="AI61" s="62">
        <v>0</v>
      </c>
      <c r="AJ61" s="63">
        <v>0</v>
      </c>
      <c r="AK61" s="60">
        <v>0</v>
      </c>
      <c r="AL61" s="62">
        <v>0</v>
      </c>
      <c r="AM61" s="62">
        <v>0</v>
      </c>
      <c r="AN61" s="62">
        <v>0</v>
      </c>
      <c r="AO61" s="27"/>
      <c r="AP61" s="27"/>
    </row>
    <row r="62" spans="1:42">
      <c r="A62" s="517" t="s">
        <v>178</v>
      </c>
      <c r="B62" s="510"/>
      <c r="C62" s="510"/>
      <c r="D62" s="516"/>
      <c r="E62" s="27"/>
      <c r="F62" s="27"/>
      <c r="G62" s="27"/>
      <c r="H62" s="27"/>
      <c r="I62" s="64"/>
      <c r="J62" s="48"/>
      <c r="K62" s="48"/>
      <c r="L62" s="33"/>
      <c r="M62" s="64"/>
      <c r="N62" s="48"/>
      <c r="O62" s="48"/>
      <c r="P62" s="33"/>
      <c r="Q62" s="64"/>
      <c r="R62" s="48"/>
      <c r="S62" s="48"/>
      <c r="T62" s="33"/>
      <c r="U62" s="64"/>
      <c r="V62" s="48"/>
      <c r="W62" s="48"/>
      <c r="X62" s="33"/>
      <c r="Y62" s="64"/>
      <c r="Z62" s="48"/>
      <c r="AA62" s="48"/>
      <c r="AB62" s="33"/>
      <c r="AC62" s="64"/>
      <c r="AD62" s="48"/>
      <c r="AE62" s="48"/>
      <c r="AF62" s="33"/>
      <c r="AG62" s="64"/>
      <c r="AH62" s="48"/>
      <c r="AI62" s="48"/>
      <c r="AJ62" s="33"/>
      <c r="AK62" s="49"/>
      <c r="AL62" s="27"/>
      <c r="AM62" s="27"/>
      <c r="AN62" s="38"/>
      <c r="AO62" s="27"/>
      <c r="AP62" s="27"/>
    </row>
    <row r="63" spans="1:42">
      <c r="A63" s="54"/>
      <c r="B63" s="33"/>
      <c r="C63" s="55"/>
      <c r="D63" s="67" t="s">
        <v>88</v>
      </c>
      <c r="E63" s="68">
        <v>245.3</v>
      </c>
      <c r="F63" s="69">
        <v>242.6</v>
      </c>
      <c r="G63" s="69">
        <v>241.6</v>
      </c>
      <c r="H63" s="70">
        <v>241.6</v>
      </c>
      <c r="I63" s="71">
        <v>7</v>
      </c>
      <c r="J63" s="72">
        <v>7</v>
      </c>
      <c r="K63" s="72">
        <v>7</v>
      </c>
      <c r="L63" s="73">
        <v>7</v>
      </c>
      <c r="M63" s="71">
        <v>1</v>
      </c>
      <c r="N63" s="72">
        <v>1</v>
      </c>
      <c r="O63" s="72">
        <v>1</v>
      </c>
      <c r="P63" s="73">
        <v>1</v>
      </c>
      <c r="Q63" s="71">
        <v>2</v>
      </c>
      <c r="R63" s="72">
        <v>4.5</v>
      </c>
      <c r="S63" s="72">
        <v>7.5</v>
      </c>
      <c r="T63" s="73">
        <v>7.5</v>
      </c>
      <c r="U63" s="71">
        <v>46.5</v>
      </c>
      <c r="V63" s="72">
        <v>49.8</v>
      </c>
      <c r="W63" s="72">
        <v>49.8</v>
      </c>
      <c r="X63" s="73">
        <v>49.8</v>
      </c>
      <c r="Y63" s="71">
        <v>0</v>
      </c>
      <c r="Z63" s="72">
        <v>0</v>
      </c>
      <c r="AA63" s="72">
        <v>0</v>
      </c>
      <c r="AB63" s="73">
        <v>0</v>
      </c>
      <c r="AC63" s="71">
        <v>0</v>
      </c>
      <c r="AD63" s="72">
        <v>0</v>
      </c>
      <c r="AE63" s="72">
        <v>0</v>
      </c>
      <c r="AF63" s="73">
        <v>0</v>
      </c>
      <c r="AG63" s="71">
        <v>5.22</v>
      </c>
      <c r="AH63" s="72">
        <v>5.22</v>
      </c>
      <c r="AI63" s="72">
        <v>5.22</v>
      </c>
      <c r="AJ63" s="73">
        <v>5.22</v>
      </c>
      <c r="AK63" s="69">
        <v>307.02</v>
      </c>
      <c r="AL63" s="69">
        <v>310.12</v>
      </c>
      <c r="AM63" s="69">
        <v>312.12</v>
      </c>
      <c r="AN63" s="68">
        <v>312.12</v>
      </c>
      <c r="AO63" s="27"/>
      <c r="AP63" s="27"/>
    </row>
    <row r="64" spans="1:42">
      <c r="A64" s="54"/>
      <c r="B64" s="33"/>
      <c r="C64" s="55"/>
      <c r="D64" s="67" t="s">
        <v>89</v>
      </c>
      <c r="E64" s="72">
        <v>29.63</v>
      </c>
      <c r="F64" s="72">
        <v>33.97</v>
      </c>
      <c r="G64" s="72">
        <v>33.97</v>
      </c>
      <c r="H64" s="73">
        <v>33.97</v>
      </c>
      <c r="I64" s="71">
        <v>0</v>
      </c>
      <c r="J64" s="72">
        <v>0</v>
      </c>
      <c r="K64" s="72">
        <v>0</v>
      </c>
      <c r="L64" s="73">
        <v>0</v>
      </c>
      <c r="M64" s="71">
        <v>0</v>
      </c>
      <c r="N64" s="72">
        <v>0</v>
      </c>
      <c r="O64" s="72">
        <v>0</v>
      </c>
      <c r="P64" s="73">
        <v>0</v>
      </c>
      <c r="Q64" s="71">
        <v>0</v>
      </c>
      <c r="R64" s="72">
        <v>0</v>
      </c>
      <c r="S64" s="72">
        <v>0</v>
      </c>
      <c r="T64" s="73">
        <v>0</v>
      </c>
      <c r="U64" s="71">
        <v>60.82</v>
      </c>
      <c r="V64" s="72">
        <v>65.94</v>
      </c>
      <c r="W64" s="72">
        <v>65.94</v>
      </c>
      <c r="X64" s="73">
        <v>65.94</v>
      </c>
      <c r="Y64" s="71">
        <v>0</v>
      </c>
      <c r="Z64" s="72">
        <v>0</v>
      </c>
      <c r="AA64" s="72">
        <v>0</v>
      </c>
      <c r="AB64" s="73">
        <v>0</v>
      </c>
      <c r="AC64" s="71">
        <v>0</v>
      </c>
      <c r="AD64" s="72">
        <v>0</v>
      </c>
      <c r="AE64" s="72">
        <v>0</v>
      </c>
      <c r="AF64" s="73">
        <v>0</v>
      </c>
      <c r="AG64" s="71">
        <v>6.06</v>
      </c>
      <c r="AH64" s="72">
        <v>6.06</v>
      </c>
      <c r="AI64" s="72">
        <v>6.06</v>
      </c>
      <c r="AJ64" s="73">
        <v>6.06</v>
      </c>
      <c r="AK64" s="71">
        <v>96.51</v>
      </c>
      <c r="AL64" s="72">
        <v>105.97</v>
      </c>
      <c r="AM64" s="72">
        <v>105.97</v>
      </c>
      <c r="AN64" s="72">
        <v>105.97</v>
      </c>
      <c r="AO64" s="27"/>
      <c r="AP64" s="27"/>
    </row>
    <row r="65" spans="1:42">
      <c r="A65" s="74"/>
      <c r="B65" s="43"/>
      <c r="C65" s="63"/>
      <c r="D65" s="72" t="s">
        <v>91</v>
      </c>
      <c r="E65" s="72">
        <v>274.93</v>
      </c>
      <c r="F65" s="72">
        <v>276.57</v>
      </c>
      <c r="G65" s="72">
        <v>275.57</v>
      </c>
      <c r="H65" s="73">
        <v>275.57</v>
      </c>
      <c r="I65" s="71">
        <v>7</v>
      </c>
      <c r="J65" s="72">
        <v>7</v>
      </c>
      <c r="K65" s="72">
        <v>7</v>
      </c>
      <c r="L65" s="73">
        <v>7</v>
      </c>
      <c r="M65" s="71">
        <v>1</v>
      </c>
      <c r="N65" s="72">
        <v>1</v>
      </c>
      <c r="O65" s="72">
        <v>1</v>
      </c>
      <c r="P65" s="73">
        <v>1</v>
      </c>
      <c r="Q65" s="71">
        <v>2</v>
      </c>
      <c r="R65" s="72">
        <v>4.5</v>
      </c>
      <c r="S65" s="72">
        <v>7.5</v>
      </c>
      <c r="T65" s="73">
        <v>7.5</v>
      </c>
      <c r="U65" s="71">
        <v>107.32</v>
      </c>
      <c r="V65" s="72">
        <v>115.74</v>
      </c>
      <c r="W65" s="72">
        <v>115.74</v>
      </c>
      <c r="X65" s="73">
        <v>115.74</v>
      </c>
      <c r="Y65" s="71">
        <v>0</v>
      </c>
      <c r="Z65" s="72">
        <v>0</v>
      </c>
      <c r="AA65" s="72">
        <v>0</v>
      </c>
      <c r="AB65" s="73">
        <v>0</v>
      </c>
      <c r="AC65" s="71">
        <v>0</v>
      </c>
      <c r="AD65" s="72">
        <v>0</v>
      </c>
      <c r="AE65" s="72">
        <v>0</v>
      </c>
      <c r="AF65" s="73">
        <v>0</v>
      </c>
      <c r="AG65" s="71">
        <v>11.28</v>
      </c>
      <c r="AH65" s="72">
        <v>11.28</v>
      </c>
      <c r="AI65" s="72">
        <v>11.28</v>
      </c>
      <c r="AJ65" s="73">
        <v>11.28</v>
      </c>
      <c r="AK65" s="71">
        <v>403.53</v>
      </c>
      <c r="AL65" s="72">
        <v>416.09</v>
      </c>
      <c r="AM65" s="72">
        <v>418.09</v>
      </c>
      <c r="AN65" s="72">
        <v>418.09</v>
      </c>
      <c r="AO65" s="27"/>
      <c r="AP65" s="27"/>
    </row>
    <row r="66" spans="1:42">
      <c r="A66" s="54"/>
      <c r="B66" s="33"/>
      <c r="C66" s="55"/>
      <c r="D66" s="56"/>
      <c r="E66" s="75"/>
      <c r="F66" s="75"/>
      <c r="G66" s="75"/>
      <c r="H66" s="75"/>
      <c r="I66" s="64"/>
      <c r="J66" s="48"/>
      <c r="K66" s="48"/>
      <c r="L66" s="33"/>
      <c r="M66" s="64"/>
      <c r="N66" s="48"/>
      <c r="O66" s="48"/>
      <c r="P66" s="33"/>
      <c r="Q66" s="64"/>
      <c r="R66" s="48"/>
      <c r="S66" s="48"/>
      <c r="T66" s="33"/>
      <c r="U66" s="64"/>
      <c r="V66" s="48"/>
      <c r="W66" s="48"/>
      <c r="X66" s="33"/>
      <c r="Y66" s="64"/>
      <c r="Z66" s="48"/>
      <c r="AA66" s="48"/>
      <c r="AB66" s="33"/>
      <c r="AC66" s="64"/>
      <c r="AD66" s="48"/>
      <c r="AE66" s="48"/>
      <c r="AF66" s="33"/>
      <c r="AG66" s="64"/>
      <c r="AH66" s="48"/>
      <c r="AI66" s="48"/>
      <c r="AJ66" s="33"/>
      <c r="AK66" s="76"/>
      <c r="AL66" s="75"/>
      <c r="AM66" s="75"/>
      <c r="AN66" s="77"/>
      <c r="AO66" s="27"/>
      <c r="AP66" s="27"/>
    </row>
    <row r="67" spans="1:42">
      <c r="A67" s="517" t="s">
        <v>179</v>
      </c>
      <c r="B67" s="510"/>
      <c r="C67" s="510"/>
      <c r="D67" s="516"/>
      <c r="E67" s="27"/>
      <c r="F67" s="27"/>
      <c r="G67" s="27"/>
      <c r="H67" s="27"/>
      <c r="I67" s="64"/>
      <c r="J67" s="48"/>
      <c r="K67" s="48"/>
      <c r="L67" s="33"/>
      <c r="M67" s="64"/>
      <c r="N67" s="48"/>
      <c r="O67" s="48"/>
      <c r="P67" s="33"/>
      <c r="Q67" s="64"/>
      <c r="R67" s="48"/>
      <c r="S67" s="48"/>
      <c r="T67" s="33"/>
      <c r="U67" s="64"/>
      <c r="V67" s="48"/>
      <c r="W67" s="48"/>
      <c r="X67" s="33"/>
      <c r="Y67" s="64"/>
      <c r="Z67" s="48"/>
      <c r="AA67" s="48"/>
      <c r="AB67" s="33"/>
      <c r="AC67" s="64"/>
      <c r="AD67" s="48"/>
      <c r="AE67" s="48"/>
      <c r="AF67" s="33"/>
      <c r="AG67" s="64"/>
      <c r="AH67" s="48"/>
      <c r="AI67" s="48"/>
      <c r="AJ67" s="33"/>
      <c r="AK67" s="49"/>
      <c r="AL67" s="27"/>
      <c r="AM67" s="27"/>
      <c r="AN67" s="38"/>
      <c r="AO67" s="27"/>
      <c r="AP67" s="27"/>
    </row>
    <row r="68" spans="1:42">
      <c r="A68" s="50">
        <v>2100</v>
      </c>
      <c r="B68" s="515" t="s">
        <v>20</v>
      </c>
      <c r="C68" s="510"/>
      <c r="D68" s="48"/>
      <c r="E68" s="44"/>
      <c r="F68" s="44"/>
      <c r="G68" s="44"/>
      <c r="H68" s="44"/>
      <c r="I68" s="78"/>
      <c r="J68" s="79"/>
      <c r="K68" s="79"/>
      <c r="L68" s="43"/>
      <c r="M68" s="78"/>
      <c r="N68" s="79"/>
      <c r="O68" s="79"/>
      <c r="P68" s="43"/>
      <c r="Q68" s="78"/>
      <c r="R68" s="79"/>
      <c r="S68" s="79"/>
      <c r="T68" s="43"/>
      <c r="U68" s="78"/>
      <c r="V68" s="79"/>
      <c r="W68" s="79"/>
      <c r="X68" s="43"/>
      <c r="Y68" s="78"/>
      <c r="Z68" s="79"/>
      <c r="AA68" s="79"/>
      <c r="AB68" s="43"/>
      <c r="AC68" s="78"/>
      <c r="AD68" s="79"/>
      <c r="AE68" s="79"/>
      <c r="AF68" s="43"/>
      <c r="AG68" s="78"/>
      <c r="AH68" s="79"/>
      <c r="AI68" s="79"/>
      <c r="AJ68" s="43"/>
      <c r="AK68" s="53"/>
      <c r="AL68" s="44"/>
      <c r="AM68" s="44"/>
      <c r="AN68" s="52"/>
      <c r="AO68" s="27"/>
      <c r="AP68" s="27"/>
    </row>
    <row r="69" spans="1:42">
      <c r="A69" s="54"/>
      <c r="B69" s="33"/>
      <c r="C69" s="55" t="s">
        <v>180</v>
      </c>
      <c r="D69" s="56" t="s">
        <v>88</v>
      </c>
      <c r="E69" s="57">
        <v>22</v>
      </c>
      <c r="F69" s="57">
        <v>22</v>
      </c>
      <c r="G69" s="57">
        <v>22</v>
      </c>
      <c r="H69" s="58">
        <v>22</v>
      </c>
      <c r="I69" s="59">
        <v>0</v>
      </c>
      <c r="J69" s="57">
        <v>0</v>
      </c>
      <c r="K69" s="57">
        <v>0</v>
      </c>
      <c r="L69" s="58">
        <v>0</v>
      </c>
      <c r="M69" s="59">
        <v>0</v>
      </c>
      <c r="N69" s="57">
        <v>0</v>
      </c>
      <c r="O69" s="57">
        <v>0</v>
      </c>
      <c r="P69" s="58">
        <v>0</v>
      </c>
      <c r="Q69" s="59">
        <v>0</v>
      </c>
      <c r="R69" s="57">
        <v>0</v>
      </c>
      <c r="S69" s="57">
        <v>0</v>
      </c>
      <c r="T69" s="58">
        <v>0</v>
      </c>
      <c r="U69" s="59">
        <v>9.6</v>
      </c>
      <c r="V69" s="57">
        <v>9.6</v>
      </c>
      <c r="W69" s="57">
        <v>9.6</v>
      </c>
      <c r="X69" s="58">
        <v>9.6</v>
      </c>
      <c r="Y69" s="59">
        <v>0</v>
      </c>
      <c r="Z69" s="57">
        <v>0</v>
      </c>
      <c r="AA69" s="57">
        <v>0</v>
      </c>
      <c r="AB69" s="58">
        <v>0</v>
      </c>
      <c r="AC69" s="59">
        <v>0</v>
      </c>
      <c r="AD69" s="57">
        <v>0</v>
      </c>
      <c r="AE69" s="57">
        <v>0</v>
      </c>
      <c r="AF69" s="58">
        <v>0</v>
      </c>
      <c r="AG69" s="59">
        <v>5</v>
      </c>
      <c r="AH69" s="57">
        <v>5</v>
      </c>
      <c r="AI69" s="57">
        <v>5</v>
      </c>
      <c r="AJ69" s="58">
        <v>5</v>
      </c>
      <c r="AK69" s="60">
        <v>36.6</v>
      </c>
      <c r="AL69" s="61">
        <v>36.6</v>
      </c>
      <c r="AM69" s="61">
        <v>36.6</v>
      </c>
      <c r="AN69" s="62">
        <v>36.6</v>
      </c>
      <c r="AO69" s="27"/>
      <c r="AP69" s="27"/>
    </row>
    <row r="70" spans="1:42">
      <c r="A70" s="54"/>
      <c r="B70" s="33"/>
      <c r="C70" s="55" t="s">
        <v>181</v>
      </c>
      <c r="D70" s="56" t="s">
        <v>89</v>
      </c>
      <c r="E70" s="57">
        <v>13.08</v>
      </c>
      <c r="F70" s="57">
        <v>13.08</v>
      </c>
      <c r="G70" s="57">
        <v>13.08</v>
      </c>
      <c r="H70" s="58">
        <v>13.08</v>
      </c>
      <c r="I70" s="59">
        <v>0</v>
      </c>
      <c r="J70" s="57">
        <v>0</v>
      </c>
      <c r="K70" s="57">
        <v>0</v>
      </c>
      <c r="L70" s="58">
        <v>0</v>
      </c>
      <c r="M70" s="59">
        <v>0</v>
      </c>
      <c r="N70" s="57">
        <v>0</v>
      </c>
      <c r="O70" s="57">
        <v>0</v>
      </c>
      <c r="P70" s="58">
        <v>0</v>
      </c>
      <c r="Q70" s="59">
        <v>0</v>
      </c>
      <c r="R70" s="57">
        <v>0</v>
      </c>
      <c r="S70" s="57">
        <v>0</v>
      </c>
      <c r="T70" s="58">
        <v>0</v>
      </c>
      <c r="U70" s="59">
        <v>1</v>
      </c>
      <c r="V70" s="57">
        <v>1</v>
      </c>
      <c r="W70" s="57">
        <v>1</v>
      </c>
      <c r="X70" s="58">
        <v>1</v>
      </c>
      <c r="Y70" s="59">
        <v>0</v>
      </c>
      <c r="Z70" s="57">
        <v>0</v>
      </c>
      <c r="AA70" s="57">
        <v>0</v>
      </c>
      <c r="AB70" s="58">
        <v>0</v>
      </c>
      <c r="AC70" s="59">
        <v>0</v>
      </c>
      <c r="AD70" s="57">
        <v>0</v>
      </c>
      <c r="AE70" s="57">
        <v>0</v>
      </c>
      <c r="AF70" s="58">
        <v>0</v>
      </c>
      <c r="AG70" s="59">
        <v>1.3</v>
      </c>
      <c r="AH70" s="57">
        <v>1.3</v>
      </c>
      <c r="AI70" s="57">
        <v>1.3</v>
      </c>
      <c r="AJ70" s="58">
        <v>1.3</v>
      </c>
      <c r="AK70" s="60">
        <v>15.38</v>
      </c>
      <c r="AL70" s="62">
        <v>15.38</v>
      </c>
      <c r="AM70" s="62">
        <v>15.38</v>
      </c>
      <c r="AN70" s="62">
        <v>15.38</v>
      </c>
      <c r="AO70" s="27"/>
      <c r="AP70" s="27"/>
    </row>
    <row r="71" spans="1:42">
      <c r="A71" s="54"/>
      <c r="B71" s="33"/>
      <c r="C71" s="55"/>
      <c r="D71" s="56" t="s">
        <v>91</v>
      </c>
      <c r="E71" s="62">
        <v>35.08</v>
      </c>
      <c r="F71" s="62">
        <v>35.08</v>
      </c>
      <c r="G71" s="62">
        <v>35.08</v>
      </c>
      <c r="H71" s="63">
        <v>35.08</v>
      </c>
      <c r="I71" s="60">
        <v>0</v>
      </c>
      <c r="J71" s="62">
        <v>0</v>
      </c>
      <c r="K71" s="62">
        <v>0</v>
      </c>
      <c r="L71" s="63">
        <v>0</v>
      </c>
      <c r="M71" s="60">
        <v>0</v>
      </c>
      <c r="N71" s="62">
        <v>0</v>
      </c>
      <c r="O71" s="62">
        <v>0</v>
      </c>
      <c r="P71" s="63">
        <v>0</v>
      </c>
      <c r="Q71" s="60">
        <v>0</v>
      </c>
      <c r="R71" s="62">
        <v>0</v>
      </c>
      <c r="S71" s="62">
        <v>0</v>
      </c>
      <c r="T71" s="63">
        <v>0</v>
      </c>
      <c r="U71" s="60">
        <v>10.6</v>
      </c>
      <c r="V71" s="62">
        <v>10.6</v>
      </c>
      <c r="W71" s="62">
        <v>10.6</v>
      </c>
      <c r="X71" s="63">
        <v>10.6</v>
      </c>
      <c r="Y71" s="60">
        <v>0</v>
      </c>
      <c r="Z71" s="62">
        <v>0</v>
      </c>
      <c r="AA71" s="62">
        <v>0</v>
      </c>
      <c r="AB71" s="63">
        <v>0</v>
      </c>
      <c r="AC71" s="60">
        <v>0</v>
      </c>
      <c r="AD71" s="62">
        <v>0</v>
      </c>
      <c r="AE71" s="62">
        <v>0</v>
      </c>
      <c r="AF71" s="63">
        <v>0</v>
      </c>
      <c r="AG71" s="60">
        <v>6.3</v>
      </c>
      <c r="AH71" s="62">
        <v>6.3</v>
      </c>
      <c r="AI71" s="62">
        <v>6.3</v>
      </c>
      <c r="AJ71" s="63">
        <v>6.3</v>
      </c>
      <c r="AK71" s="60">
        <v>51.98</v>
      </c>
      <c r="AL71" s="62">
        <v>51.98</v>
      </c>
      <c r="AM71" s="62">
        <v>51.98</v>
      </c>
      <c r="AN71" s="62">
        <v>51.98</v>
      </c>
      <c r="AO71" s="27"/>
      <c r="AP71" s="27"/>
    </row>
    <row r="72" spans="1:42">
      <c r="A72" s="50">
        <v>2200</v>
      </c>
      <c r="B72" s="515" t="s">
        <v>21</v>
      </c>
      <c r="C72" s="510"/>
      <c r="D72" s="516"/>
      <c r="E72" s="48"/>
      <c r="F72" s="48"/>
      <c r="G72" s="48"/>
      <c r="H72" s="33"/>
      <c r="I72" s="64"/>
      <c r="J72" s="48"/>
      <c r="K72" s="48"/>
      <c r="L72" s="33"/>
      <c r="M72" s="64"/>
      <c r="N72" s="48"/>
      <c r="O72" s="48"/>
      <c r="P72" s="33"/>
      <c r="Q72" s="64"/>
      <c r="R72" s="48"/>
      <c r="S72" s="48"/>
      <c r="T72" s="33"/>
      <c r="U72" s="64"/>
      <c r="V72" s="48"/>
      <c r="W72" s="48"/>
      <c r="X72" s="33"/>
      <c r="Y72" s="64"/>
      <c r="Z72" s="48"/>
      <c r="AA72" s="48"/>
      <c r="AB72" s="33"/>
      <c r="AC72" s="64"/>
      <c r="AD72" s="48"/>
      <c r="AE72" s="48"/>
      <c r="AF72" s="33"/>
      <c r="AG72" s="64"/>
      <c r="AH72" s="48"/>
      <c r="AI72" s="48"/>
      <c r="AJ72" s="33"/>
      <c r="AK72" s="49"/>
      <c r="AL72" s="27"/>
      <c r="AM72" s="27"/>
      <c r="AN72" s="38"/>
      <c r="AO72" s="27"/>
      <c r="AP72" s="27"/>
    </row>
    <row r="73" spans="1:42">
      <c r="A73" s="54"/>
      <c r="B73" s="33"/>
      <c r="C73" s="55" t="s">
        <v>182</v>
      </c>
      <c r="D73" s="56" t="s">
        <v>88</v>
      </c>
      <c r="E73" s="57">
        <v>6.3</v>
      </c>
      <c r="F73" s="57">
        <v>6.3</v>
      </c>
      <c r="G73" s="57">
        <v>6.3</v>
      </c>
      <c r="H73" s="65">
        <v>6.3</v>
      </c>
      <c r="I73" s="57">
        <v>0</v>
      </c>
      <c r="J73" s="57">
        <v>0</v>
      </c>
      <c r="K73" s="57">
        <v>0</v>
      </c>
      <c r="L73" s="65">
        <v>0</v>
      </c>
      <c r="M73" s="57">
        <v>0</v>
      </c>
      <c r="N73" s="57">
        <v>0</v>
      </c>
      <c r="O73" s="57">
        <v>0</v>
      </c>
      <c r="P73" s="65">
        <v>0</v>
      </c>
      <c r="Q73" s="57">
        <v>0</v>
      </c>
      <c r="R73" s="57">
        <v>0</v>
      </c>
      <c r="S73" s="57">
        <v>0</v>
      </c>
      <c r="T73" s="65">
        <v>0</v>
      </c>
      <c r="U73" s="57">
        <v>0</v>
      </c>
      <c r="V73" s="57">
        <v>0</v>
      </c>
      <c r="W73" s="57">
        <v>0</v>
      </c>
      <c r="X73" s="65">
        <v>0</v>
      </c>
      <c r="Y73" s="57">
        <v>0</v>
      </c>
      <c r="Z73" s="57">
        <v>0</v>
      </c>
      <c r="AA73" s="57">
        <v>0</v>
      </c>
      <c r="AB73" s="65">
        <v>0</v>
      </c>
      <c r="AC73" s="57">
        <v>0</v>
      </c>
      <c r="AD73" s="57">
        <v>0</v>
      </c>
      <c r="AE73" s="57">
        <v>0</v>
      </c>
      <c r="AF73" s="65">
        <v>0</v>
      </c>
      <c r="AG73" s="57">
        <v>11.5</v>
      </c>
      <c r="AH73" s="57">
        <v>21</v>
      </c>
      <c r="AI73" s="57">
        <v>11.5</v>
      </c>
      <c r="AJ73" s="65">
        <v>2</v>
      </c>
      <c r="AK73" s="61">
        <v>17.8</v>
      </c>
      <c r="AL73" s="61">
        <v>27.3</v>
      </c>
      <c r="AM73" s="61">
        <v>17.8</v>
      </c>
      <c r="AN73" s="66">
        <v>8.3000000000000007</v>
      </c>
      <c r="AO73" s="27"/>
      <c r="AP73" s="27"/>
    </row>
    <row r="74" spans="1:42">
      <c r="A74" s="54"/>
      <c r="B74" s="33"/>
      <c r="C74" s="55" t="s">
        <v>183</v>
      </c>
      <c r="D74" s="56" t="s">
        <v>89</v>
      </c>
      <c r="E74" s="57">
        <v>8.1300000000000008</v>
      </c>
      <c r="F74" s="57">
        <v>8.1300000000000008</v>
      </c>
      <c r="G74" s="57">
        <v>8.1300000000000008</v>
      </c>
      <c r="H74" s="58">
        <v>8.1300000000000008</v>
      </c>
      <c r="I74" s="59">
        <v>0</v>
      </c>
      <c r="J74" s="57">
        <v>0</v>
      </c>
      <c r="K74" s="57">
        <v>0</v>
      </c>
      <c r="L74" s="58">
        <v>0</v>
      </c>
      <c r="M74" s="59">
        <v>0</v>
      </c>
      <c r="N74" s="57">
        <v>0</v>
      </c>
      <c r="O74" s="57">
        <v>0</v>
      </c>
      <c r="P74" s="58">
        <v>0</v>
      </c>
      <c r="Q74" s="59">
        <v>0</v>
      </c>
      <c r="R74" s="57">
        <v>0</v>
      </c>
      <c r="S74" s="57">
        <v>0</v>
      </c>
      <c r="T74" s="58">
        <v>0</v>
      </c>
      <c r="U74" s="59">
        <v>0</v>
      </c>
      <c r="V74" s="57">
        <v>0</v>
      </c>
      <c r="W74" s="57">
        <v>0</v>
      </c>
      <c r="X74" s="58">
        <v>0</v>
      </c>
      <c r="Y74" s="59">
        <v>0</v>
      </c>
      <c r="Z74" s="57">
        <v>0</v>
      </c>
      <c r="AA74" s="57">
        <v>0</v>
      </c>
      <c r="AB74" s="58">
        <v>0</v>
      </c>
      <c r="AC74" s="59">
        <v>0</v>
      </c>
      <c r="AD74" s="57">
        <v>0</v>
      </c>
      <c r="AE74" s="57">
        <v>0</v>
      </c>
      <c r="AF74" s="58">
        <v>0</v>
      </c>
      <c r="AG74" s="59">
        <v>0.3</v>
      </c>
      <c r="AH74" s="57">
        <v>0.3</v>
      </c>
      <c r="AI74" s="57">
        <v>0.3</v>
      </c>
      <c r="AJ74" s="58">
        <v>0.3</v>
      </c>
      <c r="AK74" s="60">
        <v>8.43</v>
      </c>
      <c r="AL74" s="62">
        <v>8.43</v>
      </c>
      <c r="AM74" s="62">
        <v>8.43</v>
      </c>
      <c r="AN74" s="62">
        <v>8.43</v>
      </c>
      <c r="AO74" s="27"/>
      <c r="AP74" s="27"/>
    </row>
    <row r="75" spans="1:42">
      <c r="A75" s="54"/>
      <c r="B75" s="33"/>
      <c r="C75" s="55"/>
      <c r="D75" s="56" t="s">
        <v>91</v>
      </c>
      <c r="E75" s="62">
        <v>14.43</v>
      </c>
      <c r="F75" s="62">
        <v>14.43</v>
      </c>
      <c r="G75" s="62">
        <v>14.43</v>
      </c>
      <c r="H75" s="63">
        <v>14.43</v>
      </c>
      <c r="I75" s="60">
        <v>0</v>
      </c>
      <c r="J75" s="62">
        <v>0</v>
      </c>
      <c r="K75" s="62">
        <v>0</v>
      </c>
      <c r="L75" s="63">
        <v>0</v>
      </c>
      <c r="M75" s="60">
        <v>0</v>
      </c>
      <c r="N75" s="62">
        <v>0</v>
      </c>
      <c r="O75" s="62">
        <v>0</v>
      </c>
      <c r="P75" s="63">
        <v>0</v>
      </c>
      <c r="Q75" s="60">
        <v>0</v>
      </c>
      <c r="R75" s="62">
        <v>0</v>
      </c>
      <c r="S75" s="62">
        <v>0</v>
      </c>
      <c r="T75" s="63">
        <v>0</v>
      </c>
      <c r="U75" s="60">
        <v>0</v>
      </c>
      <c r="V75" s="62">
        <v>0</v>
      </c>
      <c r="W75" s="62">
        <v>0</v>
      </c>
      <c r="X75" s="63">
        <v>0</v>
      </c>
      <c r="Y75" s="60">
        <v>0</v>
      </c>
      <c r="Z75" s="62">
        <v>0</v>
      </c>
      <c r="AA75" s="62">
        <v>0</v>
      </c>
      <c r="AB75" s="63">
        <v>0</v>
      </c>
      <c r="AC75" s="60">
        <v>0</v>
      </c>
      <c r="AD75" s="62">
        <v>0</v>
      </c>
      <c r="AE75" s="62">
        <v>0</v>
      </c>
      <c r="AF75" s="63">
        <v>0</v>
      </c>
      <c r="AG75" s="60">
        <v>11.8</v>
      </c>
      <c r="AH75" s="62">
        <v>21.3</v>
      </c>
      <c r="AI75" s="62">
        <v>11.8</v>
      </c>
      <c r="AJ75" s="63">
        <v>2.2999999999999998</v>
      </c>
      <c r="AK75" s="60">
        <v>26.23</v>
      </c>
      <c r="AL75" s="62">
        <v>35.729999999999997</v>
      </c>
      <c r="AM75" s="62">
        <v>26.23</v>
      </c>
      <c r="AN75" s="62">
        <v>16.73</v>
      </c>
      <c r="AO75" s="27"/>
      <c r="AP75" s="27"/>
    </row>
    <row r="76" spans="1:42">
      <c r="A76" s="517" t="s">
        <v>184</v>
      </c>
      <c r="B76" s="510"/>
      <c r="C76" s="510"/>
      <c r="D76" s="516"/>
      <c r="E76" s="48"/>
      <c r="F76" s="48"/>
      <c r="G76" s="48"/>
      <c r="H76" s="33"/>
      <c r="I76" s="64"/>
      <c r="J76" s="48"/>
      <c r="K76" s="48"/>
      <c r="L76" s="33"/>
      <c r="M76" s="64"/>
      <c r="N76" s="48"/>
      <c r="O76" s="48"/>
      <c r="P76" s="33"/>
      <c r="Q76" s="64"/>
      <c r="R76" s="48"/>
      <c r="S76" s="48"/>
      <c r="T76" s="33"/>
      <c r="U76" s="64"/>
      <c r="V76" s="48"/>
      <c r="W76" s="48"/>
      <c r="X76" s="33"/>
      <c r="Y76" s="64"/>
      <c r="Z76" s="48"/>
      <c r="AA76" s="48"/>
      <c r="AB76" s="33"/>
      <c r="AC76" s="64"/>
      <c r="AD76" s="48"/>
      <c r="AE76" s="48"/>
      <c r="AF76" s="33"/>
      <c r="AG76" s="64"/>
      <c r="AH76" s="48"/>
      <c r="AI76" s="48"/>
      <c r="AJ76" s="33"/>
      <c r="AK76" s="54"/>
      <c r="AL76" s="54"/>
      <c r="AM76" s="54"/>
      <c r="AN76" s="64"/>
      <c r="AO76" s="27"/>
      <c r="AP76" s="27"/>
    </row>
    <row r="77" spans="1:42">
      <c r="A77" s="54"/>
      <c r="B77" s="33"/>
      <c r="C77" s="55"/>
      <c r="D77" s="67" t="s">
        <v>88</v>
      </c>
      <c r="E77" s="72">
        <v>28.3</v>
      </c>
      <c r="F77" s="72">
        <v>28.3</v>
      </c>
      <c r="G77" s="72">
        <v>28.3</v>
      </c>
      <c r="H77" s="73">
        <v>28.3</v>
      </c>
      <c r="I77" s="71">
        <v>0</v>
      </c>
      <c r="J77" s="72">
        <v>0</v>
      </c>
      <c r="K77" s="72">
        <v>0</v>
      </c>
      <c r="L77" s="73">
        <v>0</v>
      </c>
      <c r="M77" s="71">
        <v>0</v>
      </c>
      <c r="N77" s="72">
        <v>0</v>
      </c>
      <c r="O77" s="72">
        <v>0</v>
      </c>
      <c r="P77" s="73">
        <v>0</v>
      </c>
      <c r="Q77" s="71">
        <v>0</v>
      </c>
      <c r="R77" s="72">
        <v>0</v>
      </c>
      <c r="S77" s="72">
        <v>0</v>
      </c>
      <c r="T77" s="73">
        <v>0</v>
      </c>
      <c r="U77" s="71">
        <v>9.6</v>
      </c>
      <c r="V77" s="72">
        <v>9.6</v>
      </c>
      <c r="W77" s="72">
        <v>9.6</v>
      </c>
      <c r="X77" s="73">
        <v>9.6</v>
      </c>
      <c r="Y77" s="71">
        <v>0</v>
      </c>
      <c r="Z77" s="72">
        <v>0</v>
      </c>
      <c r="AA77" s="72">
        <v>0</v>
      </c>
      <c r="AB77" s="73">
        <v>0</v>
      </c>
      <c r="AC77" s="71">
        <v>0</v>
      </c>
      <c r="AD77" s="72">
        <v>0</v>
      </c>
      <c r="AE77" s="72">
        <v>0</v>
      </c>
      <c r="AF77" s="73">
        <v>0</v>
      </c>
      <c r="AG77" s="71">
        <v>16.5</v>
      </c>
      <c r="AH77" s="72">
        <v>26</v>
      </c>
      <c r="AI77" s="72">
        <v>16.5</v>
      </c>
      <c r="AJ77" s="73">
        <v>7</v>
      </c>
      <c r="AK77" s="80">
        <v>54.4</v>
      </c>
      <c r="AL77" s="80">
        <v>63.9</v>
      </c>
      <c r="AM77" s="80">
        <v>54.4</v>
      </c>
      <c r="AN77" s="71">
        <v>44.9</v>
      </c>
      <c r="AO77" s="27"/>
      <c r="AP77" s="27"/>
    </row>
    <row r="78" spans="1:42">
      <c r="A78" s="54"/>
      <c r="B78" s="33"/>
      <c r="C78" s="55"/>
      <c r="D78" s="67" t="s">
        <v>89</v>
      </c>
      <c r="E78" s="72">
        <v>21.21</v>
      </c>
      <c r="F78" s="72">
        <v>21.21</v>
      </c>
      <c r="G78" s="72">
        <v>21.21</v>
      </c>
      <c r="H78" s="73">
        <v>21.21</v>
      </c>
      <c r="I78" s="71">
        <v>0</v>
      </c>
      <c r="J78" s="72">
        <v>0</v>
      </c>
      <c r="K78" s="72">
        <v>0</v>
      </c>
      <c r="L78" s="73">
        <v>0</v>
      </c>
      <c r="M78" s="71">
        <v>0</v>
      </c>
      <c r="N78" s="72">
        <v>0</v>
      </c>
      <c r="O78" s="72">
        <v>0</v>
      </c>
      <c r="P78" s="73">
        <v>0</v>
      </c>
      <c r="Q78" s="71">
        <v>0</v>
      </c>
      <c r="R78" s="72">
        <v>0</v>
      </c>
      <c r="S78" s="72">
        <v>0</v>
      </c>
      <c r="T78" s="73">
        <v>0</v>
      </c>
      <c r="U78" s="71">
        <v>1</v>
      </c>
      <c r="V78" s="72">
        <v>1</v>
      </c>
      <c r="W78" s="72">
        <v>1</v>
      </c>
      <c r="X78" s="73">
        <v>1</v>
      </c>
      <c r="Y78" s="71">
        <v>0</v>
      </c>
      <c r="Z78" s="72">
        <v>0</v>
      </c>
      <c r="AA78" s="72">
        <v>0</v>
      </c>
      <c r="AB78" s="73">
        <v>0</v>
      </c>
      <c r="AC78" s="71">
        <v>0</v>
      </c>
      <c r="AD78" s="72">
        <v>0</v>
      </c>
      <c r="AE78" s="72">
        <v>0</v>
      </c>
      <c r="AF78" s="73">
        <v>0</v>
      </c>
      <c r="AG78" s="71">
        <v>1.6</v>
      </c>
      <c r="AH78" s="72">
        <v>1.6</v>
      </c>
      <c r="AI78" s="72">
        <v>1.6</v>
      </c>
      <c r="AJ78" s="73">
        <v>1.6</v>
      </c>
      <c r="AK78" s="80">
        <v>23.81</v>
      </c>
      <c r="AL78" s="80">
        <v>23.81</v>
      </c>
      <c r="AM78" s="80">
        <v>23.81</v>
      </c>
      <c r="AN78" s="71">
        <v>23.81</v>
      </c>
      <c r="AO78" s="27"/>
      <c r="AP78" s="27"/>
    </row>
    <row r="79" spans="1:42">
      <c r="A79" s="81"/>
      <c r="B79" s="82"/>
      <c r="C79" s="83"/>
      <c r="D79" s="84" t="s">
        <v>91</v>
      </c>
      <c r="E79" s="84">
        <v>49.51</v>
      </c>
      <c r="F79" s="84">
        <v>49.51</v>
      </c>
      <c r="G79" s="84">
        <v>49.51</v>
      </c>
      <c r="H79" s="85">
        <v>49.51</v>
      </c>
      <c r="I79" s="86">
        <v>0</v>
      </c>
      <c r="J79" s="84">
        <v>0</v>
      </c>
      <c r="K79" s="84">
        <v>0</v>
      </c>
      <c r="L79" s="85">
        <v>0</v>
      </c>
      <c r="M79" s="86">
        <v>0</v>
      </c>
      <c r="N79" s="84">
        <v>0</v>
      </c>
      <c r="O79" s="84">
        <v>0</v>
      </c>
      <c r="P79" s="85">
        <v>0</v>
      </c>
      <c r="Q79" s="86">
        <v>0</v>
      </c>
      <c r="R79" s="84">
        <v>0</v>
      </c>
      <c r="S79" s="84">
        <v>0</v>
      </c>
      <c r="T79" s="85">
        <v>0</v>
      </c>
      <c r="U79" s="86">
        <v>10.6</v>
      </c>
      <c r="V79" s="84">
        <v>10.6</v>
      </c>
      <c r="W79" s="84">
        <v>10.6</v>
      </c>
      <c r="X79" s="85">
        <v>10.6</v>
      </c>
      <c r="Y79" s="86">
        <v>0</v>
      </c>
      <c r="Z79" s="84">
        <v>0</v>
      </c>
      <c r="AA79" s="84">
        <v>0</v>
      </c>
      <c r="AB79" s="85">
        <v>0</v>
      </c>
      <c r="AC79" s="86">
        <v>0</v>
      </c>
      <c r="AD79" s="84">
        <v>0</v>
      </c>
      <c r="AE79" s="84">
        <v>0</v>
      </c>
      <c r="AF79" s="85">
        <v>0</v>
      </c>
      <c r="AG79" s="86">
        <v>18.100000000000001</v>
      </c>
      <c r="AH79" s="84">
        <v>27.6</v>
      </c>
      <c r="AI79" s="84">
        <v>18.100000000000001</v>
      </c>
      <c r="AJ79" s="85">
        <v>8.6</v>
      </c>
      <c r="AK79" s="87">
        <v>78.209999999999994</v>
      </c>
      <c r="AL79" s="87">
        <v>87.71</v>
      </c>
      <c r="AM79" s="87">
        <v>78.209999999999994</v>
      </c>
      <c r="AN79" s="86">
        <v>68.709999999999994</v>
      </c>
      <c r="AO79" s="27"/>
      <c r="AP79" s="27"/>
    </row>
    <row r="80" spans="1:42">
      <c r="A80" s="517" t="s">
        <v>185</v>
      </c>
      <c r="B80" s="510"/>
      <c r="C80" s="510"/>
      <c r="D80" s="56"/>
      <c r="E80" s="48"/>
      <c r="F80" s="48"/>
      <c r="G80" s="48"/>
      <c r="H80" s="33"/>
      <c r="I80" s="64"/>
      <c r="J80" s="48"/>
      <c r="K80" s="48"/>
      <c r="L80" s="33"/>
      <c r="M80" s="64"/>
      <c r="N80" s="48"/>
      <c r="O80" s="48"/>
      <c r="P80" s="33"/>
      <c r="Q80" s="64"/>
      <c r="R80" s="48"/>
      <c r="S80" s="48"/>
      <c r="T80" s="33"/>
      <c r="U80" s="64"/>
      <c r="V80" s="48"/>
      <c r="W80" s="48"/>
      <c r="X80" s="33"/>
      <c r="Y80" s="64"/>
      <c r="Z80" s="48"/>
      <c r="AA80" s="48"/>
      <c r="AB80" s="33"/>
      <c r="AC80" s="64"/>
      <c r="AD80" s="48"/>
      <c r="AE80" s="48"/>
      <c r="AF80" s="33"/>
      <c r="AG80" s="64"/>
      <c r="AH80" s="48"/>
      <c r="AI80" s="48"/>
      <c r="AJ80" s="33"/>
      <c r="AK80" s="76"/>
      <c r="AL80" s="75"/>
      <c r="AM80" s="75"/>
      <c r="AN80" s="77"/>
      <c r="AO80" s="27"/>
      <c r="AP80" s="27"/>
    </row>
    <row r="81" spans="1:42">
      <c r="A81" s="50">
        <v>2300</v>
      </c>
      <c r="B81" s="515" t="s">
        <v>186</v>
      </c>
      <c r="C81" s="510"/>
      <c r="D81" s="516"/>
      <c r="E81" s="48"/>
      <c r="F81" s="48"/>
      <c r="G81" s="48"/>
      <c r="H81" s="33"/>
      <c r="I81" s="64"/>
      <c r="J81" s="48"/>
      <c r="K81" s="48"/>
      <c r="L81" s="33"/>
      <c r="M81" s="64"/>
      <c r="N81" s="48"/>
      <c r="O81" s="48"/>
      <c r="P81" s="33"/>
      <c r="Q81" s="64"/>
      <c r="R81" s="48"/>
      <c r="S81" s="48"/>
      <c r="T81" s="33"/>
      <c r="U81" s="64"/>
      <c r="V81" s="48"/>
      <c r="W81" s="48"/>
      <c r="X81" s="33"/>
      <c r="Y81" s="64"/>
      <c r="Z81" s="48"/>
      <c r="AA81" s="48"/>
      <c r="AB81" s="33"/>
      <c r="AC81" s="64"/>
      <c r="AD81" s="48"/>
      <c r="AE81" s="48"/>
      <c r="AF81" s="33"/>
      <c r="AG81" s="64"/>
      <c r="AH81" s="48"/>
      <c r="AI81" s="48"/>
      <c r="AJ81" s="33"/>
      <c r="AK81" s="53"/>
      <c r="AL81" s="44"/>
      <c r="AM81" s="44"/>
      <c r="AN81" s="52"/>
      <c r="AO81" s="27"/>
      <c r="AP81" s="27"/>
    </row>
    <row r="82" spans="1:42">
      <c r="A82" s="54"/>
      <c r="B82" s="33"/>
      <c r="C82" s="55" t="s">
        <v>187</v>
      </c>
      <c r="D82" s="56" t="s">
        <v>88</v>
      </c>
      <c r="E82" s="57">
        <v>1</v>
      </c>
      <c r="F82" s="57">
        <v>1</v>
      </c>
      <c r="G82" s="57">
        <v>1</v>
      </c>
      <c r="H82" s="65">
        <v>1</v>
      </c>
      <c r="I82" s="57">
        <v>0</v>
      </c>
      <c r="J82" s="57">
        <v>0</v>
      </c>
      <c r="K82" s="57">
        <v>0</v>
      </c>
      <c r="L82" s="65">
        <v>0</v>
      </c>
      <c r="M82" s="57">
        <v>0</v>
      </c>
      <c r="N82" s="57">
        <v>0</v>
      </c>
      <c r="O82" s="57">
        <v>0</v>
      </c>
      <c r="P82" s="65">
        <v>0</v>
      </c>
      <c r="Q82" s="57">
        <v>0</v>
      </c>
      <c r="R82" s="57">
        <v>0</v>
      </c>
      <c r="S82" s="57">
        <v>0</v>
      </c>
      <c r="T82" s="65">
        <v>0</v>
      </c>
      <c r="U82" s="57">
        <v>0</v>
      </c>
      <c r="V82" s="57">
        <v>0</v>
      </c>
      <c r="W82" s="57">
        <v>0</v>
      </c>
      <c r="X82" s="65">
        <v>0</v>
      </c>
      <c r="Y82" s="57">
        <v>0</v>
      </c>
      <c r="Z82" s="57">
        <v>0</v>
      </c>
      <c r="AA82" s="57">
        <v>0</v>
      </c>
      <c r="AB82" s="65">
        <v>0</v>
      </c>
      <c r="AC82" s="57">
        <v>0</v>
      </c>
      <c r="AD82" s="57">
        <v>0</v>
      </c>
      <c r="AE82" s="57">
        <v>0</v>
      </c>
      <c r="AF82" s="65">
        <v>0</v>
      </c>
      <c r="AG82" s="57">
        <v>0</v>
      </c>
      <c r="AH82" s="57">
        <v>0</v>
      </c>
      <c r="AI82" s="57">
        <v>0</v>
      </c>
      <c r="AJ82" s="65">
        <v>0</v>
      </c>
      <c r="AK82" s="60">
        <v>1</v>
      </c>
      <c r="AL82" s="61">
        <v>1</v>
      </c>
      <c r="AM82" s="61">
        <v>1</v>
      </c>
      <c r="AN82" s="62">
        <v>1</v>
      </c>
      <c r="AO82" s="27"/>
      <c r="AP82" s="27"/>
    </row>
    <row r="83" spans="1:42">
      <c r="A83" s="54"/>
      <c r="B83" s="33"/>
      <c r="C83" s="55" t="s">
        <v>188</v>
      </c>
      <c r="D83" s="56" t="s">
        <v>89</v>
      </c>
      <c r="E83" s="57">
        <v>3</v>
      </c>
      <c r="F83" s="57">
        <v>3</v>
      </c>
      <c r="G83" s="57">
        <v>3</v>
      </c>
      <c r="H83" s="58">
        <v>3</v>
      </c>
      <c r="I83" s="59">
        <v>0</v>
      </c>
      <c r="J83" s="57">
        <v>0</v>
      </c>
      <c r="K83" s="57">
        <v>0</v>
      </c>
      <c r="L83" s="58">
        <v>0</v>
      </c>
      <c r="M83" s="59">
        <v>0</v>
      </c>
      <c r="N83" s="57">
        <v>0</v>
      </c>
      <c r="O83" s="57">
        <v>0</v>
      </c>
      <c r="P83" s="58">
        <v>0</v>
      </c>
      <c r="Q83" s="59">
        <v>0</v>
      </c>
      <c r="R83" s="57">
        <v>0</v>
      </c>
      <c r="S83" s="57">
        <v>0</v>
      </c>
      <c r="T83" s="58">
        <v>0</v>
      </c>
      <c r="U83" s="59">
        <v>0</v>
      </c>
      <c r="V83" s="57">
        <v>0</v>
      </c>
      <c r="W83" s="57">
        <v>0</v>
      </c>
      <c r="X83" s="58">
        <v>0</v>
      </c>
      <c r="Y83" s="59">
        <v>0</v>
      </c>
      <c r="Z83" s="57">
        <v>0</v>
      </c>
      <c r="AA83" s="57">
        <v>0</v>
      </c>
      <c r="AB83" s="58">
        <v>0</v>
      </c>
      <c r="AC83" s="59">
        <v>0</v>
      </c>
      <c r="AD83" s="57">
        <v>0</v>
      </c>
      <c r="AE83" s="57">
        <v>0</v>
      </c>
      <c r="AF83" s="58">
        <v>0</v>
      </c>
      <c r="AG83" s="59">
        <v>0</v>
      </c>
      <c r="AH83" s="57">
        <v>0</v>
      </c>
      <c r="AI83" s="57">
        <v>0</v>
      </c>
      <c r="AJ83" s="58">
        <v>0</v>
      </c>
      <c r="AK83" s="60">
        <v>3</v>
      </c>
      <c r="AL83" s="62">
        <v>3</v>
      </c>
      <c r="AM83" s="62">
        <v>3</v>
      </c>
      <c r="AN83" s="62">
        <v>3</v>
      </c>
      <c r="AO83" s="27"/>
      <c r="AP83" s="27"/>
    </row>
    <row r="84" spans="1:42">
      <c r="A84" s="54"/>
      <c r="B84" s="33"/>
      <c r="C84" s="55"/>
      <c r="D84" s="56" t="s">
        <v>91</v>
      </c>
      <c r="E84" s="62">
        <v>4</v>
      </c>
      <c r="F84" s="62">
        <v>4</v>
      </c>
      <c r="G84" s="62">
        <v>4</v>
      </c>
      <c r="H84" s="63">
        <v>4</v>
      </c>
      <c r="I84" s="60">
        <v>0</v>
      </c>
      <c r="J84" s="62">
        <v>0</v>
      </c>
      <c r="K84" s="62">
        <v>0</v>
      </c>
      <c r="L84" s="63">
        <v>0</v>
      </c>
      <c r="M84" s="60">
        <v>0</v>
      </c>
      <c r="N84" s="62">
        <v>0</v>
      </c>
      <c r="O84" s="62">
        <v>0</v>
      </c>
      <c r="P84" s="63">
        <v>0</v>
      </c>
      <c r="Q84" s="60">
        <v>0</v>
      </c>
      <c r="R84" s="62">
        <v>0</v>
      </c>
      <c r="S84" s="62">
        <v>0</v>
      </c>
      <c r="T84" s="63">
        <v>0</v>
      </c>
      <c r="U84" s="60">
        <v>0</v>
      </c>
      <c r="V84" s="62">
        <v>0</v>
      </c>
      <c r="W84" s="62">
        <v>0</v>
      </c>
      <c r="X84" s="63">
        <v>0</v>
      </c>
      <c r="Y84" s="60">
        <v>0</v>
      </c>
      <c r="Z84" s="62">
        <v>0</v>
      </c>
      <c r="AA84" s="62">
        <v>0</v>
      </c>
      <c r="AB84" s="63">
        <v>0</v>
      </c>
      <c r="AC84" s="60">
        <v>0</v>
      </c>
      <c r="AD84" s="62">
        <v>0</v>
      </c>
      <c r="AE84" s="62">
        <v>0</v>
      </c>
      <c r="AF84" s="63">
        <v>0</v>
      </c>
      <c r="AG84" s="60">
        <v>0</v>
      </c>
      <c r="AH84" s="62">
        <v>0</v>
      </c>
      <c r="AI84" s="62">
        <v>0</v>
      </c>
      <c r="AJ84" s="63">
        <v>0</v>
      </c>
      <c r="AK84" s="60">
        <v>4</v>
      </c>
      <c r="AL84" s="62">
        <v>4</v>
      </c>
      <c r="AM84" s="62">
        <v>4</v>
      </c>
      <c r="AN84" s="62">
        <v>4</v>
      </c>
      <c r="AO84" s="27"/>
      <c r="AP84" s="27"/>
    </row>
    <row r="85" spans="1:42">
      <c r="A85" s="50">
        <v>2400</v>
      </c>
      <c r="B85" s="515" t="s">
        <v>189</v>
      </c>
      <c r="C85" s="510"/>
      <c r="D85" s="516"/>
      <c r="E85" s="48"/>
      <c r="F85" s="48"/>
      <c r="G85" s="48"/>
      <c r="H85" s="33"/>
      <c r="I85" s="64"/>
      <c r="J85" s="48"/>
      <c r="K85" s="48"/>
      <c r="L85" s="33"/>
      <c r="M85" s="64"/>
      <c r="N85" s="48"/>
      <c r="O85" s="48"/>
      <c r="P85" s="33"/>
      <c r="Q85" s="64"/>
      <c r="R85" s="48"/>
      <c r="S85" s="48"/>
      <c r="T85" s="33"/>
      <c r="U85" s="64"/>
      <c r="V85" s="48"/>
      <c r="W85" s="48"/>
      <c r="X85" s="33"/>
      <c r="Y85" s="64"/>
      <c r="Z85" s="48"/>
      <c r="AA85" s="48"/>
      <c r="AB85" s="33"/>
      <c r="AC85" s="64"/>
      <c r="AD85" s="48"/>
      <c r="AE85" s="48"/>
      <c r="AF85" s="33"/>
      <c r="AG85" s="64"/>
      <c r="AH85" s="48"/>
      <c r="AI85" s="48"/>
      <c r="AJ85" s="33"/>
      <c r="AK85" s="49"/>
      <c r="AL85" s="27"/>
      <c r="AM85" s="27"/>
      <c r="AN85" s="38"/>
      <c r="AO85" s="27"/>
      <c r="AP85" s="27"/>
    </row>
    <row r="86" spans="1:42">
      <c r="A86" s="54"/>
      <c r="B86" s="33"/>
      <c r="C86" s="55" t="s">
        <v>190</v>
      </c>
      <c r="D86" s="56" t="s">
        <v>88</v>
      </c>
      <c r="E86" s="57">
        <v>22.5</v>
      </c>
      <c r="F86" s="57">
        <v>22.5</v>
      </c>
      <c r="G86" s="57">
        <v>22.5</v>
      </c>
      <c r="H86" s="65">
        <v>22.5</v>
      </c>
      <c r="I86" s="57">
        <v>0</v>
      </c>
      <c r="J86" s="57">
        <v>0</v>
      </c>
      <c r="K86" s="57">
        <v>0</v>
      </c>
      <c r="L86" s="65">
        <v>0</v>
      </c>
      <c r="M86" s="57">
        <v>0</v>
      </c>
      <c r="N86" s="57">
        <v>0</v>
      </c>
      <c r="O86" s="57">
        <v>0</v>
      </c>
      <c r="P86" s="65">
        <v>0</v>
      </c>
      <c r="Q86" s="57">
        <v>0</v>
      </c>
      <c r="R86" s="57">
        <v>0</v>
      </c>
      <c r="S86" s="57">
        <v>0</v>
      </c>
      <c r="T86" s="65">
        <v>0</v>
      </c>
      <c r="U86" s="57">
        <v>0</v>
      </c>
      <c r="V86" s="57">
        <v>0</v>
      </c>
      <c r="W86" s="57">
        <v>0</v>
      </c>
      <c r="X86" s="65">
        <v>0</v>
      </c>
      <c r="Y86" s="57">
        <v>0</v>
      </c>
      <c r="Z86" s="57">
        <v>0</v>
      </c>
      <c r="AA86" s="57">
        <v>0</v>
      </c>
      <c r="AB86" s="65">
        <v>0</v>
      </c>
      <c r="AC86" s="57">
        <v>0</v>
      </c>
      <c r="AD86" s="57">
        <v>0</v>
      </c>
      <c r="AE86" s="57">
        <v>0</v>
      </c>
      <c r="AF86" s="65">
        <v>0</v>
      </c>
      <c r="AG86" s="57">
        <v>0</v>
      </c>
      <c r="AH86" s="57">
        <v>0</v>
      </c>
      <c r="AI86" s="57">
        <v>0</v>
      </c>
      <c r="AJ86" s="65">
        <v>0</v>
      </c>
      <c r="AK86" s="61">
        <v>22.5</v>
      </c>
      <c r="AL86" s="61">
        <v>22.5</v>
      </c>
      <c r="AM86" s="61">
        <v>22.5</v>
      </c>
      <c r="AN86" s="66">
        <v>22.5</v>
      </c>
      <c r="AO86" s="27"/>
      <c r="AP86" s="27"/>
    </row>
    <row r="87" spans="1:42">
      <c r="A87" s="54"/>
      <c r="B87" s="33"/>
      <c r="C87" s="55" t="s">
        <v>191</v>
      </c>
      <c r="D87" s="56" t="s">
        <v>89</v>
      </c>
      <c r="E87" s="57">
        <v>28.3</v>
      </c>
      <c r="F87" s="57">
        <v>28.3</v>
      </c>
      <c r="G87" s="57">
        <v>28.3</v>
      </c>
      <c r="H87" s="58">
        <v>28.3</v>
      </c>
      <c r="I87" s="59">
        <v>0</v>
      </c>
      <c r="J87" s="57">
        <v>0</v>
      </c>
      <c r="K87" s="57">
        <v>0</v>
      </c>
      <c r="L87" s="58">
        <v>0</v>
      </c>
      <c r="M87" s="59">
        <v>0</v>
      </c>
      <c r="N87" s="57">
        <v>0</v>
      </c>
      <c r="O87" s="57">
        <v>0</v>
      </c>
      <c r="P87" s="58">
        <v>0</v>
      </c>
      <c r="Q87" s="59">
        <v>0</v>
      </c>
      <c r="R87" s="57">
        <v>0</v>
      </c>
      <c r="S87" s="57">
        <v>0</v>
      </c>
      <c r="T87" s="58">
        <v>0</v>
      </c>
      <c r="U87" s="59">
        <v>0</v>
      </c>
      <c r="V87" s="57">
        <v>0</v>
      </c>
      <c r="W87" s="57">
        <v>0</v>
      </c>
      <c r="X87" s="58">
        <v>0</v>
      </c>
      <c r="Y87" s="59">
        <v>0</v>
      </c>
      <c r="Z87" s="57">
        <v>0</v>
      </c>
      <c r="AA87" s="57">
        <v>0</v>
      </c>
      <c r="AB87" s="58">
        <v>0</v>
      </c>
      <c r="AC87" s="59">
        <v>0</v>
      </c>
      <c r="AD87" s="57">
        <v>0</v>
      </c>
      <c r="AE87" s="57">
        <v>0</v>
      </c>
      <c r="AF87" s="58">
        <v>0</v>
      </c>
      <c r="AG87" s="59">
        <v>0</v>
      </c>
      <c r="AH87" s="57">
        <v>0</v>
      </c>
      <c r="AI87" s="57">
        <v>0</v>
      </c>
      <c r="AJ87" s="58">
        <v>0</v>
      </c>
      <c r="AK87" s="60">
        <v>28.3</v>
      </c>
      <c r="AL87" s="61">
        <v>28.3</v>
      </c>
      <c r="AM87" s="61">
        <v>28.3</v>
      </c>
      <c r="AN87" s="62">
        <v>28.3</v>
      </c>
      <c r="AO87" s="27"/>
      <c r="AP87" s="27"/>
    </row>
    <row r="88" spans="1:42">
      <c r="A88" s="54"/>
      <c r="B88" s="33"/>
      <c r="C88" s="55"/>
      <c r="D88" s="56" t="s">
        <v>91</v>
      </c>
      <c r="E88" s="62">
        <v>50.8</v>
      </c>
      <c r="F88" s="62">
        <v>50.8</v>
      </c>
      <c r="G88" s="62">
        <v>50.8</v>
      </c>
      <c r="H88" s="63">
        <v>50.8</v>
      </c>
      <c r="I88" s="60">
        <v>0</v>
      </c>
      <c r="J88" s="62">
        <v>0</v>
      </c>
      <c r="K88" s="62">
        <v>0</v>
      </c>
      <c r="L88" s="63">
        <v>0</v>
      </c>
      <c r="M88" s="60">
        <v>0</v>
      </c>
      <c r="N88" s="62">
        <v>0</v>
      </c>
      <c r="O88" s="62">
        <v>0</v>
      </c>
      <c r="P88" s="63">
        <v>0</v>
      </c>
      <c r="Q88" s="60">
        <v>0</v>
      </c>
      <c r="R88" s="62">
        <v>0</v>
      </c>
      <c r="S88" s="62">
        <v>0</v>
      </c>
      <c r="T88" s="63">
        <v>0</v>
      </c>
      <c r="U88" s="60">
        <v>0</v>
      </c>
      <c r="V88" s="62">
        <v>0</v>
      </c>
      <c r="W88" s="62">
        <v>0</v>
      </c>
      <c r="X88" s="63">
        <v>0</v>
      </c>
      <c r="Y88" s="60">
        <v>0</v>
      </c>
      <c r="Z88" s="62">
        <v>0</v>
      </c>
      <c r="AA88" s="62">
        <v>0</v>
      </c>
      <c r="AB88" s="63">
        <v>0</v>
      </c>
      <c r="AC88" s="60">
        <v>0</v>
      </c>
      <c r="AD88" s="62">
        <v>0</v>
      </c>
      <c r="AE88" s="62">
        <v>0</v>
      </c>
      <c r="AF88" s="63">
        <v>0</v>
      </c>
      <c r="AG88" s="60">
        <v>0</v>
      </c>
      <c r="AH88" s="62">
        <v>0</v>
      </c>
      <c r="AI88" s="62">
        <v>0</v>
      </c>
      <c r="AJ88" s="63">
        <v>0</v>
      </c>
      <c r="AK88" s="60">
        <v>50.8</v>
      </c>
      <c r="AL88" s="62">
        <v>50.8</v>
      </c>
      <c r="AM88" s="62">
        <v>50.8</v>
      </c>
      <c r="AN88" s="62">
        <v>50.8</v>
      </c>
      <c r="AO88" s="27"/>
      <c r="AP88" s="27"/>
    </row>
    <row r="89" spans="1:42">
      <c r="A89" s="50">
        <v>2500</v>
      </c>
      <c r="B89" s="515" t="s">
        <v>24</v>
      </c>
      <c r="C89" s="510"/>
      <c r="D89" s="56"/>
      <c r="E89" s="48"/>
      <c r="F89" s="48"/>
      <c r="G89" s="48"/>
      <c r="H89" s="33"/>
      <c r="I89" s="64"/>
      <c r="J89" s="48"/>
      <c r="K89" s="48"/>
      <c r="L89" s="33"/>
      <c r="M89" s="64"/>
      <c r="N89" s="48"/>
      <c r="O89" s="48"/>
      <c r="P89" s="33"/>
      <c r="Q89" s="64"/>
      <c r="R89" s="48"/>
      <c r="S89" s="48"/>
      <c r="T89" s="33"/>
      <c r="U89" s="64"/>
      <c r="V89" s="48"/>
      <c r="W89" s="48"/>
      <c r="X89" s="33"/>
      <c r="Y89" s="64"/>
      <c r="Z89" s="48"/>
      <c r="AA89" s="48"/>
      <c r="AB89" s="33"/>
      <c r="AC89" s="64"/>
      <c r="AD89" s="48"/>
      <c r="AE89" s="48"/>
      <c r="AF89" s="33"/>
      <c r="AG89" s="64"/>
      <c r="AH89" s="48"/>
      <c r="AI89" s="48"/>
      <c r="AJ89" s="33"/>
      <c r="AK89" s="49"/>
      <c r="AL89" s="27"/>
      <c r="AM89" s="27"/>
      <c r="AN89" s="38"/>
      <c r="AO89" s="27"/>
      <c r="AP89" s="27"/>
    </row>
    <row r="90" spans="1:42">
      <c r="A90" s="54"/>
      <c r="B90" s="33"/>
      <c r="C90" s="55" t="s">
        <v>192</v>
      </c>
      <c r="D90" s="56" t="s">
        <v>88</v>
      </c>
      <c r="E90" s="57">
        <v>1</v>
      </c>
      <c r="F90" s="57">
        <v>1</v>
      </c>
      <c r="G90" s="57">
        <v>1</v>
      </c>
      <c r="H90" s="65">
        <v>1</v>
      </c>
      <c r="I90" s="57">
        <v>0</v>
      </c>
      <c r="J90" s="57">
        <v>0</v>
      </c>
      <c r="K90" s="57">
        <v>0</v>
      </c>
      <c r="L90" s="65">
        <v>0</v>
      </c>
      <c r="M90" s="57">
        <v>0</v>
      </c>
      <c r="N90" s="57">
        <v>0</v>
      </c>
      <c r="O90" s="57">
        <v>0</v>
      </c>
      <c r="P90" s="65">
        <v>0</v>
      </c>
      <c r="Q90" s="57">
        <v>0</v>
      </c>
      <c r="R90" s="57">
        <v>0</v>
      </c>
      <c r="S90" s="57">
        <v>0</v>
      </c>
      <c r="T90" s="65">
        <v>0</v>
      </c>
      <c r="U90" s="57">
        <v>0</v>
      </c>
      <c r="V90" s="57">
        <v>0</v>
      </c>
      <c r="W90" s="57">
        <v>0</v>
      </c>
      <c r="X90" s="65">
        <v>0</v>
      </c>
      <c r="Y90" s="57">
        <v>0</v>
      </c>
      <c r="Z90" s="57">
        <v>0</v>
      </c>
      <c r="AA90" s="57">
        <v>0</v>
      </c>
      <c r="AB90" s="65">
        <v>0</v>
      </c>
      <c r="AC90" s="57">
        <v>0</v>
      </c>
      <c r="AD90" s="57">
        <v>0</v>
      </c>
      <c r="AE90" s="57">
        <v>0</v>
      </c>
      <c r="AF90" s="65">
        <v>0</v>
      </c>
      <c r="AG90" s="57">
        <v>0</v>
      </c>
      <c r="AH90" s="57">
        <v>0</v>
      </c>
      <c r="AI90" s="57">
        <v>0</v>
      </c>
      <c r="AJ90" s="65">
        <v>0</v>
      </c>
      <c r="AK90" s="61">
        <v>1</v>
      </c>
      <c r="AL90" s="61">
        <v>1</v>
      </c>
      <c r="AM90" s="61">
        <v>1</v>
      </c>
      <c r="AN90" s="66">
        <v>1</v>
      </c>
      <c r="AO90" s="27"/>
      <c r="AP90" s="27"/>
    </row>
    <row r="91" spans="1:42">
      <c r="A91" s="54"/>
      <c r="B91" s="33"/>
      <c r="C91" s="55" t="s">
        <v>193</v>
      </c>
      <c r="D91" s="56" t="s">
        <v>89</v>
      </c>
      <c r="E91" s="57">
        <v>15</v>
      </c>
      <c r="F91" s="57">
        <v>15</v>
      </c>
      <c r="G91" s="57">
        <v>15</v>
      </c>
      <c r="H91" s="58">
        <v>15</v>
      </c>
      <c r="I91" s="59">
        <v>0</v>
      </c>
      <c r="J91" s="57">
        <v>0</v>
      </c>
      <c r="K91" s="57">
        <v>0</v>
      </c>
      <c r="L91" s="58">
        <v>0</v>
      </c>
      <c r="M91" s="59">
        <v>0</v>
      </c>
      <c r="N91" s="57">
        <v>0</v>
      </c>
      <c r="O91" s="57">
        <v>0</v>
      </c>
      <c r="P91" s="58">
        <v>0</v>
      </c>
      <c r="Q91" s="59">
        <v>0</v>
      </c>
      <c r="R91" s="57">
        <v>0</v>
      </c>
      <c r="S91" s="57">
        <v>0</v>
      </c>
      <c r="T91" s="58">
        <v>0</v>
      </c>
      <c r="U91" s="59">
        <v>0</v>
      </c>
      <c r="V91" s="57">
        <v>0</v>
      </c>
      <c r="W91" s="57">
        <v>0</v>
      </c>
      <c r="X91" s="58">
        <v>0</v>
      </c>
      <c r="Y91" s="59">
        <v>0</v>
      </c>
      <c r="Z91" s="57">
        <v>0</v>
      </c>
      <c r="AA91" s="57">
        <v>0</v>
      </c>
      <c r="AB91" s="58">
        <v>0</v>
      </c>
      <c r="AC91" s="59">
        <v>0</v>
      </c>
      <c r="AD91" s="57">
        <v>0</v>
      </c>
      <c r="AE91" s="57">
        <v>0</v>
      </c>
      <c r="AF91" s="58">
        <v>0</v>
      </c>
      <c r="AG91" s="59">
        <v>0</v>
      </c>
      <c r="AH91" s="57">
        <v>0</v>
      </c>
      <c r="AI91" s="57">
        <v>0</v>
      </c>
      <c r="AJ91" s="58">
        <v>0</v>
      </c>
      <c r="AK91" s="60">
        <v>15</v>
      </c>
      <c r="AL91" s="62">
        <v>15</v>
      </c>
      <c r="AM91" s="62">
        <v>15</v>
      </c>
      <c r="AN91" s="62">
        <v>15</v>
      </c>
      <c r="AO91" s="27"/>
      <c r="AP91" s="27"/>
    </row>
    <row r="92" spans="1:42">
      <c r="A92" s="54"/>
      <c r="B92" s="33"/>
      <c r="C92" s="55"/>
      <c r="D92" s="56" t="s">
        <v>91</v>
      </c>
      <c r="E92" s="62">
        <v>16</v>
      </c>
      <c r="F92" s="62">
        <v>16</v>
      </c>
      <c r="G92" s="62">
        <v>16</v>
      </c>
      <c r="H92" s="63">
        <v>16</v>
      </c>
      <c r="I92" s="60">
        <v>0</v>
      </c>
      <c r="J92" s="62">
        <v>0</v>
      </c>
      <c r="K92" s="62">
        <v>0</v>
      </c>
      <c r="L92" s="63">
        <v>0</v>
      </c>
      <c r="M92" s="60">
        <v>0</v>
      </c>
      <c r="N92" s="62">
        <v>0</v>
      </c>
      <c r="O92" s="62">
        <v>0</v>
      </c>
      <c r="P92" s="63">
        <v>0</v>
      </c>
      <c r="Q92" s="60">
        <v>0</v>
      </c>
      <c r="R92" s="62">
        <v>0</v>
      </c>
      <c r="S92" s="62">
        <v>0</v>
      </c>
      <c r="T92" s="63">
        <v>0</v>
      </c>
      <c r="U92" s="60">
        <v>0</v>
      </c>
      <c r="V92" s="62">
        <v>0</v>
      </c>
      <c r="W92" s="62">
        <v>0</v>
      </c>
      <c r="X92" s="63">
        <v>0</v>
      </c>
      <c r="Y92" s="60">
        <v>0</v>
      </c>
      <c r="Z92" s="62">
        <v>0</v>
      </c>
      <c r="AA92" s="62">
        <v>0</v>
      </c>
      <c r="AB92" s="63">
        <v>0</v>
      </c>
      <c r="AC92" s="60">
        <v>0</v>
      </c>
      <c r="AD92" s="62">
        <v>0</v>
      </c>
      <c r="AE92" s="62">
        <v>0</v>
      </c>
      <c r="AF92" s="63">
        <v>0</v>
      </c>
      <c r="AG92" s="60">
        <v>0</v>
      </c>
      <c r="AH92" s="62">
        <v>0</v>
      </c>
      <c r="AI92" s="62">
        <v>0</v>
      </c>
      <c r="AJ92" s="63">
        <v>0</v>
      </c>
      <c r="AK92" s="60">
        <v>16</v>
      </c>
      <c r="AL92" s="62">
        <v>16</v>
      </c>
      <c r="AM92" s="62">
        <v>16</v>
      </c>
      <c r="AN92" s="62">
        <v>16</v>
      </c>
      <c r="AO92" s="27"/>
      <c r="AP92" s="27"/>
    </row>
    <row r="93" spans="1:42">
      <c r="A93" s="517" t="s">
        <v>194</v>
      </c>
      <c r="B93" s="510"/>
      <c r="C93" s="510"/>
      <c r="D93" s="516"/>
      <c r="E93" s="48"/>
      <c r="F93" s="48"/>
      <c r="G93" s="48"/>
      <c r="H93" s="33"/>
      <c r="I93" s="64"/>
      <c r="J93" s="48"/>
      <c r="K93" s="48"/>
      <c r="L93" s="33"/>
      <c r="M93" s="64"/>
      <c r="N93" s="48"/>
      <c r="O93" s="48"/>
      <c r="P93" s="33"/>
      <c r="Q93" s="64"/>
      <c r="R93" s="48"/>
      <c r="S93" s="48"/>
      <c r="T93" s="33"/>
      <c r="U93" s="64"/>
      <c r="V93" s="48"/>
      <c r="W93" s="48"/>
      <c r="X93" s="33"/>
      <c r="Y93" s="64"/>
      <c r="Z93" s="48"/>
      <c r="AA93" s="48"/>
      <c r="AB93" s="33"/>
      <c r="AC93" s="64"/>
      <c r="AD93" s="48"/>
      <c r="AE93" s="48"/>
      <c r="AF93" s="33"/>
      <c r="AG93" s="64"/>
      <c r="AH93" s="48"/>
      <c r="AI93" s="48"/>
      <c r="AJ93" s="33"/>
      <c r="AK93" s="49"/>
      <c r="AL93" s="27"/>
      <c r="AM93" s="27"/>
      <c r="AN93" s="38"/>
      <c r="AO93" s="27"/>
      <c r="AP93" s="27"/>
    </row>
    <row r="94" spans="1:42">
      <c r="A94" s="54"/>
      <c r="B94" s="33"/>
      <c r="C94" s="55"/>
      <c r="D94" s="67" t="s">
        <v>88</v>
      </c>
      <c r="E94" s="72">
        <v>24.5</v>
      </c>
      <c r="F94" s="72">
        <v>24.5</v>
      </c>
      <c r="G94" s="72">
        <v>24.5</v>
      </c>
      <c r="H94" s="73">
        <v>24.5</v>
      </c>
      <c r="I94" s="71">
        <v>0</v>
      </c>
      <c r="J94" s="72">
        <v>0</v>
      </c>
      <c r="K94" s="72">
        <v>0</v>
      </c>
      <c r="L94" s="73">
        <v>0</v>
      </c>
      <c r="M94" s="71">
        <v>0</v>
      </c>
      <c r="N94" s="72">
        <v>0</v>
      </c>
      <c r="O94" s="72">
        <v>0</v>
      </c>
      <c r="P94" s="73">
        <v>0</v>
      </c>
      <c r="Q94" s="71">
        <v>0</v>
      </c>
      <c r="R94" s="72">
        <v>0</v>
      </c>
      <c r="S94" s="72">
        <v>0</v>
      </c>
      <c r="T94" s="73">
        <v>0</v>
      </c>
      <c r="U94" s="71">
        <v>0</v>
      </c>
      <c r="V94" s="72">
        <v>0</v>
      </c>
      <c r="W94" s="72">
        <v>0</v>
      </c>
      <c r="X94" s="73">
        <v>0</v>
      </c>
      <c r="Y94" s="71">
        <v>0</v>
      </c>
      <c r="Z94" s="72">
        <v>0</v>
      </c>
      <c r="AA94" s="72">
        <v>0</v>
      </c>
      <c r="AB94" s="73">
        <v>0</v>
      </c>
      <c r="AC94" s="71">
        <v>0</v>
      </c>
      <c r="AD94" s="72">
        <v>0</v>
      </c>
      <c r="AE94" s="72">
        <v>0</v>
      </c>
      <c r="AF94" s="73">
        <v>0</v>
      </c>
      <c r="AG94" s="71">
        <v>0</v>
      </c>
      <c r="AH94" s="72">
        <v>0</v>
      </c>
      <c r="AI94" s="72">
        <v>0</v>
      </c>
      <c r="AJ94" s="73">
        <v>0</v>
      </c>
      <c r="AK94" s="80">
        <v>24.5</v>
      </c>
      <c r="AL94" s="80">
        <v>24.5</v>
      </c>
      <c r="AM94" s="80">
        <v>24.5</v>
      </c>
      <c r="AN94" s="71">
        <v>24.5</v>
      </c>
      <c r="AO94" s="27"/>
      <c r="AP94" s="27"/>
    </row>
    <row r="95" spans="1:42">
      <c r="A95" s="54"/>
      <c r="B95" s="33"/>
      <c r="C95" s="55"/>
      <c r="D95" s="67" t="s">
        <v>89</v>
      </c>
      <c r="E95" s="72">
        <v>46.3</v>
      </c>
      <c r="F95" s="72">
        <v>46.3</v>
      </c>
      <c r="G95" s="72">
        <v>46.3</v>
      </c>
      <c r="H95" s="73">
        <v>46.3</v>
      </c>
      <c r="I95" s="71">
        <v>0</v>
      </c>
      <c r="J95" s="72">
        <v>0</v>
      </c>
      <c r="K95" s="72">
        <v>0</v>
      </c>
      <c r="L95" s="73">
        <v>0</v>
      </c>
      <c r="M95" s="71">
        <v>0</v>
      </c>
      <c r="N95" s="72">
        <v>0</v>
      </c>
      <c r="O95" s="72">
        <v>0</v>
      </c>
      <c r="P95" s="73">
        <v>0</v>
      </c>
      <c r="Q95" s="71">
        <v>0</v>
      </c>
      <c r="R95" s="72">
        <v>0</v>
      </c>
      <c r="S95" s="72">
        <v>0</v>
      </c>
      <c r="T95" s="73">
        <v>0</v>
      </c>
      <c r="U95" s="71">
        <v>0</v>
      </c>
      <c r="V95" s="72">
        <v>0</v>
      </c>
      <c r="W95" s="72">
        <v>0</v>
      </c>
      <c r="X95" s="73">
        <v>0</v>
      </c>
      <c r="Y95" s="71">
        <v>0</v>
      </c>
      <c r="Z95" s="72">
        <v>0</v>
      </c>
      <c r="AA95" s="72">
        <v>0</v>
      </c>
      <c r="AB95" s="73">
        <v>0</v>
      </c>
      <c r="AC95" s="71">
        <v>0</v>
      </c>
      <c r="AD95" s="72">
        <v>0</v>
      </c>
      <c r="AE95" s="72">
        <v>0</v>
      </c>
      <c r="AF95" s="73">
        <v>0</v>
      </c>
      <c r="AG95" s="71">
        <v>0</v>
      </c>
      <c r="AH95" s="72">
        <v>0</v>
      </c>
      <c r="AI95" s="72">
        <v>0</v>
      </c>
      <c r="AJ95" s="73">
        <v>0</v>
      </c>
      <c r="AK95" s="80">
        <v>46.3</v>
      </c>
      <c r="AL95" s="80">
        <v>46.3</v>
      </c>
      <c r="AM95" s="80">
        <v>46.3</v>
      </c>
      <c r="AN95" s="71">
        <v>46.3</v>
      </c>
      <c r="AO95" s="27"/>
      <c r="AP95" s="27"/>
    </row>
    <row r="96" spans="1:42">
      <c r="A96" s="81"/>
      <c r="B96" s="82"/>
      <c r="C96" s="83"/>
      <c r="D96" s="84" t="s">
        <v>91</v>
      </c>
      <c r="E96" s="84">
        <v>70.8</v>
      </c>
      <c r="F96" s="84">
        <v>70.8</v>
      </c>
      <c r="G96" s="84">
        <v>70.8</v>
      </c>
      <c r="H96" s="85">
        <v>70.8</v>
      </c>
      <c r="I96" s="86">
        <v>0</v>
      </c>
      <c r="J96" s="84">
        <v>0</v>
      </c>
      <c r="K96" s="84">
        <v>0</v>
      </c>
      <c r="L96" s="85">
        <v>0</v>
      </c>
      <c r="M96" s="86">
        <v>0</v>
      </c>
      <c r="N96" s="84">
        <v>0</v>
      </c>
      <c r="O96" s="84">
        <v>0</v>
      </c>
      <c r="P96" s="85">
        <v>0</v>
      </c>
      <c r="Q96" s="86">
        <v>0</v>
      </c>
      <c r="R96" s="84">
        <v>0</v>
      </c>
      <c r="S96" s="84">
        <v>0</v>
      </c>
      <c r="T96" s="85">
        <v>0</v>
      </c>
      <c r="U96" s="86">
        <v>0</v>
      </c>
      <c r="V96" s="84">
        <v>0</v>
      </c>
      <c r="W96" s="84">
        <v>0</v>
      </c>
      <c r="X96" s="85">
        <v>0</v>
      </c>
      <c r="Y96" s="86">
        <v>0</v>
      </c>
      <c r="Z96" s="84">
        <v>0</v>
      </c>
      <c r="AA96" s="84">
        <v>0</v>
      </c>
      <c r="AB96" s="85">
        <v>0</v>
      </c>
      <c r="AC96" s="86">
        <v>0</v>
      </c>
      <c r="AD96" s="84">
        <v>0</v>
      </c>
      <c r="AE96" s="84">
        <v>0</v>
      </c>
      <c r="AF96" s="85">
        <v>0</v>
      </c>
      <c r="AG96" s="86">
        <v>0</v>
      </c>
      <c r="AH96" s="84">
        <v>0</v>
      </c>
      <c r="AI96" s="84">
        <v>0</v>
      </c>
      <c r="AJ96" s="85">
        <v>0</v>
      </c>
      <c r="AK96" s="87">
        <v>70.8</v>
      </c>
      <c r="AL96" s="87">
        <v>70.8</v>
      </c>
      <c r="AM96" s="87">
        <v>70.8</v>
      </c>
      <c r="AN96" s="86">
        <v>70.8</v>
      </c>
      <c r="AO96" s="27"/>
      <c r="AP96" s="27"/>
    </row>
    <row r="97" spans="1:42">
      <c r="A97" s="519" t="s">
        <v>195</v>
      </c>
      <c r="B97" s="520"/>
      <c r="C97" s="88"/>
      <c r="D97" s="89"/>
      <c r="E97" s="89"/>
      <c r="F97" s="89"/>
      <c r="G97" s="89"/>
      <c r="H97" s="90"/>
      <c r="I97" s="91"/>
      <c r="J97" s="89"/>
      <c r="K97" s="89"/>
      <c r="L97" s="90"/>
      <c r="M97" s="91"/>
      <c r="N97" s="89"/>
      <c r="O97" s="89"/>
      <c r="P97" s="90"/>
      <c r="Q97" s="91"/>
      <c r="R97" s="89"/>
      <c r="S97" s="89"/>
      <c r="T97" s="90"/>
      <c r="U97" s="91"/>
      <c r="V97" s="89"/>
      <c r="W97" s="89"/>
      <c r="X97" s="90"/>
      <c r="Y97" s="91"/>
      <c r="Z97" s="89"/>
      <c r="AA97" s="89"/>
      <c r="AB97" s="90"/>
      <c r="AC97" s="91"/>
      <c r="AD97" s="89"/>
      <c r="AE97" s="89"/>
      <c r="AF97" s="90"/>
      <c r="AG97" s="91"/>
      <c r="AH97" s="89"/>
      <c r="AI97" s="89"/>
      <c r="AJ97" s="90"/>
      <c r="AK97" s="76"/>
      <c r="AL97" s="75"/>
      <c r="AM97" s="75"/>
      <c r="AN97" s="77"/>
      <c r="AO97" s="27"/>
      <c r="AP97" s="27"/>
    </row>
    <row r="98" spans="1:42">
      <c r="A98" s="50">
        <v>2600</v>
      </c>
      <c r="B98" s="515" t="s">
        <v>196</v>
      </c>
      <c r="C98" s="510"/>
      <c r="D98" s="516"/>
      <c r="E98" s="48"/>
      <c r="F98" s="48"/>
      <c r="G98" s="48"/>
      <c r="H98" s="33"/>
      <c r="I98" s="64"/>
      <c r="J98" s="48"/>
      <c r="K98" s="48"/>
      <c r="L98" s="33"/>
      <c r="M98" s="64"/>
      <c r="N98" s="48"/>
      <c r="O98" s="48"/>
      <c r="P98" s="33"/>
      <c r="Q98" s="64"/>
      <c r="R98" s="48"/>
      <c r="S98" s="48"/>
      <c r="T98" s="33"/>
      <c r="U98" s="64"/>
      <c r="V98" s="48"/>
      <c r="W98" s="48"/>
      <c r="X98" s="33"/>
      <c r="Y98" s="64"/>
      <c r="Z98" s="48"/>
      <c r="AA98" s="48"/>
      <c r="AB98" s="33"/>
      <c r="AC98" s="64"/>
      <c r="AD98" s="48"/>
      <c r="AE98" s="48"/>
      <c r="AF98" s="33"/>
      <c r="AG98" s="64"/>
      <c r="AH98" s="48"/>
      <c r="AI98" s="48"/>
      <c r="AJ98" s="33"/>
      <c r="AK98" s="53"/>
      <c r="AL98" s="44"/>
      <c r="AM98" s="44"/>
      <c r="AN98" s="52"/>
      <c r="AO98" s="27"/>
      <c r="AP98" s="27"/>
    </row>
    <row r="99" spans="1:42">
      <c r="A99" s="54"/>
      <c r="B99" s="33"/>
      <c r="C99" s="55" t="s">
        <v>197</v>
      </c>
      <c r="D99" s="56" t="s">
        <v>88</v>
      </c>
      <c r="E99" s="57">
        <v>0</v>
      </c>
      <c r="F99" s="57">
        <v>0</v>
      </c>
      <c r="G99" s="57">
        <v>0</v>
      </c>
      <c r="H99" s="65">
        <v>0</v>
      </c>
      <c r="I99" s="57">
        <v>0</v>
      </c>
      <c r="J99" s="57">
        <v>0</v>
      </c>
      <c r="K99" s="57">
        <v>0</v>
      </c>
      <c r="L99" s="65">
        <v>0</v>
      </c>
      <c r="M99" s="57">
        <v>0</v>
      </c>
      <c r="N99" s="57">
        <v>0</v>
      </c>
      <c r="O99" s="57">
        <v>0</v>
      </c>
      <c r="P99" s="65">
        <v>0</v>
      </c>
      <c r="Q99" s="57">
        <v>0</v>
      </c>
      <c r="R99" s="57">
        <v>0</v>
      </c>
      <c r="S99" s="57">
        <v>0</v>
      </c>
      <c r="T99" s="65">
        <v>0</v>
      </c>
      <c r="U99" s="57">
        <v>0</v>
      </c>
      <c r="V99" s="57">
        <v>0</v>
      </c>
      <c r="W99" s="57">
        <v>0</v>
      </c>
      <c r="X99" s="65">
        <v>0</v>
      </c>
      <c r="Y99" s="57">
        <v>0</v>
      </c>
      <c r="Z99" s="57">
        <v>0</v>
      </c>
      <c r="AA99" s="57">
        <v>0</v>
      </c>
      <c r="AB99" s="65">
        <v>0</v>
      </c>
      <c r="AC99" s="57">
        <v>0</v>
      </c>
      <c r="AD99" s="57">
        <v>0</v>
      </c>
      <c r="AE99" s="57">
        <v>0</v>
      </c>
      <c r="AF99" s="65">
        <v>0</v>
      </c>
      <c r="AG99" s="57">
        <v>0</v>
      </c>
      <c r="AH99" s="57">
        <v>0</v>
      </c>
      <c r="AI99" s="57">
        <v>0</v>
      </c>
      <c r="AJ99" s="92">
        <v>0</v>
      </c>
      <c r="AK99" s="60">
        <v>0</v>
      </c>
      <c r="AL99" s="61">
        <v>0</v>
      </c>
      <c r="AM99" s="61">
        <v>0</v>
      </c>
      <c r="AN99" s="62">
        <v>0</v>
      </c>
      <c r="AO99" s="27"/>
      <c r="AP99" s="27"/>
    </row>
    <row r="100" spans="1:42">
      <c r="A100" s="54"/>
      <c r="B100" s="33"/>
      <c r="C100" s="55" t="s">
        <v>198</v>
      </c>
      <c r="D100" s="56" t="s">
        <v>89</v>
      </c>
      <c r="E100" s="57">
        <v>61.13</v>
      </c>
      <c r="F100" s="57">
        <v>61.13</v>
      </c>
      <c r="G100" s="57">
        <v>61.13</v>
      </c>
      <c r="H100" s="58">
        <v>61.13</v>
      </c>
      <c r="I100" s="59">
        <v>0</v>
      </c>
      <c r="J100" s="57">
        <v>0</v>
      </c>
      <c r="K100" s="57">
        <v>0</v>
      </c>
      <c r="L100" s="58">
        <v>0</v>
      </c>
      <c r="M100" s="59">
        <v>0</v>
      </c>
      <c r="N100" s="57">
        <v>0</v>
      </c>
      <c r="O100" s="57">
        <v>0</v>
      </c>
      <c r="P100" s="58">
        <v>0</v>
      </c>
      <c r="Q100" s="59">
        <v>0</v>
      </c>
      <c r="R100" s="57">
        <v>0</v>
      </c>
      <c r="S100" s="57">
        <v>0</v>
      </c>
      <c r="T100" s="58">
        <v>0</v>
      </c>
      <c r="U100" s="59">
        <v>0</v>
      </c>
      <c r="V100" s="57">
        <v>0</v>
      </c>
      <c r="W100" s="57">
        <v>0</v>
      </c>
      <c r="X100" s="58">
        <v>0</v>
      </c>
      <c r="Y100" s="59">
        <v>0</v>
      </c>
      <c r="Z100" s="57">
        <v>0</v>
      </c>
      <c r="AA100" s="57">
        <v>0</v>
      </c>
      <c r="AB100" s="58">
        <v>0</v>
      </c>
      <c r="AC100" s="59">
        <v>0</v>
      </c>
      <c r="AD100" s="57">
        <v>0</v>
      </c>
      <c r="AE100" s="57">
        <v>0</v>
      </c>
      <c r="AF100" s="58">
        <v>0</v>
      </c>
      <c r="AG100" s="59">
        <v>0</v>
      </c>
      <c r="AH100" s="57">
        <v>0</v>
      </c>
      <c r="AI100" s="57">
        <v>0</v>
      </c>
      <c r="AJ100" s="63">
        <v>0</v>
      </c>
      <c r="AK100" s="60">
        <v>61.13</v>
      </c>
      <c r="AL100" s="62">
        <v>61.13</v>
      </c>
      <c r="AM100" s="62">
        <v>61.13</v>
      </c>
      <c r="AN100" s="62">
        <v>61.13</v>
      </c>
      <c r="AO100" s="27"/>
      <c r="AP100" s="27"/>
    </row>
    <row r="101" spans="1:42">
      <c r="A101" s="54"/>
      <c r="B101" s="33"/>
      <c r="C101" s="55"/>
      <c r="D101" s="56" t="s">
        <v>91</v>
      </c>
      <c r="E101" s="62">
        <v>61.13</v>
      </c>
      <c r="F101" s="62">
        <v>61.13</v>
      </c>
      <c r="G101" s="62">
        <v>61.13</v>
      </c>
      <c r="H101" s="63">
        <v>61.13</v>
      </c>
      <c r="I101" s="60">
        <v>0</v>
      </c>
      <c r="J101" s="62">
        <v>0</v>
      </c>
      <c r="K101" s="62">
        <v>0</v>
      </c>
      <c r="L101" s="63">
        <v>0</v>
      </c>
      <c r="M101" s="60">
        <v>0</v>
      </c>
      <c r="N101" s="62">
        <v>0</v>
      </c>
      <c r="O101" s="62">
        <v>0</v>
      </c>
      <c r="P101" s="63">
        <v>0</v>
      </c>
      <c r="Q101" s="60">
        <v>0</v>
      </c>
      <c r="R101" s="62">
        <v>0</v>
      </c>
      <c r="S101" s="62">
        <v>0</v>
      </c>
      <c r="T101" s="63">
        <v>0</v>
      </c>
      <c r="U101" s="60">
        <v>0</v>
      </c>
      <c r="V101" s="62">
        <v>0</v>
      </c>
      <c r="W101" s="62">
        <v>0</v>
      </c>
      <c r="X101" s="63">
        <v>0</v>
      </c>
      <c r="Y101" s="60">
        <v>0</v>
      </c>
      <c r="Z101" s="62">
        <v>0</v>
      </c>
      <c r="AA101" s="62">
        <v>0</v>
      </c>
      <c r="AB101" s="63">
        <v>0</v>
      </c>
      <c r="AC101" s="60">
        <v>0</v>
      </c>
      <c r="AD101" s="62">
        <v>0</v>
      </c>
      <c r="AE101" s="62">
        <v>0</v>
      </c>
      <c r="AF101" s="63">
        <v>0</v>
      </c>
      <c r="AG101" s="60">
        <v>0</v>
      </c>
      <c r="AH101" s="62">
        <v>0</v>
      </c>
      <c r="AI101" s="62">
        <v>0</v>
      </c>
      <c r="AJ101" s="63">
        <v>0</v>
      </c>
      <c r="AK101" s="60">
        <v>61.13</v>
      </c>
      <c r="AL101" s="62">
        <v>61.13</v>
      </c>
      <c r="AM101" s="62">
        <v>61.13</v>
      </c>
      <c r="AN101" s="62">
        <v>61.13</v>
      </c>
      <c r="AO101" s="27"/>
      <c r="AP101" s="27"/>
    </row>
    <row r="102" spans="1:42">
      <c r="A102" s="50">
        <v>2700</v>
      </c>
      <c r="B102" s="515" t="s">
        <v>26</v>
      </c>
      <c r="C102" s="510"/>
      <c r="D102" s="516"/>
      <c r="E102" s="48"/>
      <c r="F102" s="48"/>
      <c r="G102" s="48"/>
      <c r="H102" s="33"/>
      <c r="I102" s="64"/>
      <c r="J102" s="48"/>
      <c r="K102" s="48"/>
      <c r="L102" s="33"/>
      <c r="M102" s="64"/>
      <c r="N102" s="48"/>
      <c r="O102" s="48"/>
      <c r="P102" s="33"/>
      <c r="Q102" s="64"/>
      <c r="R102" s="48"/>
      <c r="S102" s="48"/>
      <c r="T102" s="33"/>
      <c r="U102" s="64"/>
      <c r="V102" s="48"/>
      <c r="W102" s="48"/>
      <c r="X102" s="33"/>
      <c r="Y102" s="64"/>
      <c r="Z102" s="48"/>
      <c r="AA102" s="48"/>
      <c r="AB102" s="33"/>
      <c r="AC102" s="64"/>
      <c r="AD102" s="48"/>
      <c r="AE102" s="48"/>
      <c r="AF102" s="33"/>
      <c r="AG102" s="64"/>
      <c r="AH102" s="48"/>
      <c r="AI102" s="48"/>
      <c r="AJ102" s="33"/>
      <c r="AK102" s="49"/>
      <c r="AL102" s="27"/>
      <c r="AM102" s="27"/>
      <c r="AN102" s="38"/>
      <c r="AO102" s="27"/>
      <c r="AP102" s="27"/>
    </row>
    <row r="103" spans="1:42">
      <c r="A103" s="54"/>
      <c r="B103" s="33"/>
      <c r="C103" s="55" t="s">
        <v>199</v>
      </c>
      <c r="D103" s="56" t="s">
        <v>88</v>
      </c>
      <c r="E103" s="57">
        <v>0</v>
      </c>
      <c r="F103" s="57">
        <v>0</v>
      </c>
      <c r="G103" s="57">
        <v>0</v>
      </c>
      <c r="H103" s="65">
        <v>0</v>
      </c>
      <c r="I103" s="57">
        <v>0</v>
      </c>
      <c r="J103" s="57">
        <v>0</v>
      </c>
      <c r="K103" s="57">
        <v>0</v>
      </c>
      <c r="L103" s="65">
        <v>0</v>
      </c>
      <c r="M103" s="57">
        <v>0</v>
      </c>
      <c r="N103" s="57">
        <v>0</v>
      </c>
      <c r="O103" s="57">
        <v>0</v>
      </c>
      <c r="P103" s="65">
        <v>0</v>
      </c>
      <c r="Q103" s="57">
        <v>0</v>
      </c>
      <c r="R103" s="57">
        <v>0</v>
      </c>
      <c r="S103" s="57">
        <v>0</v>
      </c>
      <c r="T103" s="65">
        <v>0</v>
      </c>
      <c r="U103" s="57">
        <v>0</v>
      </c>
      <c r="V103" s="57">
        <v>0</v>
      </c>
      <c r="W103" s="57">
        <v>0</v>
      </c>
      <c r="X103" s="65">
        <v>0</v>
      </c>
      <c r="Y103" s="57">
        <v>0</v>
      </c>
      <c r="Z103" s="57">
        <v>0</v>
      </c>
      <c r="AA103" s="57">
        <v>0</v>
      </c>
      <c r="AB103" s="65">
        <v>0</v>
      </c>
      <c r="AC103" s="57">
        <v>0</v>
      </c>
      <c r="AD103" s="57">
        <v>0</v>
      </c>
      <c r="AE103" s="57">
        <v>0</v>
      </c>
      <c r="AF103" s="65">
        <v>0</v>
      </c>
      <c r="AG103" s="57">
        <v>0</v>
      </c>
      <c r="AH103" s="57">
        <v>0</v>
      </c>
      <c r="AI103" s="57">
        <v>0</v>
      </c>
      <c r="AJ103" s="65">
        <v>0</v>
      </c>
      <c r="AK103" s="61">
        <v>0</v>
      </c>
      <c r="AL103" s="61">
        <v>0</v>
      </c>
      <c r="AM103" s="61">
        <v>0</v>
      </c>
      <c r="AN103" s="66">
        <v>0</v>
      </c>
      <c r="AO103" s="27"/>
      <c r="AP103" s="27"/>
    </row>
    <row r="104" spans="1:42">
      <c r="A104" s="54"/>
      <c r="B104" s="33"/>
      <c r="C104" s="55" t="s">
        <v>200</v>
      </c>
      <c r="D104" s="56" t="s">
        <v>89</v>
      </c>
      <c r="E104" s="57">
        <v>43.38</v>
      </c>
      <c r="F104" s="57">
        <v>42.88</v>
      </c>
      <c r="G104" s="57">
        <v>42.88</v>
      </c>
      <c r="H104" s="58">
        <v>42.88</v>
      </c>
      <c r="I104" s="59">
        <v>0</v>
      </c>
      <c r="J104" s="57">
        <v>0</v>
      </c>
      <c r="K104" s="57">
        <v>0</v>
      </c>
      <c r="L104" s="58">
        <v>0</v>
      </c>
      <c r="M104" s="59">
        <v>0</v>
      </c>
      <c r="N104" s="57">
        <v>0</v>
      </c>
      <c r="O104" s="57">
        <v>0</v>
      </c>
      <c r="P104" s="58">
        <v>0</v>
      </c>
      <c r="Q104" s="59">
        <v>0</v>
      </c>
      <c r="R104" s="57">
        <v>0</v>
      </c>
      <c r="S104" s="57">
        <v>0</v>
      </c>
      <c r="T104" s="58">
        <v>0</v>
      </c>
      <c r="U104" s="59">
        <v>6.33</v>
      </c>
      <c r="V104" s="57">
        <v>6.33</v>
      </c>
      <c r="W104" s="57">
        <v>6.33</v>
      </c>
      <c r="X104" s="58">
        <v>6.33</v>
      </c>
      <c r="Y104" s="59">
        <v>0</v>
      </c>
      <c r="Z104" s="57">
        <v>0</v>
      </c>
      <c r="AA104" s="57">
        <v>0</v>
      </c>
      <c r="AB104" s="58">
        <v>0</v>
      </c>
      <c r="AC104" s="59">
        <v>0</v>
      </c>
      <c r="AD104" s="57">
        <v>0</v>
      </c>
      <c r="AE104" s="57">
        <v>0</v>
      </c>
      <c r="AF104" s="58">
        <v>0</v>
      </c>
      <c r="AG104" s="59">
        <v>0</v>
      </c>
      <c r="AH104" s="57">
        <v>0</v>
      </c>
      <c r="AI104" s="57">
        <v>0</v>
      </c>
      <c r="AJ104" s="58">
        <v>0</v>
      </c>
      <c r="AK104" s="60">
        <v>49.71</v>
      </c>
      <c r="AL104" s="62">
        <v>49.21</v>
      </c>
      <c r="AM104" s="62">
        <v>49.21</v>
      </c>
      <c r="AN104" s="62">
        <v>49.21</v>
      </c>
      <c r="AO104" s="27"/>
      <c r="AP104" s="27"/>
    </row>
    <row r="105" spans="1:42">
      <c r="A105" s="54"/>
      <c r="B105" s="33"/>
      <c r="C105" s="55"/>
      <c r="D105" s="56" t="s">
        <v>91</v>
      </c>
      <c r="E105" s="62">
        <v>43.38</v>
      </c>
      <c r="F105" s="62">
        <v>42.88</v>
      </c>
      <c r="G105" s="62">
        <v>42.88</v>
      </c>
      <c r="H105" s="63">
        <v>42.88</v>
      </c>
      <c r="I105" s="60">
        <v>0</v>
      </c>
      <c r="J105" s="62">
        <v>0</v>
      </c>
      <c r="K105" s="62">
        <v>0</v>
      </c>
      <c r="L105" s="63">
        <v>0</v>
      </c>
      <c r="M105" s="60">
        <v>0</v>
      </c>
      <c r="N105" s="62">
        <v>0</v>
      </c>
      <c r="O105" s="62">
        <v>0</v>
      </c>
      <c r="P105" s="63">
        <v>0</v>
      </c>
      <c r="Q105" s="60">
        <v>0</v>
      </c>
      <c r="R105" s="62">
        <v>0</v>
      </c>
      <c r="S105" s="62">
        <v>0</v>
      </c>
      <c r="T105" s="63">
        <v>0</v>
      </c>
      <c r="U105" s="60">
        <v>6.33</v>
      </c>
      <c r="V105" s="62">
        <v>6.33</v>
      </c>
      <c r="W105" s="62">
        <v>6.33</v>
      </c>
      <c r="X105" s="63">
        <v>6.33</v>
      </c>
      <c r="Y105" s="60">
        <v>0</v>
      </c>
      <c r="Z105" s="62">
        <v>0</v>
      </c>
      <c r="AA105" s="62">
        <v>0</v>
      </c>
      <c r="AB105" s="63">
        <v>0</v>
      </c>
      <c r="AC105" s="60">
        <v>0</v>
      </c>
      <c r="AD105" s="62">
        <v>0</v>
      </c>
      <c r="AE105" s="62">
        <v>0</v>
      </c>
      <c r="AF105" s="63">
        <v>0</v>
      </c>
      <c r="AG105" s="60">
        <v>0</v>
      </c>
      <c r="AH105" s="62">
        <v>0</v>
      </c>
      <c r="AI105" s="62">
        <v>0</v>
      </c>
      <c r="AJ105" s="63">
        <v>0</v>
      </c>
      <c r="AK105" s="60">
        <v>49.71</v>
      </c>
      <c r="AL105" s="62">
        <v>49.21</v>
      </c>
      <c r="AM105" s="62">
        <v>49.21</v>
      </c>
      <c r="AN105" s="62">
        <v>49.21</v>
      </c>
      <c r="AO105" s="27"/>
      <c r="AP105" s="27"/>
    </row>
    <row r="106" spans="1:42">
      <c r="A106" s="50">
        <v>2900</v>
      </c>
      <c r="B106" s="515" t="s">
        <v>201</v>
      </c>
      <c r="C106" s="510"/>
      <c r="D106" s="516"/>
      <c r="E106" s="48"/>
      <c r="F106" s="48"/>
      <c r="G106" s="48"/>
      <c r="H106" s="33"/>
      <c r="I106" s="64"/>
      <c r="J106" s="48"/>
      <c r="K106" s="48"/>
      <c r="L106" s="33"/>
      <c r="M106" s="64"/>
      <c r="N106" s="48"/>
      <c r="O106" s="48"/>
      <c r="P106" s="33"/>
      <c r="Q106" s="64"/>
      <c r="R106" s="48"/>
      <c r="S106" s="48"/>
      <c r="T106" s="33"/>
      <c r="U106" s="64"/>
      <c r="V106" s="48"/>
      <c r="W106" s="48"/>
      <c r="X106" s="33"/>
      <c r="Y106" s="64"/>
      <c r="Z106" s="48"/>
      <c r="AA106" s="48"/>
      <c r="AB106" s="33"/>
      <c r="AC106" s="64"/>
      <c r="AD106" s="48"/>
      <c r="AE106" s="48"/>
      <c r="AF106" s="33"/>
      <c r="AG106" s="64"/>
      <c r="AH106" s="48"/>
      <c r="AI106" s="48"/>
      <c r="AJ106" s="33"/>
      <c r="AK106" s="49"/>
      <c r="AL106" s="27"/>
      <c r="AM106" s="27"/>
      <c r="AN106" s="38"/>
      <c r="AO106" s="27"/>
      <c r="AP106" s="27"/>
    </row>
    <row r="107" spans="1:42">
      <c r="A107" s="54"/>
      <c r="B107" s="33"/>
      <c r="C107" s="55" t="s">
        <v>202</v>
      </c>
      <c r="D107" s="56" t="s">
        <v>88</v>
      </c>
      <c r="E107" s="57">
        <v>0</v>
      </c>
      <c r="F107" s="57">
        <v>0</v>
      </c>
      <c r="G107" s="57">
        <v>0</v>
      </c>
      <c r="H107" s="65">
        <v>0</v>
      </c>
      <c r="I107" s="57">
        <v>0</v>
      </c>
      <c r="J107" s="57">
        <v>0</v>
      </c>
      <c r="K107" s="57">
        <v>0</v>
      </c>
      <c r="L107" s="65">
        <v>0</v>
      </c>
      <c r="M107" s="57">
        <v>0</v>
      </c>
      <c r="N107" s="57">
        <v>0</v>
      </c>
      <c r="O107" s="57">
        <v>0</v>
      </c>
      <c r="P107" s="65">
        <v>0</v>
      </c>
      <c r="Q107" s="57">
        <v>0</v>
      </c>
      <c r="R107" s="57">
        <v>0</v>
      </c>
      <c r="S107" s="57">
        <v>0</v>
      </c>
      <c r="T107" s="65">
        <v>0</v>
      </c>
      <c r="U107" s="57">
        <v>0</v>
      </c>
      <c r="V107" s="57">
        <v>0</v>
      </c>
      <c r="W107" s="57">
        <v>0</v>
      </c>
      <c r="X107" s="65">
        <v>0</v>
      </c>
      <c r="Y107" s="57">
        <v>0</v>
      </c>
      <c r="Z107" s="57">
        <v>0</v>
      </c>
      <c r="AA107" s="57">
        <v>0</v>
      </c>
      <c r="AB107" s="65">
        <v>0</v>
      </c>
      <c r="AC107" s="57">
        <v>0</v>
      </c>
      <c r="AD107" s="57">
        <v>0</v>
      </c>
      <c r="AE107" s="57">
        <v>0</v>
      </c>
      <c r="AF107" s="65">
        <v>0</v>
      </c>
      <c r="AG107" s="57">
        <v>0</v>
      </c>
      <c r="AH107" s="57">
        <v>0</v>
      </c>
      <c r="AI107" s="57">
        <v>0</v>
      </c>
      <c r="AJ107" s="65">
        <v>0</v>
      </c>
      <c r="AK107" s="61">
        <v>0</v>
      </c>
      <c r="AL107" s="61">
        <v>0</v>
      </c>
      <c r="AM107" s="61">
        <v>0</v>
      </c>
      <c r="AN107" s="66">
        <v>0</v>
      </c>
      <c r="AO107" s="27"/>
      <c r="AP107" s="27"/>
    </row>
    <row r="108" spans="1:42">
      <c r="A108" s="54"/>
      <c r="B108" s="33"/>
      <c r="C108" s="55" t="s">
        <v>203</v>
      </c>
      <c r="D108" s="56" t="s">
        <v>89</v>
      </c>
      <c r="E108" s="57">
        <v>0</v>
      </c>
      <c r="F108" s="57">
        <v>0</v>
      </c>
      <c r="G108" s="57">
        <v>0</v>
      </c>
      <c r="H108" s="58">
        <v>0</v>
      </c>
      <c r="I108" s="59">
        <v>0</v>
      </c>
      <c r="J108" s="57">
        <v>0</v>
      </c>
      <c r="K108" s="57">
        <v>0</v>
      </c>
      <c r="L108" s="58">
        <v>0</v>
      </c>
      <c r="M108" s="59">
        <v>0</v>
      </c>
      <c r="N108" s="57">
        <v>0</v>
      </c>
      <c r="O108" s="57">
        <v>0</v>
      </c>
      <c r="P108" s="58">
        <v>0</v>
      </c>
      <c r="Q108" s="59">
        <v>0</v>
      </c>
      <c r="R108" s="57">
        <v>0</v>
      </c>
      <c r="S108" s="57">
        <v>0</v>
      </c>
      <c r="T108" s="58">
        <v>0</v>
      </c>
      <c r="U108" s="59">
        <v>0</v>
      </c>
      <c r="V108" s="57">
        <v>0</v>
      </c>
      <c r="W108" s="57">
        <v>0</v>
      </c>
      <c r="X108" s="58">
        <v>0</v>
      </c>
      <c r="Y108" s="59">
        <v>0</v>
      </c>
      <c r="Z108" s="57">
        <v>0</v>
      </c>
      <c r="AA108" s="57">
        <v>0</v>
      </c>
      <c r="AB108" s="58">
        <v>0</v>
      </c>
      <c r="AC108" s="59">
        <v>0</v>
      </c>
      <c r="AD108" s="57">
        <v>0</v>
      </c>
      <c r="AE108" s="57">
        <v>0</v>
      </c>
      <c r="AF108" s="58">
        <v>0</v>
      </c>
      <c r="AG108" s="59">
        <v>0</v>
      </c>
      <c r="AH108" s="57">
        <v>0</v>
      </c>
      <c r="AI108" s="57">
        <v>0</v>
      </c>
      <c r="AJ108" s="58">
        <v>0</v>
      </c>
      <c r="AK108" s="60">
        <v>0</v>
      </c>
      <c r="AL108" s="62">
        <v>0</v>
      </c>
      <c r="AM108" s="62">
        <v>0</v>
      </c>
      <c r="AN108" s="62">
        <v>0</v>
      </c>
      <c r="AO108" s="27"/>
      <c r="AP108" s="27"/>
    </row>
    <row r="109" spans="1:42">
      <c r="A109" s="74"/>
      <c r="B109" s="43"/>
      <c r="C109" s="63"/>
      <c r="D109" s="62" t="s">
        <v>91</v>
      </c>
      <c r="E109" s="62">
        <v>0</v>
      </c>
      <c r="F109" s="62">
        <v>0</v>
      </c>
      <c r="G109" s="62">
        <v>0</v>
      </c>
      <c r="H109" s="63">
        <v>0</v>
      </c>
      <c r="I109" s="60">
        <v>0</v>
      </c>
      <c r="J109" s="62">
        <v>0</v>
      </c>
      <c r="K109" s="62">
        <v>0</v>
      </c>
      <c r="L109" s="63">
        <v>0</v>
      </c>
      <c r="M109" s="60">
        <v>0</v>
      </c>
      <c r="N109" s="62">
        <v>0</v>
      </c>
      <c r="O109" s="62">
        <v>0</v>
      </c>
      <c r="P109" s="63">
        <v>0</v>
      </c>
      <c r="Q109" s="60">
        <v>0</v>
      </c>
      <c r="R109" s="62">
        <v>0</v>
      </c>
      <c r="S109" s="62">
        <v>0</v>
      </c>
      <c r="T109" s="63">
        <v>0</v>
      </c>
      <c r="U109" s="60">
        <v>0</v>
      </c>
      <c r="V109" s="62">
        <v>0</v>
      </c>
      <c r="W109" s="62">
        <v>0</v>
      </c>
      <c r="X109" s="63">
        <v>0</v>
      </c>
      <c r="Y109" s="60">
        <v>0</v>
      </c>
      <c r="Z109" s="62">
        <v>0</v>
      </c>
      <c r="AA109" s="62">
        <v>0</v>
      </c>
      <c r="AB109" s="63">
        <v>0</v>
      </c>
      <c r="AC109" s="60">
        <v>0</v>
      </c>
      <c r="AD109" s="62">
        <v>0</v>
      </c>
      <c r="AE109" s="62">
        <v>0</v>
      </c>
      <c r="AF109" s="63">
        <v>0</v>
      </c>
      <c r="AG109" s="60">
        <v>0</v>
      </c>
      <c r="AH109" s="62">
        <v>0</v>
      </c>
      <c r="AI109" s="62">
        <v>0</v>
      </c>
      <c r="AJ109" s="63">
        <v>0</v>
      </c>
      <c r="AK109" s="60">
        <v>0</v>
      </c>
      <c r="AL109" s="62">
        <v>0</v>
      </c>
      <c r="AM109" s="62">
        <v>0</v>
      </c>
      <c r="AN109" s="62">
        <v>0</v>
      </c>
      <c r="AO109" s="27"/>
      <c r="AP109" s="27"/>
    </row>
    <row r="110" spans="1:42">
      <c r="A110" s="54" t="s">
        <v>204</v>
      </c>
      <c r="B110" s="515" t="s">
        <v>205</v>
      </c>
      <c r="C110" s="510"/>
      <c r="D110" s="516"/>
      <c r="E110" s="48"/>
      <c r="F110" s="48"/>
      <c r="G110" s="48"/>
      <c r="H110" s="33"/>
      <c r="I110" s="64"/>
      <c r="J110" s="48"/>
      <c r="K110" s="48"/>
      <c r="L110" s="33"/>
      <c r="M110" s="64"/>
      <c r="N110" s="48"/>
      <c r="O110" s="48"/>
      <c r="P110" s="33"/>
      <c r="Q110" s="64"/>
      <c r="R110" s="48"/>
      <c r="S110" s="48"/>
      <c r="T110" s="33"/>
      <c r="U110" s="64"/>
      <c r="V110" s="48"/>
      <c r="W110" s="48"/>
      <c r="X110" s="33"/>
      <c r="Y110" s="64"/>
      <c r="Z110" s="48"/>
      <c r="AA110" s="48"/>
      <c r="AB110" s="33"/>
      <c r="AC110" s="64"/>
      <c r="AD110" s="48"/>
      <c r="AE110" s="48"/>
      <c r="AF110" s="33"/>
      <c r="AG110" s="64"/>
      <c r="AH110" s="48"/>
      <c r="AI110" s="48"/>
      <c r="AJ110" s="33"/>
      <c r="AK110" s="76"/>
      <c r="AL110" s="75"/>
      <c r="AM110" s="75"/>
      <c r="AN110" s="77"/>
      <c r="AO110" s="27"/>
      <c r="AP110" s="27"/>
    </row>
    <row r="111" spans="1:42">
      <c r="A111" s="54"/>
      <c r="B111" s="33"/>
      <c r="C111" s="55" t="s">
        <v>206</v>
      </c>
      <c r="D111" s="56" t="s">
        <v>88</v>
      </c>
      <c r="E111" s="57">
        <v>0</v>
      </c>
      <c r="F111" s="57">
        <v>0</v>
      </c>
      <c r="G111" s="57">
        <v>0</v>
      </c>
      <c r="H111" s="65">
        <v>0</v>
      </c>
      <c r="I111" s="57">
        <v>0</v>
      </c>
      <c r="J111" s="57">
        <v>0</v>
      </c>
      <c r="K111" s="57">
        <v>0</v>
      </c>
      <c r="L111" s="65">
        <v>0</v>
      </c>
      <c r="M111" s="57">
        <v>0</v>
      </c>
      <c r="N111" s="57">
        <v>0</v>
      </c>
      <c r="O111" s="57">
        <v>0</v>
      </c>
      <c r="P111" s="65">
        <v>0</v>
      </c>
      <c r="Q111" s="57">
        <v>0</v>
      </c>
      <c r="R111" s="57">
        <v>0</v>
      </c>
      <c r="S111" s="57">
        <v>0</v>
      </c>
      <c r="T111" s="65">
        <v>0</v>
      </c>
      <c r="U111" s="57">
        <v>0</v>
      </c>
      <c r="V111" s="57">
        <v>0</v>
      </c>
      <c r="W111" s="57">
        <v>0</v>
      </c>
      <c r="X111" s="65">
        <v>0</v>
      </c>
      <c r="Y111" s="57">
        <v>0</v>
      </c>
      <c r="Z111" s="57">
        <v>0</v>
      </c>
      <c r="AA111" s="57">
        <v>0</v>
      </c>
      <c r="AB111" s="65">
        <v>0</v>
      </c>
      <c r="AC111" s="57">
        <v>0</v>
      </c>
      <c r="AD111" s="57">
        <v>0</v>
      </c>
      <c r="AE111" s="57">
        <v>0</v>
      </c>
      <c r="AF111" s="65">
        <v>0</v>
      </c>
      <c r="AG111" s="57">
        <v>0</v>
      </c>
      <c r="AH111" s="57">
        <v>0</v>
      </c>
      <c r="AI111" s="57">
        <v>0</v>
      </c>
      <c r="AJ111" s="65">
        <v>0</v>
      </c>
      <c r="AK111" s="61">
        <v>0</v>
      </c>
      <c r="AL111" s="61">
        <v>0</v>
      </c>
      <c r="AM111" s="61">
        <v>0</v>
      </c>
      <c r="AN111" s="66">
        <v>0</v>
      </c>
      <c r="AO111" s="27"/>
      <c r="AP111" s="27"/>
    </row>
    <row r="112" spans="1:42">
      <c r="A112" s="54"/>
      <c r="B112" s="33"/>
      <c r="C112" s="55" t="s">
        <v>207</v>
      </c>
      <c r="D112" s="56" t="s">
        <v>89</v>
      </c>
      <c r="E112" s="57">
        <v>0</v>
      </c>
      <c r="F112" s="57">
        <v>0</v>
      </c>
      <c r="G112" s="57">
        <v>0</v>
      </c>
      <c r="H112" s="58">
        <v>0</v>
      </c>
      <c r="I112" s="59">
        <v>0</v>
      </c>
      <c r="J112" s="57">
        <v>0</v>
      </c>
      <c r="K112" s="57">
        <v>0</v>
      </c>
      <c r="L112" s="58">
        <v>0</v>
      </c>
      <c r="M112" s="59">
        <v>0</v>
      </c>
      <c r="N112" s="57">
        <v>0</v>
      </c>
      <c r="O112" s="57">
        <v>0</v>
      </c>
      <c r="P112" s="58">
        <v>0</v>
      </c>
      <c r="Q112" s="59">
        <v>0</v>
      </c>
      <c r="R112" s="57">
        <v>0</v>
      </c>
      <c r="S112" s="57">
        <v>0</v>
      </c>
      <c r="T112" s="58">
        <v>0</v>
      </c>
      <c r="U112" s="59">
        <v>0</v>
      </c>
      <c r="V112" s="57">
        <v>0</v>
      </c>
      <c r="W112" s="57">
        <v>0</v>
      </c>
      <c r="X112" s="58">
        <v>0</v>
      </c>
      <c r="Y112" s="59">
        <v>25.64</v>
      </c>
      <c r="Z112" s="57">
        <v>26.14</v>
      </c>
      <c r="AA112" s="57">
        <v>26.14</v>
      </c>
      <c r="AB112" s="58">
        <v>26.14</v>
      </c>
      <c r="AC112" s="59">
        <v>0</v>
      </c>
      <c r="AD112" s="57">
        <v>0</v>
      </c>
      <c r="AE112" s="57">
        <v>0</v>
      </c>
      <c r="AF112" s="58">
        <v>0</v>
      </c>
      <c r="AG112" s="59">
        <v>0</v>
      </c>
      <c r="AH112" s="57">
        <v>0</v>
      </c>
      <c r="AI112" s="57">
        <v>0</v>
      </c>
      <c r="AJ112" s="58">
        <v>0</v>
      </c>
      <c r="AK112" s="60">
        <v>25.64</v>
      </c>
      <c r="AL112" s="62">
        <v>26.14</v>
      </c>
      <c r="AM112" s="62">
        <v>26.14</v>
      </c>
      <c r="AN112" s="62">
        <v>26.14</v>
      </c>
      <c r="AO112" s="27"/>
      <c r="AP112" s="27"/>
    </row>
    <row r="113" spans="1:42">
      <c r="A113" s="54"/>
      <c r="B113" s="33"/>
      <c r="C113" s="55"/>
      <c r="D113" s="56" t="s">
        <v>91</v>
      </c>
      <c r="E113" s="62">
        <v>0</v>
      </c>
      <c r="F113" s="62">
        <v>0</v>
      </c>
      <c r="G113" s="62">
        <v>0</v>
      </c>
      <c r="H113" s="63">
        <v>0</v>
      </c>
      <c r="I113" s="60">
        <v>0</v>
      </c>
      <c r="J113" s="62">
        <v>0</v>
      </c>
      <c r="K113" s="62">
        <v>0</v>
      </c>
      <c r="L113" s="63">
        <v>0</v>
      </c>
      <c r="M113" s="60">
        <v>0</v>
      </c>
      <c r="N113" s="62">
        <v>0</v>
      </c>
      <c r="O113" s="62">
        <v>0</v>
      </c>
      <c r="P113" s="63">
        <v>0</v>
      </c>
      <c r="Q113" s="60">
        <v>0</v>
      </c>
      <c r="R113" s="62">
        <v>0</v>
      </c>
      <c r="S113" s="62">
        <v>0</v>
      </c>
      <c r="T113" s="63">
        <v>0</v>
      </c>
      <c r="U113" s="60">
        <v>0</v>
      </c>
      <c r="V113" s="62">
        <v>0</v>
      </c>
      <c r="W113" s="62">
        <v>0</v>
      </c>
      <c r="X113" s="63">
        <v>0</v>
      </c>
      <c r="Y113" s="60">
        <v>25.64</v>
      </c>
      <c r="Z113" s="62">
        <v>26.14</v>
      </c>
      <c r="AA113" s="62">
        <v>26.14</v>
      </c>
      <c r="AB113" s="63">
        <v>26.14</v>
      </c>
      <c r="AC113" s="60">
        <v>0</v>
      </c>
      <c r="AD113" s="62">
        <v>0</v>
      </c>
      <c r="AE113" s="62">
        <v>0</v>
      </c>
      <c r="AF113" s="63">
        <v>0</v>
      </c>
      <c r="AG113" s="60">
        <v>0</v>
      </c>
      <c r="AH113" s="62">
        <v>0</v>
      </c>
      <c r="AI113" s="62">
        <v>0</v>
      </c>
      <c r="AJ113" s="63">
        <v>0</v>
      </c>
      <c r="AK113" s="60">
        <v>25.64</v>
      </c>
      <c r="AL113" s="62">
        <v>26.14</v>
      </c>
      <c r="AM113" s="62">
        <v>26.14</v>
      </c>
      <c r="AN113" s="62">
        <v>26.14</v>
      </c>
      <c r="AO113" s="27"/>
      <c r="AP113" s="27"/>
    </row>
    <row r="114" spans="1:42">
      <c r="A114" s="54" t="s">
        <v>208</v>
      </c>
      <c r="B114" s="515" t="s">
        <v>209</v>
      </c>
      <c r="C114" s="510"/>
      <c r="D114" s="516"/>
      <c r="E114" s="48"/>
      <c r="F114" s="48"/>
      <c r="G114" s="48"/>
      <c r="H114" s="33"/>
      <c r="I114" s="64"/>
      <c r="J114" s="48"/>
      <c r="K114" s="48"/>
      <c r="L114" s="33"/>
      <c r="M114" s="64"/>
      <c r="N114" s="48"/>
      <c r="O114" s="48"/>
      <c r="P114" s="33"/>
      <c r="Q114" s="64"/>
      <c r="R114" s="48"/>
      <c r="S114" s="48"/>
      <c r="T114" s="33"/>
      <c r="U114" s="64"/>
      <c r="V114" s="48"/>
      <c r="W114" s="48"/>
      <c r="X114" s="33"/>
      <c r="Y114" s="64"/>
      <c r="Z114" s="48"/>
      <c r="AA114" s="48"/>
      <c r="AB114" s="33"/>
      <c r="AC114" s="64"/>
      <c r="AD114" s="48"/>
      <c r="AE114" s="48"/>
      <c r="AF114" s="33"/>
      <c r="AG114" s="64"/>
      <c r="AH114" s="48"/>
      <c r="AI114" s="48"/>
      <c r="AJ114" s="33"/>
      <c r="AK114" s="49"/>
      <c r="AL114" s="27"/>
      <c r="AM114" s="27"/>
      <c r="AN114" s="38"/>
      <c r="AO114" s="27"/>
      <c r="AP114" s="27"/>
    </row>
    <row r="115" spans="1:42">
      <c r="A115" s="54"/>
      <c r="B115" s="33"/>
      <c r="C115" s="55" t="s">
        <v>210</v>
      </c>
      <c r="D115" s="56" t="s">
        <v>88</v>
      </c>
      <c r="E115" s="57">
        <v>0</v>
      </c>
      <c r="F115" s="57">
        <v>0</v>
      </c>
      <c r="G115" s="57">
        <v>0</v>
      </c>
      <c r="H115" s="65">
        <v>0</v>
      </c>
      <c r="I115" s="57">
        <v>0</v>
      </c>
      <c r="J115" s="57">
        <v>0</v>
      </c>
      <c r="K115" s="57">
        <v>0</v>
      </c>
      <c r="L115" s="65">
        <v>0</v>
      </c>
      <c r="M115" s="57">
        <v>0</v>
      </c>
      <c r="N115" s="57">
        <v>0</v>
      </c>
      <c r="O115" s="57">
        <v>0</v>
      </c>
      <c r="P115" s="65">
        <v>0</v>
      </c>
      <c r="Q115" s="57">
        <v>0</v>
      </c>
      <c r="R115" s="57">
        <v>0</v>
      </c>
      <c r="S115" s="57">
        <v>0</v>
      </c>
      <c r="T115" s="65">
        <v>0</v>
      </c>
      <c r="U115" s="57">
        <v>0</v>
      </c>
      <c r="V115" s="57">
        <v>0</v>
      </c>
      <c r="W115" s="57">
        <v>0</v>
      </c>
      <c r="X115" s="65">
        <v>0</v>
      </c>
      <c r="Y115" s="57">
        <v>0</v>
      </c>
      <c r="Z115" s="57">
        <v>0</v>
      </c>
      <c r="AA115" s="57">
        <v>0</v>
      </c>
      <c r="AB115" s="65">
        <v>0</v>
      </c>
      <c r="AC115" s="57">
        <v>0</v>
      </c>
      <c r="AD115" s="57">
        <v>0</v>
      </c>
      <c r="AE115" s="57">
        <v>0</v>
      </c>
      <c r="AF115" s="65">
        <v>0</v>
      </c>
      <c r="AG115" s="57">
        <v>0</v>
      </c>
      <c r="AH115" s="57">
        <v>0</v>
      </c>
      <c r="AI115" s="57">
        <v>0</v>
      </c>
      <c r="AJ115" s="65">
        <v>0</v>
      </c>
      <c r="AK115" s="61">
        <v>0</v>
      </c>
      <c r="AL115" s="61">
        <v>0</v>
      </c>
      <c r="AM115" s="61">
        <v>0</v>
      </c>
      <c r="AN115" s="66">
        <v>0</v>
      </c>
      <c r="AO115" s="27"/>
      <c r="AP115" s="27"/>
    </row>
    <row r="116" spans="1:42">
      <c r="A116" s="54"/>
      <c r="B116" s="33"/>
      <c r="C116" s="55" t="s">
        <v>211</v>
      </c>
      <c r="D116" s="56" t="s">
        <v>89</v>
      </c>
      <c r="E116" s="57">
        <v>0</v>
      </c>
      <c r="F116" s="57">
        <v>0</v>
      </c>
      <c r="G116" s="57">
        <v>0</v>
      </c>
      <c r="H116" s="58">
        <v>0</v>
      </c>
      <c r="I116" s="59">
        <v>0</v>
      </c>
      <c r="J116" s="57">
        <v>0</v>
      </c>
      <c r="K116" s="57">
        <v>0</v>
      </c>
      <c r="L116" s="58">
        <v>0</v>
      </c>
      <c r="M116" s="59">
        <v>0</v>
      </c>
      <c r="N116" s="57">
        <v>0</v>
      </c>
      <c r="O116" s="57">
        <v>0</v>
      </c>
      <c r="P116" s="58">
        <v>0</v>
      </c>
      <c r="Q116" s="59">
        <v>0</v>
      </c>
      <c r="R116" s="57">
        <v>0</v>
      </c>
      <c r="S116" s="57">
        <v>0</v>
      </c>
      <c r="T116" s="58">
        <v>0</v>
      </c>
      <c r="U116" s="59">
        <v>0</v>
      </c>
      <c r="V116" s="57">
        <v>0</v>
      </c>
      <c r="W116" s="57">
        <v>0</v>
      </c>
      <c r="X116" s="58">
        <v>0</v>
      </c>
      <c r="Y116" s="59">
        <v>0</v>
      </c>
      <c r="Z116" s="57">
        <v>0</v>
      </c>
      <c r="AA116" s="57">
        <v>0</v>
      </c>
      <c r="AB116" s="58">
        <v>0</v>
      </c>
      <c r="AC116" s="59">
        <v>0</v>
      </c>
      <c r="AD116" s="57">
        <v>0</v>
      </c>
      <c r="AE116" s="57">
        <v>0</v>
      </c>
      <c r="AF116" s="58">
        <v>0</v>
      </c>
      <c r="AG116" s="59">
        <v>0</v>
      </c>
      <c r="AH116" s="57">
        <v>0</v>
      </c>
      <c r="AI116" s="57">
        <v>0</v>
      </c>
      <c r="AJ116" s="58">
        <v>0</v>
      </c>
      <c r="AK116" s="60">
        <v>0</v>
      </c>
      <c r="AL116" s="62">
        <v>0</v>
      </c>
      <c r="AM116" s="62">
        <v>0</v>
      </c>
      <c r="AN116" s="62">
        <v>0</v>
      </c>
      <c r="AO116" s="27"/>
      <c r="AP116" s="27"/>
    </row>
    <row r="117" spans="1:42">
      <c r="A117" s="54"/>
      <c r="B117" s="33"/>
      <c r="C117" s="55"/>
      <c r="D117" s="56" t="s">
        <v>91</v>
      </c>
      <c r="E117" s="62">
        <v>0</v>
      </c>
      <c r="F117" s="62">
        <v>0</v>
      </c>
      <c r="G117" s="62">
        <v>0</v>
      </c>
      <c r="H117" s="63">
        <v>0</v>
      </c>
      <c r="I117" s="60">
        <v>0</v>
      </c>
      <c r="J117" s="62">
        <v>0</v>
      </c>
      <c r="K117" s="62">
        <v>0</v>
      </c>
      <c r="L117" s="63">
        <v>0</v>
      </c>
      <c r="M117" s="60">
        <v>0</v>
      </c>
      <c r="N117" s="62">
        <v>0</v>
      </c>
      <c r="O117" s="62">
        <v>0</v>
      </c>
      <c r="P117" s="63">
        <v>0</v>
      </c>
      <c r="Q117" s="60">
        <v>0</v>
      </c>
      <c r="R117" s="62">
        <v>0</v>
      </c>
      <c r="S117" s="62">
        <v>0</v>
      </c>
      <c r="T117" s="63">
        <v>0</v>
      </c>
      <c r="U117" s="60">
        <v>0</v>
      </c>
      <c r="V117" s="62">
        <v>0</v>
      </c>
      <c r="W117" s="62">
        <v>0</v>
      </c>
      <c r="X117" s="63">
        <v>0</v>
      </c>
      <c r="Y117" s="60">
        <v>0</v>
      </c>
      <c r="Z117" s="62">
        <v>0</v>
      </c>
      <c r="AA117" s="62">
        <v>0</v>
      </c>
      <c r="AB117" s="63">
        <v>0</v>
      </c>
      <c r="AC117" s="60">
        <v>0</v>
      </c>
      <c r="AD117" s="62">
        <v>0</v>
      </c>
      <c r="AE117" s="62">
        <v>0</v>
      </c>
      <c r="AF117" s="63">
        <v>0</v>
      </c>
      <c r="AG117" s="60">
        <v>0</v>
      </c>
      <c r="AH117" s="62">
        <v>0</v>
      </c>
      <c r="AI117" s="62">
        <v>0</v>
      </c>
      <c r="AJ117" s="63">
        <v>0</v>
      </c>
      <c r="AK117" s="60">
        <v>0</v>
      </c>
      <c r="AL117" s="62">
        <v>0</v>
      </c>
      <c r="AM117" s="62">
        <v>0</v>
      </c>
      <c r="AN117" s="62">
        <v>0</v>
      </c>
      <c r="AO117" s="27"/>
      <c r="AP117" s="27"/>
    </row>
    <row r="118" spans="1:42">
      <c r="A118" s="517" t="s">
        <v>212</v>
      </c>
      <c r="B118" s="510"/>
      <c r="C118" s="510"/>
      <c r="D118" s="48"/>
      <c r="E118" s="48"/>
      <c r="F118" s="48"/>
      <c r="G118" s="48"/>
      <c r="H118" s="33"/>
      <c r="I118" s="64"/>
      <c r="J118" s="48"/>
      <c r="K118" s="48"/>
      <c r="L118" s="33"/>
      <c r="M118" s="64"/>
      <c r="N118" s="48"/>
      <c r="O118" s="48"/>
      <c r="P118" s="33"/>
      <c r="Q118" s="64"/>
      <c r="R118" s="48"/>
      <c r="S118" s="48"/>
      <c r="T118" s="33"/>
      <c r="U118" s="64"/>
      <c r="V118" s="48"/>
      <c r="W118" s="48"/>
      <c r="X118" s="33"/>
      <c r="Y118" s="64"/>
      <c r="Z118" s="48"/>
      <c r="AA118" s="48"/>
      <c r="AB118" s="33"/>
      <c r="AC118" s="64"/>
      <c r="AD118" s="48"/>
      <c r="AE118" s="48"/>
      <c r="AF118" s="33"/>
      <c r="AG118" s="64"/>
      <c r="AH118" s="48"/>
      <c r="AI118" s="48"/>
      <c r="AJ118" s="33"/>
      <c r="AK118" s="49"/>
      <c r="AL118" s="27"/>
      <c r="AM118" s="27"/>
      <c r="AN118" s="38"/>
      <c r="AO118" s="27"/>
      <c r="AP118" s="27"/>
    </row>
    <row r="119" spans="1:42">
      <c r="A119" s="54"/>
      <c r="B119" s="33"/>
      <c r="C119" s="55"/>
      <c r="D119" s="67" t="s">
        <v>88</v>
      </c>
      <c r="E119" s="69">
        <v>0</v>
      </c>
      <c r="F119" s="69">
        <v>0</v>
      </c>
      <c r="G119" s="69">
        <v>0</v>
      </c>
      <c r="H119" s="70">
        <v>0</v>
      </c>
      <c r="I119" s="69">
        <v>0</v>
      </c>
      <c r="J119" s="69">
        <v>0</v>
      </c>
      <c r="K119" s="69">
        <v>0</v>
      </c>
      <c r="L119" s="70">
        <v>0</v>
      </c>
      <c r="M119" s="69">
        <v>0</v>
      </c>
      <c r="N119" s="69">
        <v>0</v>
      </c>
      <c r="O119" s="69">
        <v>0</v>
      </c>
      <c r="P119" s="70">
        <v>0</v>
      </c>
      <c r="Q119" s="69">
        <v>0</v>
      </c>
      <c r="R119" s="69">
        <v>0</v>
      </c>
      <c r="S119" s="69">
        <v>0</v>
      </c>
      <c r="T119" s="70">
        <v>0</v>
      </c>
      <c r="U119" s="69">
        <v>0</v>
      </c>
      <c r="V119" s="69">
        <v>0</v>
      </c>
      <c r="W119" s="69">
        <v>0</v>
      </c>
      <c r="X119" s="70">
        <v>0</v>
      </c>
      <c r="Y119" s="69">
        <v>0</v>
      </c>
      <c r="Z119" s="69">
        <v>0</v>
      </c>
      <c r="AA119" s="69">
        <v>0</v>
      </c>
      <c r="AB119" s="70">
        <v>0</v>
      </c>
      <c r="AC119" s="69">
        <v>0</v>
      </c>
      <c r="AD119" s="69">
        <v>0</v>
      </c>
      <c r="AE119" s="69">
        <v>0</v>
      </c>
      <c r="AF119" s="70">
        <v>0</v>
      </c>
      <c r="AG119" s="69">
        <v>0</v>
      </c>
      <c r="AH119" s="69">
        <v>0</v>
      </c>
      <c r="AI119" s="69">
        <v>0</v>
      </c>
      <c r="AJ119" s="70">
        <v>0</v>
      </c>
      <c r="AK119" s="69">
        <v>0</v>
      </c>
      <c r="AL119" s="69">
        <v>0</v>
      </c>
      <c r="AM119" s="69">
        <v>0</v>
      </c>
      <c r="AN119" s="68">
        <v>0</v>
      </c>
      <c r="AO119" s="27"/>
      <c r="AP119" s="27"/>
    </row>
    <row r="120" spans="1:42">
      <c r="A120" s="54"/>
      <c r="B120" s="33"/>
      <c r="C120" s="55"/>
      <c r="D120" s="67" t="s">
        <v>89</v>
      </c>
      <c r="E120" s="72">
        <v>104.51</v>
      </c>
      <c r="F120" s="72">
        <v>104.01</v>
      </c>
      <c r="G120" s="72">
        <v>104.01</v>
      </c>
      <c r="H120" s="73">
        <v>104.01</v>
      </c>
      <c r="I120" s="71">
        <v>0</v>
      </c>
      <c r="J120" s="72">
        <v>0</v>
      </c>
      <c r="K120" s="72">
        <v>0</v>
      </c>
      <c r="L120" s="73">
        <v>0</v>
      </c>
      <c r="M120" s="71">
        <v>0</v>
      </c>
      <c r="N120" s="72">
        <v>0</v>
      </c>
      <c r="O120" s="72">
        <v>0</v>
      </c>
      <c r="P120" s="73">
        <v>0</v>
      </c>
      <c r="Q120" s="71">
        <v>0</v>
      </c>
      <c r="R120" s="72">
        <v>0</v>
      </c>
      <c r="S120" s="72">
        <v>0</v>
      </c>
      <c r="T120" s="73">
        <v>0</v>
      </c>
      <c r="U120" s="71">
        <v>6.33</v>
      </c>
      <c r="V120" s="72">
        <v>6.33</v>
      </c>
      <c r="W120" s="72">
        <v>6.33</v>
      </c>
      <c r="X120" s="73">
        <v>6.33</v>
      </c>
      <c r="Y120" s="71">
        <v>25.64</v>
      </c>
      <c r="Z120" s="72">
        <v>26.14</v>
      </c>
      <c r="AA120" s="72">
        <v>26.14</v>
      </c>
      <c r="AB120" s="73">
        <v>26.14</v>
      </c>
      <c r="AC120" s="71">
        <v>0</v>
      </c>
      <c r="AD120" s="72">
        <v>0</v>
      </c>
      <c r="AE120" s="72">
        <v>0</v>
      </c>
      <c r="AF120" s="73">
        <v>0</v>
      </c>
      <c r="AG120" s="71">
        <v>0</v>
      </c>
      <c r="AH120" s="72">
        <v>0</v>
      </c>
      <c r="AI120" s="72">
        <v>0</v>
      </c>
      <c r="AJ120" s="73">
        <v>0</v>
      </c>
      <c r="AK120" s="71">
        <v>136.47999999999999</v>
      </c>
      <c r="AL120" s="72">
        <v>136.47999999999999</v>
      </c>
      <c r="AM120" s="72">
        <v>136.47999999999999</v>
      </c>
      <c r="AN120" s="72">
        <v>136.47999999999999</v>
      </c>
      <c r="AO120" s="27"/>
      <c r="AP120" s="27"/>
    </row>
    <row r="121" spans="1:42">
      <c r="A121" s="81"/>
      <c r="B121" s="82"/>
      <c r="C121" s="83"/>
      <c r="D121" s="84" t="s">
        <v>91</v>
      </c>
      <c r="E121" s="84">
        <v>104.51</v>
      </c>
      <c r="F121" s="84">
        <v>104.01</v>
      </c>
      <c r="G121" s="84">
        <v>104.01</v>
      </c>
      <c r="H121" s="85">
        <v>104.01</v>
      </c>
      <c r="I121" s="86">
        <v>0</v>
      </c>
      <c r="J121" s="84">
        <v>0</v>
      </c>
      <c r="K121" s="84">
        <v>0</v>
      </c>
      <c r="L121" s="85">
        <v>0</v>
      </c>
      <c r="M121" s="86">
        <v>0</v>
      </c>
      <c r="N121" s="84">
        <v>0</v>
      </c>
      <c r="O121" s="84">
        <v>0</v>
      </c>
      <c r="P121" s="85">
        <v>0</v>
      </c>
      <c r="Q121" s="86">
        <v>0</v>
      </c>
      <c r="R121" s="84">
        <v>0</v>
      </c>
      <c r="S121" s="84">
        <v>0</v>
      </c>
      <c r="T121" s="85">
        <v>0</v>
      </c>
      <c r="U121" s="86">
        <v>6.33</v>
      </c>
      <c r="V121" s="84">
        <v>6.33</v>
      </c>
      <c r="W121" s="84">
        <v>6.33</v>
      </c>
      <c r="X121" s="85">
        <v>6.33</v>
      </c>
      <c r="Y121" s="86">
        <v>25.64</v>
      </c>
      <c r="Z121" s="84">
        <v>26.14</v>
      </c>
      <c r="AA121" s="84">
        <v>26.14</v>
      </c>
      <c r="AB121" s="85">
        <v>26.14</v>
      </c>
      <c r="AC121" s="86">
        <v>0</v>
      </c>
      <c r="AD121" s="84">
        <v>0</v>
      </c>
      <c r="AE121" s="84">
        <v>0</v>
      </c>
      <c r="AF121" s="85">
        <v>0</v>
      </c>
      <c r="AG121" s="86">
        <v>0</v>
      </c>
      <c r="AH121" s="84">
        <v>0</v>
      </c>
      <c r="AI121" s="84">
        <v>0</v>
      </c>
      <c r="AJ121" s="85">
        <v>0</v>
      </c>
      <c r="AK121" s="86">
        <v>136.47999999999999</v>
      </c>
      <c r="AL121" s="84">
        <v>136.47999999999999</v>
      </c>
      <c r="AM121" s="84">
        <v>136.47999999999999</v>
      </c>
      <c r="AN121" s="84">
        <v>136.47999999999999</v>
      </c>
      <c r="AO121" s="27"/>
      <c r="AP121" s="27"/>
    </row>
    <row r="122" spans="1:42">
      <c r="A122" s="517" t="s">
        <v>213</v>
      </c>
      <c r="B122" s="510"/>
      <c r="C122" s="55"/>
      <c r="D122" s="48"/>
      <c r="E122" s="48"/>
      <c r="F122" s="48"/>
      <c r="G122" s="48"/>
      <c r="H122" s="33"/>
      <c r="I122" s="64"/>
      <c r="J122" s="48"/>
      <c r="K122" s="48"/>
      <c r="L122" s="33"/>
      <c r="M122" s="64"/>
      <c r="N122" s="48"/>
      <c r="O122" s="48"/>
      <c r="P122" s="33"/>
      <c r="Q122" s="64"/>
      <c r="R122" s="48"/>
      <c r="S122" s="48"/>
      <c r="T122" s="33"/>
      <c r="U122" s="64"/>
      <c r="V122" s="48"/>
      <c r="W122" s="48"/>
      <c r="X122" s="33"/>
      <c r="Y122" s="64"/>
      <c r="Z122" s="48"/>
      <c r="AA122" s="48"/>
      <c r="AB122" s="33"/>
      <c r="AC122" s="64"/>
      <c r="AD122" s="48"/>
      <c r="AE122" s="48"/>
      <c r="AF122" s="33"/>
      <c r="AG122" s="64"/>
      <c r="AH122" s="48"/>
      <c r="AI122" s="48"/>
      <c r="AJ122" s="33"/>
      <c r="AK122" s="76"/>
      <c r="AL122" s="75"/>
      <c r="AM122" s="75"/>
      <c r="AN122" s="77"/>
      <c r="AO122" s="27"/>
      <c r="AP122" s="27"/>
    </row>
    <row r="123" spans="1:42">
      <c r="A123" s="54"/>
      <c r="B123" s="33"/>
      <c r="C123" s="55"/>
      <c r="D123" s="67" t="s">
        <v>88</v>
      </c>
      <c r="E123" s="72">
        <v>298.10000000000002</v>
      </c>
      <c r="F123" s="72">
        <v>295.39999999999998</v>
      </c>
      <c r="G123" s="72">
        <v>294.39999999999998</v>
      </c>
      <c r="H123" s="73">
        <v>294.39999999999998</v>
      </c>
      <c r="I123" s="71">
        <v>7</v>
      </c>
      <c r="J123" s="72">
        <v>7</v>
      </c>
      <c r="K123" s="72">
        <v>7</v>
      </c>
      <c r="L123" s="73">
        <v>7</v>
      </c>
      <c r="M123" s="71">
        <v>1</v>
      </c>
      <c r="N123" s="72">
        <v>1</v>
      </c>
      <c r="O123" s="72">
        <v>1</v>
      </c>
      <c r="P123" s="73">
        <v>1</v>
      </c>
      <c r="Q123" s="71">
        <v>2</v>
      </c>
      <c r="R123" s="72">
        <v>4.5</v>
      </c>
      <c r="S123" s="72">
        <v>7.5</v>
      </c>
      <c r="T123" s="73">
        <v>7.5</v>
      </c>
      <c r="U123" s="71">
        <v>56.1</v>
      </c>
      <c r="V123" s="72">
        <v>59.4</v>
      </c>
      <c r="W123" s="72">
        <v>59.4</v>
      </c>
      <c r="X123" s="73">
        <v>59.4</v>
      </c>
      <c r="Y123" s="71">
        <v>0</v>
      </c>
      <c r="Z123" s="72">
        <v>0</v>
      </c>
      <c r="AA123" s="72">
        <v>0</v>
      </c>
      <c r="AB123" s="73">
        <v>0</v>
      </c>
      <c r="AC123" s="71">
        <v>0</v>
      </c>
      <c r="AD123" s="72">
        <v>0</v>
      </c>
      <c r="AE123" s="72">
        <v>0</v>
      </c>
      <c r="AF123" s="73">
        <v>0</v>
      </c>
      <c r="AG123" s="71">
        <v>21.72</v>
      </c>
      <c r="AH123" s="72">
        <v>31.22</v>
      </c>
      <c r="AI123" s="72">
        <v>21.72</v>
      </c>
      <c r="AJ123" s="73">
        <v>12.22</v>
      </c>
      <c r="AK123" s="93">
        <v>385.92</v>
      </c>
      <c r="AL123" s="93">
        <v>398.52</v>
      </c>
      <c r="AM123" s="93">
        <v>391.02</v>
      </c>
      <c r="AN123" s="94">
        <v>381.52</v>
      </c>
      <c r="AO123" s="27"/>
      <c r="AP123" s="27"/>
    </row>
    <row r="124" spans="1:42">
      <c r="A124" s="54"/>
      <c r="B124" s="33"/>
      <c r="C124" s="55"/>
      <c r="D124" s="67" t="s">
        <v>89</v>
      </c>
      <c r="E124" s="72">
        <v>201.65</v>
      </c>
      <c r="F124" s="72">
        <v>205.49</v>
      </c>
      <c r="G124" s="72">
        <v>205.49</v>
      </c>
      <c r="H124" s="73">
        <v>205.49</v>
      </c>
      <c r="I124" s="71">
        <v>0</v>
      </c>
      <c r="J124" s="72">
        <v>0</v>
      </c>
      <c r="K124" s="72">
        <v>0</v>
      </c>
      <c r="L124" s="73">
        <v>0</v>
      </c>
      <c r="M124" s="71">
        <v>0</v>
      </c>
      <c r="N124" s="72">
        <v>0</v>
      </c>
      <c r="O124" s="72">
        <v>0</v>
      </c>
      <c r="P124" s="73">
        <v>0</v>
      </c>
      <c r="Q124" s="71">
        <v>0</v>
      </c>
      <c r="R124" s="72">
        <v>0</v>
      </c>
      <c r="S124" s="72">
        <v>0</v>
      </c>
      <c r="T124" s="73">
        <v>0</v>
      </c>
      <c r="U124" s="71">
        <v>68.150000000000006</v>
      </c>
      <c r="V124" s="72">
        <v>73.27</v>
      </c>
      <c r="W124" s="72">
        <v>73.27</v>
      </c>
      <c r="X124" s="73">
        <v>73.27</v>
      </c>
      <c r="Y124" s="71">
        <v>25.64</v>
      </c>
      <c r="Z124" s="72">
        <v>26.14</v>
      </c>
      <c r="AA124" s="72">
        <v>26.14</v>
      </c>
      <c r="AB124" s="73">
        <v>26.14</v>
      </c>
      <c r="AC124" s="71">
        <v>0</v>
      </c>
      <c r="AD124" s="72">
        <v>0</v>
      </c>
      <c r="AE124" s="72">
        <v>0</v>
      </c>
      <c r="AF124" s="73">
        <v>0</v>
      </c>
      <c r="AG124" s="71">
        <v>7.66</v>
      </c>
      <c r="AH124" s="72">
        <v>7.66</v>
      </c>
      <c r="AI124" s="72">
        <v>7.66</v>
      </c>
      <c r="AJ124" s="73">
        <v>7.66</v>
      </c>
      <c r="AK124" s="95">
        <v>303.10000000000002</v>
      </c>
      <c r="AL124" s="96">
        <v>312.56</v>
      </c>
      <c r="AM124" s="96">
        <v>312.56</v>
      </c>
      <c r="AN124" s="96">
        <v>312.56</v>
      </c>
      <c r="AO124" s="27"/>
      <c r="AP124" s="27"/>
    </row>
    <row r="125" spans="1:42">
      <c r="A125" s="74"/>
      <c r="B125" s="43"/>
      <c r="C125" s="63"/>
      <c r="D125" s="72" t="s">
        <v>214</v>
      </c>
      <c r="E125" s="84">
        <v>499.75</v>
      </c>
      <c r="F125" s="84">
        <v>500.89</v>
      </c>
      <c r="G125" s="84">
        <v>499.89</v>
      </c>
      <c r="H125" s="85">
        <v>499.89</v>
      </c>
      <c r="I125" s="86">
        <v>7</v>
      </c>
      <c r="J125" s="84">
        <v>7</v>
      </c>
      <c r="K125" s="84">
        <v>7</v>
      </c>
      <c r="L125" s="84">
        <v>7</v>
      </c>
      <c r="M125" s="84">
        <v>1</v>
      </c>
      <c r="N125" s="84">
        <v>1</v>
      </c>
      <c r="O125" s="84">
        <v>1</v>
      </c>
      <c r="P125" s="85">
        <v>1</v>
      </c>
      <c r="Q125" s="86">
        <v>2</v>
      </c>
      <c r="R125" s="84">
        <v>4.5</v>
      </c>
      <c r="S125" s="84">
        <v>7.5</v>
      </c>
      <c r="T125" s="85">
        <v>7.5</v>
      </c>
      <c r="U125" s="86">
        <v>124.25</v>
      </c>
      <c r="V125" s="84">
        <v>132.66999999999999</v>
      </c>
      <c r="W125" s="84">
        <v>132.66999999999999</v>
      </c>
      <c r="X125" s="85">
        <v>132.66999999999999</v>
      </c>
      <c r="Y125" s="86">
        <v>25.64</v>
      </c>
      <c r="Z125" s="84">
        <v>26.14</v>
      </c>
      <c r="AA125" s="84">
        <v>26.14</v>
      </c>
      <c r="AB125" s="85">
        <v>26.14</v>
      </c>
      <c r="AC125" s="86">
        <v>0</v>
      </c>
      <c r="AD125" s="84">
        <v>0</v>
      </c>
      <c r="AE125" s="84">
        <v>0</v>
      </c>
      <c r="AF125" s="85">
        <v>0</v>
      </c>
      <c r="AG125" s="86">
        <v>29.38</v>
      </c>
      <c r="AH125" s="84">
        <v>38.880000000000003</v>
      </c>
      <c r="AI125" s="84">
        <v>29.38</v>
      </c>
      <c r="AJ125" s="85">
        <v>19.88</v>
      </c>
      <c r="AK125" s="95">
        <v>689.02</v>
      </c>
      <c r="AL125" s="96">
        <v>711.08</v>
      </c>
      <c r="AM125" s="96">
        <v>703.58</v>
      </c>
      <c r="AN125" s="96">
        <v>694.08</v>
      </c>
      <c r="AO125" s="27"/>
      <c r="AP125" s="27"/>
    </row>
    <row r="126" spans="1:42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</row>
    <row r="127" spans="1:42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</row>
    <row r="128" spans="1:42">
      <c r="A128" s="518" t="s">
        <v>215</v>
      </c>
      <c r="B128" s="510"/>
      <c r="C128" s="510"/>
      <c r="D128" s="510"/>
      <c r="E128" s="510"/>
      <c r="F128" s="510"/>
      <c r="G128" s="510"/>
      <c r="H128" s="510"/>
      <c r="I128" s="510"/>
      <c r="J128" s="510"/>
      <c r="K128" s="510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</row>
    <row r="129" spans="1:42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</row>
    <row r="130" spans="1:42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</row>
    <row r="131" spans="1:42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</row>
    <row r="132" spans="1:42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</row>
    <row r="133" spans="1:42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</row>
    <row r="134" spans="1:42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</row>
    <row r="135" spans="1:42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</row>
    <row r="136" spans="1:42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</row>
    <row r="137" spans="1:42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</row>
    <row r="138" spans="1:42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</row>
    <row r="139" spans="1:42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</row>
    <row r="140" spans="1:42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</row>
    <row r="141" spans="1:42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</row>
    <row r="142" spans="1:42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</row>
    <row r="143" spans="1:42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</row>
    <row r="144" spans="1:42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</row>
    <row r="145" spans="1:42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</row>
    <row r="146" spans="1:42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</row>
    <row r="147" spans="1:42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</row>
    <row r="148" spans="1:42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</row>
    <row r="149" spans="1:42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</row>
    <row r="150" spans="1:42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</row>
    <row r="151" spans="1:42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</row>
    <row r="152" spans="1:42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</row>
    <row r="153" spans="1:42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</row>
    <row r="154" spans="1:42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</row>
    <row r="155" spans="1:42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</row>
    <row r="156" spans="1:42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</row>
    <row r="157" spans="1:42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</row>
    <row r="158" spans="1:42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</row>
    <row r="159" spans="1:42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</row>
    <row r="160" spans="1:42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</row>
    <row r="161" spans="1:42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</row>
    <row r="162" spans="1:42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</row>
    <row r="163" spans="1:42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</row>
    <row r="164" spans="1:42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</row>
    <row r="165" spans="1:42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</row>
    <row r="166" spans="1:42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</row>
    <row r="167" spans="1:42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</row>
    <row r="168" spans="1:42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</row>
    <row r="169" spans="1:42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</row>
    <row r="170" spans="1:42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</row>
    <row r="171" spans="1:42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</row>
    <row r="172" spans="1:42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</row>
    <row r="173" spans="1:42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</row>
    <row r="174" spans="1:42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</row>
    <row r="175" spans="1:42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</row>
    <row r="176" spans="1:42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</row>
    <row r="177" spans="1:42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</row>
    <row r="178" spans="1:42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</row>
    <row r="179" spans="1:42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</row>
    <row r="180" spans="1:42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</row>
    <row r="181" spans="1:42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</row>
    <row r="182" spans="1:42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</row>
    <row r="183" spans="1:42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</row>
    <row r="184" spans="1:42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</row>
    <row r="185" spans="1:42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</row>
    <row r="186" spans="1:42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</row>
    <row r="187" spans="1:42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</row>
  </sheetData>
  <mergeCells count="32">
    <mergeCell ref="U4:W4"/>
    <mergeCell ref="Y4:AB4"/>
    <mergeCell ref="AC4:AE4"/>
    <mergeCell ref="AG4:AI4"/>
    <mergeCell ref="AK4:AL4"/>
    <mergeCell ref="A1:F1"/>
    <mergeCell ref="H1:L1"/>
    <mergeCell ref="A4:D4"/>
    <mergeCell ref="E4:F4"/>
    <mergeCell ref="I4:J4"/>
    <mergeCell ref="M4:O4"/>
    <mergeCell ref="Q4:R4"/>
    <mergeCell ref="A9:C9"/>
    <mergeCell ref="A62:D62"/>
    <mergeCell ref="A67:D67"/>
    <mergeCell ref="B68:C68"/>
    <mergeCell ref="B72:D72"/>
    <mergeCell ref="A76:D76"/>
    <mergeCell ref="A80:C80"/>
    <mergeCell ref="B106:D106"/>
    <mergeCell ref="B81:D81"/>
    <mergeCell ref="B85:D85"/>
    <mergeCell ref="B89:C89"/>
    <mergeCell ref="A93:D93"/>
    <mergeCell ref="A97:B97"/>
    <mergeCell ref="B98:D98"/>
    <mergeCell ref="B102:D102"/>
    <mergeCell ref="B110:D110"/>
    <mergeCell ref="B114:D114"/>
    <mergeCell ref="A118:C118"/>
    <mergeCell ref="A122:B122"/>
    <mergeCell ref="A128:K12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2:I8"/>
  <sheetViews>
    <sheetView workbookViewId="0"/>
  </sheetViews>
  <sheetFormatPr defaultColWidth="12.5703125" defaultRowHeight="15.75" customHeight="1"/>
  <cols>
    <col min="1" max="1" width="27.42578125" customWidth="1"/>
    <col min="2" max="2" width="46.5703125" customWidth="1"/>
    <col min="3" max="3" width="14" customWidth="1"/>
    <col min="4" max="4" width="15.42578125" customWidth="1"/>
    <col min="5" max="5" width="14" customWidth="1"/>
    <col min="6" max="6" width="14.5703125" customWidth="1"/>
    <col min="7" max="7" width="15.140625" customWidth="1"/>
    <col min="9" max="9" width="13.85546875" customWidth="1"/>
  </cols>
  <sheetData>
    <row r="2" spans="1:9">
      <c r="A2" s="97" t="s">
        <v>216</v>
      </c>
    </row>
    <row r="3" spans="1:9">
      <c r="B3" s="1" t="s">
        <v>101</v>
      </c>
      <c r="C3" s="1" t="s">
        <v>217</v>
      </c>
      <c r="D3" s="1" t="s">
        <v>105</v>
      </c>
      <c r="E3" s="1" t="s">
        <v>217</v>
      </c>
      <c r="F3" s="1" t="s">
        <v>106</v>
      </c>
      <c r="G3" s="1" t="s">
        <v>217</v>
      </c>
      <c r="H3" s="1" t="s">
        <v>108</v>
      </c>
      <c r="I3" s="1" t="s">
        <v>217</v>
      </c>
    </row>
    <row r="4" spans="1:9">
      <c r="A4" s="1" t="s">
        <v>218</v>
      </c>
      <c r="B4" s="1" t="s">
        <v>219</v>
      </c>
      <c r="D4" s="1" t="s">
        <v>220</v>
      </c>
      <c r="F4" s="1" t="s">
        <v>221</v>
      </c>
      <c r="H4" s="10"/>
    </row>
    <row r="5" spans="1:9">
      <c r="A5" s="1" t="s">
        <v>222</v>
      </c>
      <c r="B5" s="1" t="s">
        <v>223</v>
      </c>
      <c r="D5" s="1" t="s">
        <v>220</v>
      </c>
      <c r="F5" s="1" t="s">
        <v>221</v>
      </c>
    </row>
    <row r="6" spans="1:9">
      <c r="A6" s="1" t="s">
        <v>224</v>
      </c>
      <c r="B6" s="1" t="s">
        <v>223</v>
      </c>
      <c r="D6" s="1" t="s">
        <v>220</v>
      </c>
      <c r="F6" s="1" t="s">
        <v>221</v>
      </c>
    </row>
    <row r="7" spans="1:9">
      <c r="A7" s="1" t="s">
        <v>225</v>
      </c>
      <c r="B7" s="1" t="s">
        <v>223</v>
      </c>
      <c r="D7" s="98">
        <v>0.11</v>
      </c>
      <c r="F7" s="98">
        <v>0.04</v>
      </c>
    </row>
    <row r="8" spans="1:9">
      <c r="A8" s="1" t="s">
        <v>226</v>
      </c>
      <c r="B8" s="1" t="s">
        <v>223</v>
      </c>
      <c r="D8" s="1" t="s">
        <v>220</v>
      </c>
      <c r="F8" s="1" t="s">
        <v>221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2:G19"/>
  <sheetViews>
    <sheetView workbookViewId="0"/>
  </sheetViews>
  <sheetFormatPr defaultColWidth="12.5703125" defaultRowHeight="15.75" customHeight="1"/>
  <cols>
    <col min="1" max="1" width="24.7109375" customWidth="1"/>
    <col min="3" max="3" width="15.5703125" customWidth="1"/>
    <col min="5" max="5" width="16.42578125" customWidth="1"/>
    <col min="7" max="7" width="16.140625" customWidth="1"/>
  </cols>
  <sheetData>
    <row r="2" spans="1:7">
      <c r="A2" s="97" t="s">
        <v>227</v>
      </c>
      <c r="E2" s="1" t="s">
        <v>228</v>
      </c>
    </row>
    <row r="3" spans="1:7">
      <c r="B3" s="1" t="s">
        <v>105</v>
      </c>
      <c r="C3" s="1" t="s">
        <v>229</v>
      </c>
      <c r="D3" s="1" t="s">
        <v>106</v>
      </c>
      <c r="E3" s="1" t="s">
        <v>229</v>
      </c>
      <c r="F3" s="1" t="s">
        <v>108</v>
      </c>
      <c r="G3" s="1" t="s">
        <v>229</v>
      </c>
    </row>
    <row r="4" spans="1:7">
      <c r="A4" s="1" t="s">
        <v>218</v>
      </c>
      <c r="B4" s="16">
        <v>4.3999999999999997E-2</v>
      </c>
      <c r="C4" s="1">
        <v>1507622</v>
      </c>
      <c r="D4" s="16">
        <v>4.5999999999999999E-2</v>
      </c>
      <c r="E4" s="1">
        <v>1597408</v>
      </c>
      <c r="F4" s="1">
        <v>0</v>
      </c>
    </row>
    <row r="5" spans="1:7">
      <c r="A5" s="1" t="s">
        <v>222</v>
      </c>
      <c r="B5" s="16">
        <v>4.3999999999999997E-2</v>
      </c>
      <c r="C5" s="1">
        <v>701081</v>
      </c>
      <c r="D5" s="16">
        <v>4.5999999999999999E-2</v>
      </c>
      <c r="E5" s="1">
        <v>731173</v>
      </c>
      <c r="F5" s="1">
        <v>0</v>
      </c>
    </row>
    <row r="6" spans="1:7">
      <c r="A6" s="1" t="s">
        <v>224</v>
      </c>
      <c r="B6" s="16">
        <v>4.3999999999999997E-2</v>
      </c>
      <c r="D6" s="16">
        <v>4.5999999999999999E-2</v>
      </c>
      <c r="F6" s="1">
        <v>0</v>
      </c>
    </row>
    <row r="7" spans="1:7">
      <c r="A7" s="1" t="s">
        <v>225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</row>
    <row r="9" spans="1:7">
      <c r="A9" s="1"/>
      <c r="C9" s="1">
        <v>2208703</v>
      </c>
      <c r="E9" s="1">
        <v>2328581</v>
      </c>
    </row>
    <row r="10" spans="1:7">
      <c r="A10" s="1" t="s">
        <v>230</v>
      </c>
    </row>
    <row r="11" spans="1:7">
      <c r="A11" s="1" t="s">
        <v>231</v>
      </c>
      <c r="B11" s="1">
        <v>4531925</v>
      </c>
    </row>
    <row r="12" spans="1:7">
      <c r="A12" s="1" t="s">
        <v>232</v>
      </c>
    </row>
    <row r="14" spans="1:7">
      <c r="B14" s="1">
        <v>2208703</v>
      </c>
    </row>
    <row r="15" spans="1:7">
      <c r="B15" s="1">
        <v>2328581</v>
      </c>
    </row>
    <row r="17" spans="1:2">
      <c r="B17" s="1">
        <v>4537284</v>
      </c>
    </row>
    <row r="19" spans="1:2">
      <c r="A19" s="1" t="s">
        <v>233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2:F6"/>
  <sheetViews>
    <sheetView workbookViewId="0"/>
  </sheetViews>
  <sheetFormatPr defaultColWidth="12.5703125" defaultRowHeight="15.75" customHeight="1"/>
  <sheetData>
    <row r="2" spans="1:6">
      <c r="A2" s="97" t="s">
        <v>234</v>
      </c>
      <c r="C2" s="1" t="s">
        <v>102</v>
      </c>
      <c r="D2" s="1" t="s">
        <v>102</v>
      </c>
      <c r="E2" s="1" t="s">
        <v>228</v>
      </c>
      <c r="F2" s="1" t="s">
        <v>228</v>
      </c>
    </row>
    <row r="3" spans="1:6">
      <c r="C3" s="1" t="s">
        <v>101</v>
      </c>
      <c r="D3" s="1" t="s">
        <v>105</v>
      </c>
      <c r="E3" s="1" t="s">
        <v>106</v>
      </c>
      <c r="F3" s="1" t="s">
        <v>108</v>
      </c>
    </row>
    <row r="4" spans="1:6">
      <c r="A4" s="1" t="s">
        <v>235</v>
      </c>
      <c r="C4" s="1">
        <v>10614028</v>
      </c>
      <c r="D4" s="1">
        <v>4164952</v>
      </c>
      <c r="E4" s="1">
        <v>1112539</v>
      </c>
      <c r="F4" s="1">
        <v>1145552</v>
      </c>
    </row>
    <row r="6" spans="1:6">
      <c r="A6" s="1" t="s">
        <v>236</v>
      </c>
      <c r="C6" s="1">
        <v>552786</v>
      </c>
      <c r="D6" s="1">
        <v>301262</v>
      </c>
      <c r="E6" s="1">
        <v>190111</v>
      </c>
      <c r="F6" s="1">
        <v>261170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2:D9"/>
  <sheetViews>
    <sheetView workbookViewId="0"/>
  </sheetViews>
  <sheetFormatPr defaultColWidth="12.5703125" defaultRowHeight="15.75" customHeight="1"/>
  <cols>
    <col min="1" max="1" width="23.5703125" customWidth="1"/>
  </cols>
  <sheetData>
    <row r="2" spans="1:4">
      <c r="A2" s="1" t="s">
        <v>237</v>
      </c>
    </row>
    <row r="3" spans="1:4">
      <c r="B3" s="1" t="s">
        <v>105</v>
      </c>
      <c r="C3" s="1" t="s">
        <v>106</v>
      </c>
      <c r="D3" s="1" t="s">
        <v>108</v>
      </c>
    </row>
    <row r="4" spans="1:4">
      <c r="A4" s="1" t="s">
        <v>238</v>
      </c>
      <c r="B4" s="1">
        <v>110348</v>
      </c>
      <c r="C4" s="1">
        <v>242547</v>
      </c>
      <c r="D4" s="99">
        <v>0</v>
      </c>
    </row>
    <row r="5" spans="1:4">
      <c r="A5" s="1" t="s">
        <v>239</v>
      </c>
      <c r="B5" s="1">
        <v>228373</v>
      </c>
      <c r="C5" s="1">
        <v>56974</v>
      </c>
      <c r="D5" s="1">
        <v>78250</v>
      </c>
    </row>
    <row r="6" spans="1:4">
      <c r="A6" s="1" t="s">
        <v>240</v>
      </c>
      <c r="B6" s="1">
        <v>180250</v>
      </c>
      <c r="C6" s="1">
        <v>15021</v>
      </c>
      <c r="D6" s="99">
        <v>0</v>
      </c>
    </row>
    <row r="7" spans="1:4">
      <c r="A7" s="1" t="s">
        <v>241</v>
      </c>
      <c r="B7" s="1">
        <v>320158</v>
      </c>
      <c r="C7" s="1">
        <v>54318</v>
      </c>
      <c r="D7" s="1">
        <v>280000</v>
      </c>
    </row>
    <row r="9" spans="1:4">
      <c r="B9" s="1">
        <v>839129</v>
      </c>
      <c r="C9" s="1">
        <v>368860</v>
      </c>
      <c r="D9" s="1">
        <v>358250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2:I5"/>
  <sheetViews>
    <sheetView workbookViewId="0"/>
  </sheetViews>
  <sheetFormatPr defaultColWidth="12.5703125" defaultRowHeight="15.75" customHeight="1"/>
  <sheetData>
    <row r="2" spans="1:9">
      <c r="A2" s="1" t="s">
        <v>242</v>
      </c>
    </row>
    <row r="3" spans="1:9">
      <c r="B3" s="1" t="s">
        <v>101</v>
      </c>
      <c r="C3" s="1" t="s">
        <v>243</v>
      </c>
      <c r="D3" s="1" t="s">
        <v>105</v>
      </c>
      <c r="E3" s="1" t="s">
        <v>243</v>
      </c>
      <c r="F3" s="1" t="s">
        <v>106</v>
      </c>
      <c r="G3" s="1" t="s">
        <v>243</v>
      </c>
      <c r="H3" s="1" t="s">
        <v>108</v>
      </c>
      <c r="I3" s="1" t="s">
        <v>243</v>
      </c>
    </row>
    <row r="4" spans="1:9">
      <c r="A4" s="100" t="s">
        <v>244</v>
      </c>
      <c r="B4" s="97"/>
      <c r="C4" s="97"/>
      <c r="D4" s="101"/>
      <c r="E4" s="97"/>
      <c r="F4" s="97"/>
      <c r="G4" s="97"/>
      <c r="H4" s="97"/>
      <c r="I4" s="97"/>
    </row>
    <row r="5" spans="1:9">
      <c r="A5" s="100" t="s">
        <v>245</v>
      </c>
      <c r="B5" s="1">
        <v>705</v>
      </c>
      <c r="D5" s="102" t="s">
        <v>246</v>
      </c>
      <c r="F5" s="1">
        <v>825</v>
      </c>
      <c r="H5" s="1">
        <v>825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2:I13"/>
  <sheetViews>
    <sheetView workbookViewId="0"/>
  </sheetViews>
  <sheetFormatPr defaultColWidth="12.5703125" defaultRowHeight="15.75" customHeight="1"/>
  <cols>
    <col min="1" max="1" width="15.85546875" customWidth="1"/>
    <col min="3" max="3" width="14.85546875" customWidth="1"/>
    <col min="5" max="5" width="14.42578125" customWidth="1"/>
    <col min="7" max="7" width="13.42578125" customWidth="1"/>
    <col min="9" max="9" width="13.85546875" customWidth="1"/>
  </cols>
  <sheetData>
    <row r="2" spans="1:9">
      <c r="A2" s="1" t="s">
        <v>247</v>
      </c>
    </row>
    <row r="3" spans="1:9">
      <c r="A3" s="1" t="s">
        <v>248</v>
      </c>
      <c r="B3" s="1" t="s">
        <v>101</v>
      </c>
      <c r="C3" s="1" t="s">
        <v>217</v>
      </c>
      <c r="D3" s="1" t="s">
        <v>105</v>
      </c>
      <c r="E3" s="1" t="s">
        <v>217</v>
      </c>
      <c r="F3" s="1" t="s">
        <v>106</v>
      </c>
      <c r="G3" s="1" t="s">
        <v>217</v>
      </c>
      <c r="H3" s="1" t="s">
        <v>108</v>
      </c>
      <c r="I3" s="1" t="s">
        <v>217</v>
      </c>
    </row>
    <row r="4" spans="1:9">
      <c r="A4" s="1" t="s">
        <v>249</v>
      </c>
      <c r="B4" s="1">
        <v>15.5</v>
      </c>
      <c r="D4" s="1">
        <v>17.5</v>
      </c>
      <c r="F4" s="1">
        <v>17.5</v>
      </c>
      <c r="H4" s="1">
        <v>19.25</v>
      </c>
    </row>
    <row r="5" spans="1:9">
      <c r="A5" s="1" t="s">
        <v>250</v>
      </c>
      <c r="B5" s="1">
        <v>29.75</v>
      </c>
      <c r="C5" s="1">
        <v>-407028</v>
      </c>
      <c r="D5" s="1">
        <v>33.5</v>
      </c>
      <c r="E5" s="97">
        <v>1761361</v>
      </c>
      <c r="F5" s="1">
        <v>33.5</v>
      </c>
      <c r="G5" s="1">
        <v>299348</v>
      </c>
      <c r="H5" s="1">
        <v>36.75</v>
      </c>
      <c r="I5" s="1">
        <v>472056</v>
      </c>
    </row>
    <row r="8" spans="1:9">
      <c r="A8" s="1" t="s">
        <v>114</v>
      </c>
      <c r="B8" s="1">
        <v>15.5</v>
      </c>
      <c r="D8" s="1">
        <v>17.5</v>
      </c>
      <c r="F8" s="1">
        <v>17.5</v>
      </c>
      <c r="H8" s="1">
        <v>19.25</v>
      </c>
    </row>
    <row r="9" spans="1:9">
      <c r="B9" s="1">
        <v>29.75</v>
      </c>
      <c r="C9" s="1">
        <v>671114</v>
      </c>
      <c r="D9" s="1">
        <v>33.5</v>
      </c>
      <c r="E9" s="1">
        <v>437294</v>
      </c>
      <c r="F9" s="1">
        <v>33.5</v>
      </c>
      <c r="G9" s="1">
        <v>86461</v>
      </c>
      <c r="H9" s="1">
        <v>36.75</v>
      </c>
      <c r="I9" s="1">
        <v>63</v>
      </c>
    </row>
    <row r="12" spans="1:9">
      <c r="A12" s="1" t="s">
        <v>251</v>
      </c>
    </row>
    <row r="13" spans="1:9">
      <c r="A13" s="1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FY2026-FY2015</vt:lpstr>
      <vt:lpstr>FY2023 &amp; 24</vt:lpstr>
      <vt:lpstr>PCFP Calcs</vt:lpstr>
      <vt:lpstr>DCSD  Budget Info.</vt:lpstr>
      <vt:lpstr>Staff &amp; Student Ratios</vt:lpstr>
      <vt:lpstr>Dem Profile (NV Report)</vt:lpstr>
      <vt:lpstr>BLS Inflation Index</vt:lpstr>
      <vt:lpstr>Total Sources</vt:lpstr>
      <vt:lpstr>SpEd</vt:lpstr>
      <vt:lpstr>English Learner</vt:lpstr>
      <vt:lpstr>At-risk</vt:lpstr>
      <vt:lpstr>Staffing Comparisons</vt:lpstr>
      <vt:lpstr>NRS 387.303 Staff FY2023</vt:lpstr>
      <vt:lpstr>Negotiated Salary Increases</vt:lpstr>
      <vt:lpstr>SB 231</vt:lpstr>
      <vt:lpstr>Ending Fund Balance</vt:lpstr>
      <vt:lpstr>Legal Liabilities</vt:lpstr>
      <vt:lpstr>Health Contribution</vt:lpstr>
      <vt:lpstr>NVPERS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Johnson</dc:creator>
  <cp:lastModifiedBy>Paul Johnson</cp:lastModifiedBy>
  <dcterms:created xsi:type="dcterms:W3CDTF">2025-09-09T15:38:39Z</dcterms:created>
  <dcterms:modified xsi:type="dcterms:W3CDTF">2025-12-23T18:03:19Z</dcterms:modified>
</cp:coreProperties>
</file>