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C:\Users\lcordova\Documents\SCHOOL YEAR 2025-2026\PROPOSED BUDGET\"/>
    </mc:Choice>
  </mc:AlternateContent>
  <xr:revisionPtr revIDLastSave="0" documentId="13_ncr:1_{3A57D4A8-3100-4BF7-B15E-42A19E0BEC22}" xr6:coauthVersionLast="47" xr6:coauthVersionMax="47" xr10:uidLastSave="{00000000-0000-0000-0000-000000000000}"/>
  <workbookProtection workbookAlgorithmName="SHA-512" workbookHashValue="uxiWgyzuq9QRzOX39TSlHoLsN98SQfDVflqkx7QDC284WrNfiuMlZSd90xNiOSLWqRr6Mc11EOAQmpRm8vHpqQ==" workbookSaltValue="lW6aW/K9UIT+Vh8ysl5Upw==" workbookSpinCount="100000" lockStructure="1"/>
  <bookViews>
    <workbookView xWindow="-108" yWindow="-108" windowWidth="23256" windowHeight="12456" xr2:uid="{00000000-000D-0000-FFFF-FFFF00000000}"/>
  </bookViews>
  <sheets>
    <sheet name="Cover" sheetId="16" r:id="rId1"/>
    <sheet name="Page 1" sheetId="2" r:id="rId2"/>
    <sheet name="Page 2" sheetId="3" r:id="rId3"/>
    <sheet name="Page 3" sheetId="29" r:id="rId4"/>
    <sheet name="Page 4" sheetId="5" r:id="rId5"/>
    <sheet name="Page 5" sheetId="23" r:id="rId6"/>
    <sheet name="Page 6" sheetId="7" r:id="rId7"/>
    <sheet name="Page 7" sheetId="8" r:id="rId8"/>
    <sheet name="Page 8" sheetId="19" r:id="rId9"/>
    <sheet name="Supplement" sheetId="17" r:id="rId10"/>
    <sheet name="Summary Page 1" sheetId="13" r:id="rId11"/>
    <sheet name="Summary Page 2" sheetId="14" r:id="rId12"/>
    <sheet name="Truth in Tax" sheetId="15" r:id="rId13"/>
    <sheet name="Fund balances" sheetId="31" r:id="rId14"/>
    <sheet name="Data Entry" sheetId="27" r:id="rId15"/>
    <sheet name="Calculations" sheetId="28" r:id="rId16"/>
    <sheet name="BSA55" sheetId="30" r:id="rId17"/>
    <sheet name="Instructions" sheetId="22" r:id="rId18"/>
  </sheets>
  <externalReferences>
    <externalReference r:id="rId19"/>
    <externalReference r:id="rId20"/>
    <externalReference r:id="rId21"/>
    <externalReference r:id="rId22"/>
  </externalReferences>
  <definedNames>
    <definedName name="_xlnm._FilterDatabase" localSheetId="17" hidden="1">Instructions!$D$1:$E$180</definedName>
    <definedName name="_Key1" localSheetId="13" hidden="1">#REF!</definedName>
    <definedName name="_Key1" hidden="1">'Page 6'!$O$8</definedName>
    <definedName name="_Order1" hidden="1">255</definedName>
    <definedName name="_PAV2">'Data Entry'!$L$95</definedName>
    <definedName name="_QL912">'BSA55'!$G$165</definedName>
    <definedName name="_Sort" localSheetId="13" hidden="1">#REF!</definedName>
    <definedName name="_Sort" hidden="1">'Page 6'!$O$8:$O$34</definedName>
    <definedName name="AccommRCL05">'Data Entry'!$L$146</definedName>
    <definedName name="AccommRCL10">'Data Entry'!$L$145</definedName>
    <definedName name="AccommTransCheck">'Data Entry'!$C$142</definedName>
    <definedName name="ActAuditExpend">'Data Entry'!$C$67</definedName>
    <definedName name="ActDisabilityRM">'Data Entry'!$L$76</definedName>
    <definedName name="ActivTripLvlFactor">'BSA55'!$E$86</definedName>
    <definedName name="AdjacentWays">Instructions!$C$38</definedName>
    <definedName name="AdjBaseSuppLvl">'BSA55'!$H$69</definedName>
    <definedName name="AdjFYTRCL">'BSA55'!$C$104</definedName>
    <definedName name="AdjTNTBaseLimit">'Truth in Tax'!$I$7</definedName>
    <definedName name="AdjWaysLevy">'Page 5'!$E$29</definedName>
    <definedName name="AllFundAuditBudg6330">'Page 2'!$O$9</definedName>
    <definedName name="AmtOUBudgSSA">'Truth in Tax'!$I$21</definedName>
    <definedName name="AnnualExpforBusPass">'Data Entry'!$L$75</definedName>
    <definedName name="AnnualExpforBusToken">'Data Entry'!$L$74</definedName>
    <definedName name="AOIFTFundFactor">'BSA55'!$F$47</definedName>
    <definedName name="AOIFTGrBAddOnWgtdADM">'BSA55'!$H$35</definedName>
    <definedName name="AOIFTRegEdWgtdADM">'BSA55'!$H$12</definedName>
    <definedName name="AOIFTStudCnt912CY">'Data Entry'!$I$32</definedName>
    <definedName name="AOIFTStudCntDD.ED.MIID.SLD.SLI.OHI">'Data Entry'!$H$50</definedName>
    <definedName name="AOIFTStudCntEDP">'Data Entry'!$H$51</definedName>
    <definedName name="AOIFTStudCntELL">'Data Entry'!$H$40</definedName>
    <definedName name="AOIFTStudCntFRPL">'Data Entry'!$H$54</definedName>
    <definedName name="AOIFTStudCntG">'Data Entry'!$H$55</definedName>
    <definedName name="AOIFTStudCntHI">'Data Entry'!$H$43</definedName>
    <definedName name="AOIFTStudCntK3">'Data Entry'!$H$41</definedName>
    <definedName name="AOIFTStudCntK3R">'Data Entry'!$H$42</definedName>
    <definedName name="AOIFTStudCntK8CY">'Data Entry'!$H$32</definedName>
    <definedName name="AOIFTStudCntMDR.AR.SIDR">'Data Entry'!$H$44</definedName>
    <definedName name="AOIFTStudCntMDSC.ASC.SIDSC">'Data Entry'!$H$45</definedName>
    <definedName name="AOIFTStudCntMDSSI">'Data Entry'!$H$46</definedName>
    <definedName name="AOIFTStudCntMOID">'Data Entry'!$H$52</definedName>
    <definedName name="AOIFTStudCntOIR">'Data Entry'!$H$47</definedName>
    <definedName name="AOIFTStudCntOISC">'Data Entry'!$H$48</definedName>
    <definedName name="AOIFTStudCntP.SD">'Data Entry'!$H$49</definedName>
    <definedName name="AOIFTStudCntPSDCY">'Data Entry'!$G$32</definedName>
    <definedName name="AOIFTStudCntVI">'Data Entry'!$H$53</definedName>
    <definedName name="AOIPTFundFactor">'BSA55'!$H$47</definedName>
    <definedName name="AOIPTGrBAddOnWgtdADM">'BSA55'!$I$35</definedName>
    <definedName name="AOIPTRegEdWgtdADM">'BSA55'!$I$12</definedName>
    <definedName name="AOIPTStudCnt912CY">'Data Entry'!$I$33</definedName>
    <definedName name="AOIPTStudCntDD.ED.MIID.SLD.SLI.OHI">'Data Entry'!$I$50</definedName>
    <definedName name="AOIPTStudCntEDP">'Data Entry'!$I$51</definedName>
    <definedName name="AOIPTStudCntELL">'Data Entry'!$I$40</definedName>
    <definedName name="AOIPTStudCntFRPL">'Data Entry'!$I$54</definedName>
    <definedName name="AOIPTStudCntG">'Data Entry'!$I$55</definedName>
    <definedName name="AOIPTStudCntHI">'Data Entry'!$I$43</definedName>
    <definedName name="AOIPTStudCntK3">'Data Entry'!$I$41</definedName>
    <definedName name="AOIPTStudCntK3R">'Data Entry'!$I$42</definedName>
    <definedName name="AOIPTStudCntK8CY">'Data Entry'!$H$33</definedName>
    <definedName name="AOIPTStudCntMDR.AR.SIDR">'Data Entry'!$I$44</definedName>
    <definedName name="AOIPTStudCntMDSC.ASC.SIDSC">'Data Entry'!$I$45</definedName>
    <definedName name="AOIPTStudCntMDSSI">'Data Entry'!$I$46</definedName>
    <definedName name="AOIPTStudCntMOID">'Data Entry'!$I$52</definedName>
    <definedName name="AOIPTStudCntOIR">'Data Entry'!$I$47</definedName>
    <definedName name="AOIPTStudCntOISC">'Data Entry'!$I$48</definedName>
    <definedName name="AOIPTStudCntP.SD">'Data Entry'!$I$49</definedName>
    <definedName name="AOIPTStudCntPSDCY">'Data Entry'!$G$33</definedName>
    <definedName name="AOIPTStudCntVI">'Data Entry'!$I$53</definedName>
    <definedName name="ApprDRMiles">'Data Entry'!$L$72</definedName>
    <definedName name="AuditServices">Instructions!$C$23</definedName>
    <definedName name="AvgTeacherSalaries">Instructions!$C$10</definedName>
    <definedName name="BaseLevelAmount">'Data Entry'!$J$6</definedName>
    <definedName name="BSA55BLA">'BSA55'!$H$52</definedName>
    <definedName name="BSA55General">Instructions!$C$178</definedName>
    <definedName name="BSA55P4ActivityTripFactors">Instructions!$C$180</definedName>
    <definedName name="BSA55P4AuditServiceExpense">Instructions!$C$179</definedName>
    <definedName name="BSA55TEI">'BSA55'!$C$54</definedName>
    <definedName name="BUDG75Adj">'Data Entry'!$L$100</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Entry'!$C$74</definedName>
    <definedName name="CalcGeneral">Instructions!$C$177</definedName>
    <definedName name="CapTransportAdj912">'Data Entry'!$L$83</definedName>
    <definedName name="CapTransportAdjK8">'Data Entry'!$L$82</definedName>
    <definedName name="CapTransportAdjPSD">'Data Entry'!$L$81</definedName>
    <definedName name="Checkbox200Days">'Data Entry'!$C$63</definedName>
    <definedName name="ConsolUnifTransCosts">'Data Entry'!$L$87</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unty">#REF!</definedName>
    <definedName name="cover" localSheetId="0">Cover!$A$1:$Q$41</definedName>
    <definedName name="CoverCTDS">#REF!</definedName>
    <definedName name="CoverDistrictName">#REF!</definedName>
    <definedName name="CoverGen">Instructions!$C$2</definedName>
    <definedName name="CSFActualCurrFY" localSheetId="3">'Page 3'!$D$33</definedName>
    <definedName name="CSFAdjustment">'Page 3'!$D$37</definedName>
    <definedName name="CSFAllocation">'Data Entry'!$J$11</definedName>
    <definedName name="CSFAllocBudgFY" localSheetId="3">'Page 3'!$D$36</definedName>
    <definedName name="CSFBLBudgFY" localSheetId="3">'Page 3'!$D$39</definedName>
    <definedName name="CSFBLBudgFYSumm">'Summary Page 1'!$D$23</definedName>
    <definedName name="CSFBLCurrFY" localSheetId="3">'Page 3'!$D$32</definedName>
    <definedName name="CSFExpBudgFYSumm">'Summary Page 1'!$B$23</definedName>
    <definedName name="CSFPYInterestEarned">'Page 3'!$D$35</definedName>
    <definedName name="CSFUnexpendBudgBal">'Page 3'!$D$34</definedName>
    <definedName name="CTD">Cover!$S$1</definedName>
    <definedName name="CTED13thADJ">#REF!</definedName>
    <definedName name="CTED9thAdj">#REF!</definedName>
    <definedName name="CurrentYearSalary">#REF!</definedName>
    <definedName name="CYIAMOTax">'Data Entry'!$L$114</definedName>
    <definedName name="CYIAMOTRCL">'Data Entry'!$L$113</definedName>
    <definedName name="CYIARev">'Data Entry'!$L$111</definedName>
    <definedName name="CYIARevBondDS">'Data Entry'!$L$112</definedName>
    <definedName name="CYTRCL">'BSA55'!$E$105</definedName>
    <definedName name="DailyRteMilesPerElgStud">'BSA55'!$E$81</definedName>
    <definedName name="DataEntryGeneral">Instructions!$C$119</definedName>
    <definedName name="DataEntryOtherBSLBRCLAdjl1">Instructions!$C$143</definedName>
    <definedName name="DataEntryOtherBSLBRCLAdjl3">Instructions!$C$144</definedName>
    <definedName name="DataEntryOtherBSLBRCLAdjl4">Instructions!$C$146</definedName>
    <definedName name="DataEntryOtherBSLBRCLAdjl5">Instructions!$C$147</definedName>
    <definedName name="DataEntryOtherBSLBRCLAdjl6">Instructions!$C$149</definedName>
    <definedName name="DataEntryOtherBSLBRCLAdjl7">Instructions!$C$150</definedName>
    <definedName name="DataEntryOtherInfol1">Instructions!$C$155</definedName>
    <definedName name="DataEntryOtherInfol12">Instructions!$C$166</definedName>
    <definedName name="DataEntryOtherInfol13">Instructions!$C$167</definedName>
    <definedName name="DataEntryOtherInfol14e">Instructions!$C$168</definedName>
    <definedName name="DataEntryOtherInfol16">Instructions!$C$169</definedName>
    <definedName name="DataEntryOtherInfol18">Instructions!$C$170</definedName>
    <definedName name="DataEntryOtherInfol19">Instructions!$C$171</definedName>
    <definedName name="DataEntryOtherInfol1Continued">Instructions!$C$156</definedName>
    <definedName name="DataEntryOtherInfol2">Instructions!$C$157</definedName>
    <definedName name="DataEntryOtherInfol21">Instructions!$C$172</definedName>
    <definedName name="DataEntryOtherInfol22">Instructions!$C$173</definedName>
    <definedName name="DataEntryOtherInfol3">Instructions!$C$158</definedName>
    <definedName name="DataEntryOtherInfol4">Instructions!$C$159</definedName>
    <definedName name="DataEntryOtherInfol5">Instructions!$C$161</definedName>
    <definedName name="DataEntryOtherInfol6">Instructions!$C$163</definedName>
    <definedName name="DataEntryOtherInfol7">Instructions!$C$164</definedName>
    <definedName name="DataEntryOtherInfol9">Instructions!$C$165</definedName>
    <definedName name="DataEntryTransl1">Instructions!$C$151</definedName>
    <definedName name="DataEntryTransl3">Instructions!$C$153</definedName>
    <definedName name="DataEntryTransl5">Instructions!$C$154</definedName>
    <definedName name="DataEntryType01Infol1">Instructions!$C$175</definedName>
    <definedName name="DataEntryType01Infol2">Instructions!$C$176</definedName>
    <definedName name="DataEntryUSCl1">Instructions!$C$123</definedName>
    <definedName name="DataEntryUSCl2">Instructions!$C$124</definedName>
    <definedName name="DataEntryUSCl345">Instructions!$C$125</definedName>
    <definedName name="DataEntryUSCSCAl10">Instructions!$C$130</definedName>
    <definedName name="DataEntryUSCSCAl11">Instructions!$C$131</definedName>
    <definedName name="DataEntryUSCSCAl12">Instructions!$C$132</definedName>
    <definedName name="DataEntryUSCSCAl13">Instructions!$C$133</definedName>
    <definedName name="DataEntryUSCSCAl14">Instructions!$C$134</definedName>
    <definedName name="DataEntryUSCSCAl15">Instructions!$C$135</definedName>
    <definedName name="DataEntryUSCSCAl16">Instructions!$C$136</definedName>
    <definedName name="DataEntryUSCSCAl17">Instructions!$C$137</definedName>
    <definedName name="DataEntryUSCSCAl18">Instructions!$C$138</definedName>
    <definedName name="DataEntryUSCSCAl19">Instructions!$C$139</definedName>
    <definedName name="DataEntryUSCSCAl20">Instructions!$C$140</definedName>
    <definedName name="DataEntryUSCSCAl21">Instructions!$C$142</definedName>
    <definedName name="DataEntryUSCSCAl23">Instructions!$C$141</definedName>
    <definedName name="DataEntryUSCSCAl7">Instructions!$C$128</definedName>
    <definedName name="DataEntryUSCSCAl720">Instructions!$C$126</definedName>
    <definedName name="DataEntryUSCSCAl9">Instructions!$C$127</definedName>
    <definedName name="DDPJCTEOriginalBudget">'Truth in Tax'!$G$18</definedName>
    <definedName name="DecrTransMOtoEWS">'Page 7'!$J$47</definedName>
    <definedName name="DistrictContact">Instructions!#REF!</definedName>
    <definedName name="DistrictName">Cover!$C$1</definedName>
    <definedName name="DistrictSystems">Instructions!$C$121</definedName>
    <definedName name="DSL">'BSA55'!$J$81</definedName>
    <definedName name="DSLRCL912">'BSA55'!$L$145</definedName>
    <definedName name="DSLRCLPSD8">'BSA55'!$L$144</definedName>
    <definedName name="DSLRCLTotal">'BSA55'!$L$146</definedName>
    <definedName name="EligibleStudTrans">'Data Entry'!$L$73</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Entry'!$L$77</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BegFunBal">#REF!</definedName>
    <definedName name="F001Carryforward">'Page 1'!$L$43</definedName>
    <definedName name="F001OtherFinSources">#REF!</definedName>
    <definedName name="F001OtherFinUses">#REF!</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Personnel">'Page 1'!$E$8</definedName>
    <definedName name="F001P100F1000SBBudgFY">'Summary Page 1'!$D$33</definedName>
    <definedName name="F001P100F1000TotBudgFY">'Summary Page 1'!$H$33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Personnel">'Page 1'!$E$10</definedName>
    <definedName name="F001P100F2100SBBudgFY">'Summary Page 1'!$D$35</definedName>
    <definedName name="F001P100F2100TotBudgFY">'Summary Page 1'!$H$35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Personnel">'Page 1'!$E$11</definedName>
    <definedName name="F001P100F2200SBBudgFY">'Summary Page 1'!$D$36</definedName>
    <definedName name="F001P100F2200TotBudgFY">'Summary Page 1'!$H$36</definedName>
    <definedName name="F001P100F2300">'Page 1'!$L$12</definedName>
    <definedName name="F001P100F230024002500OthBudgFY">'Summary Page 1'!$F$37</definedName>
    <definedName name="F001P100F230024002500SBBudgFY">'Summary Page 1'!$D$37</definedName>
    <definedName name="F001P100F230024002500TotBudgFY">'Summary Page 1'!$H$37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Personnel">'Page 1'!$E$15</definedName>
    <definedName name="F001P100F2600SBBudgFY">'Summary Page 1'!$D$38</definedName>
    <definedName name="F001P100F2600TotBudgFY">'Summary Page 1'!$H$38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Personnel">'Page 1'!$E$16</definedName>
    <definedName name="F001P100F2900SBBudgFY">'Summary Page 1'!$D$39</definedName>
    <definedName name="F001P100F2900TotBudgFY">'Summary Page 1'!$H$39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Personnel">'Page 1'!$E$17</definedName>
    <definedName name="F001P100F3000SBBudgFY">'Summary Page 1'!$D$40</definedName>
    <definedName name="F001P100F3000TotBudgFY">'Summary Page 1'!$H$40</definedName>
    <definedName name="F001P100TotActExp">#REF!</definedName>
    <definedName name="F001P100TotBudgExp">#REF!</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Personnel">'Page 1'!$E$24</definedName>
    <definedName name="F001P200F1000SBBudgFY">'Summary Page 1'!$D$46</definedName>
    <definedName name="F001P200F1000TotBudgFY">'Summary Page 1'!$H$46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Personnel">'Page 1'!$E$26</definedName>
    <definedName name="F001P200F2100SBBudgFY">'Summary Page 1'!$D$48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Personnel">'Page 1'!$E$27</definedName>
    <definedName name="F001P200F2200SBBudgFY">'Summary Page 1'!$D$49</definedName>
    <definedName name="F001P200F2200TotBudgFy">'Summary Page 1'!$H$49</definedName>
    <definedName name="F001P200F2300">'Page 1'!$L$28</definedName>
    <definedName name="F001P200F230024002500OthBudgFY">'Summary Page 1'!$F$50</definedName>
    <definedName name="F001P200F230024002500SBBudgFY">'Summary Page 1'!$D$50</definedName>
    <definedName name="F001P200F230024002500TotBudgFY">'Summary Page 1'!$H$50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Personnel">'Page 1'!$E$31</definedName>
    <definedName name="F001P200F2600SBBudgFY">'Summary Page 1'!$D$51</definedName>
    <definedName name="F001P200F2600TotBudgFY">'Summary Page 1'!$H$51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Personnel">'Page 1'!$E$32</definedName>
    <definedName name="F001P200F2900SBBudgFY">'Summary Page 1'!$D$52</definedName>
    <definedName name="F001P200F2900TotBudgFY">'Summary Page 1'!$H$52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Personnel">'Page 1'!$E$33</definedName>
    <definedName name="F001P200F3000SBBudgFY">'Summary Page 1'!$D$53</definedName>
    <definedName name="F001P200F3000TotBudgFY">'Summary Page 1'!$H$53</definedName>
    <definedName name="F001P200F510TotBudgFY">'Summary Page 1'!$H$56</definedName>
    <definedName name="F001P200PYDisabilityTot">'Page 2'!$F$7</definedName>
    <definedName name="F001P200Subtotal">'Page 2'!$G$7</definedName>
    <definedName name="F001P200TotActExp">#REF!</definedName>
    <definedName name="F001P200TotBudgExp">#REF!</definedName>
    <definedName name="F001P200TotBudgFY">'Page 1'!$L$34</definedName>
    <definedName name="F001P400" localSheetId="13">#REF!</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Personnel">'Page 1'!$E$35</definedName>
    <definedName name="F001P400SBBudgFY">'Summary Page 1'!$D$55</definedName>
    <definedName name="F001P400TotBudgExp">#REF!</definedName>
    <definedName name="F001P400TotBudgFY">'Summary Page 1'!$H$55</definedName>
    <definedName name="F001P510" localSheetId="13">#REF!</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Personnel">'Page 1'!$E$37</definedName>
    <definedName name="F001P510SBBudgFY">'Summary Page 1'!$D$56</definedName>
    <definedName name="F001P510TotBudgExp">#REF!</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Personnel">'Page 1'!$E$38</definedName>
    <definedName name="F001P530SBBudgFY">'Summary Page 1'!$D$57</definedName>
    <definedName name="F001P530TotActExp">#REF!</definedName>
    <definedName name="F001P530TotBudgExp">#REF!</definedName>
    <definedName name="F001P530TotBudgFY">'Summary Page 1'!$H$57</definedName>
    <definedName name="F001P540" localSheetId="13">#REF!</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Personnel">'Page 1'!$E$40</definedName>
    <definedName name="F001P540SBBudgFY">'Summary Page 1'!$D$59</definedName>
    <definedName name="F001P540TotBudgExp">#REF!</definedName>
    <definedName name="F001P540TotBudgFY">'Summary Page 1'!$H$59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Personnel">'Page 1'!$E$41</definedName>
    <definedName name="F001P550SBBudgFY">'Summary Page 1'!$D$60</definedName>
    <definedName name="F001P550TotActExp">#REF!</definedName>
    <definedName name="F001P550TotBudgExp">#REF!</definedName>
    <definedName name="F001P550TotBudgFY">'Summary Page 1'!$H$60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Personnel">'Page 1'!$E$18</definedName>
    <definedName name="F001P610SBBudgFY">'Summary Page 1'!$D$41</definedName>
    <definedName name="F001P610TotBudgFY">'Summary Page 1'!$H$41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Personnel">'Page 1'!$E$19</definedName>
    <definedName name="F001P620SBBudgFY">'Summary Page 1'!$D$42</definedName>
    <definedName name="F001P620TotBudgFY">'Summary Page 1'!$H$42</definedName>
    <definedName name="F001P630">'Page 1'!$L$20</definedName>
    <definedName name="F001P630700800900OthBudgFY">'Summary Page 1'!$F$43</definedName>
    <definedName name="F001P630700800900SBBudgFY">'Summary Page 1'!$D$43</definedName>
    <definedName name="F001P630700800900TotBudgFY">'Summary Page 1'!$H$43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TOTALBUDGEXP">#REF!</definedName>
    <definedName name="F001TotalExp">'Page 1'!$L$42</definedName>
    <definedName name="F001TotalExpSumm">'Summary Page 1'!$B$22</definedName>
    <definedName name="F001TotExpCurrFY">'Page 1'!$K$42</definedName>
    <definedName name="F001TotRev">#REF!</definedName>
    <definedName name="F001TransIn">#REF!</definedName>
    <definedName name="F010Carryforward">'Page 3'!$K$15</definedName>
    <definedName name="F010F1000">'Page 3'!$K$6</definedName>
    <definedName name="F010F2100">'Page 3'!$K$7</definedName>
    <definedName name="F010F2200">'Page 3'!$K$8</definedName>
    <definedName name="F010F2310">'Page 3'!$K$9</definedName>
    <definedName name="F010F2510">'Page 3'!$K$10</definedName>
    <definedName name="F010F3300">'Page 3'!$K$11</definedName>
    <definedName name="F010F4000">'Page 3'!$K$12</definedName>
    <definedName name="F010F5000">'Page 3'!$K$13</definedName>
    <definedName name="F010TotalExp">'Page 3'!$K$14</definedName>
    <definedName name="F010TotalExpPY">'Page 3'!$J$14</definedName>
    <definedName name="F020ActExp">#REF!</definedName>
    <definedName name="F020ActRev">#REF!</definedName>
    <definedName name="F020BegFunBal">#REF!</definedName>
    <definedName name="F020BudgExp">#REF!</definedName>
    <definedName name="F020ClassSizeRedBudgFY">'Page 6'!$J$44</definedName>
    <definedName name="F020DropPrevProgBudgFY">'Page 6'!$J$45</definedName>
    <definedName name="F020InstrImprProgBudgFY">'Page 6'!$J$46</definedName>
    <definedName name="F020TeachCompIncrBudgFY">'Page 6'!$J$43</definedName>
    <definedName name="F020TotBudgFY">'Page 6'!$G$55</definedName>
    <definedName name="F020TotCurrFY">'Page 6'!$E$55</definedName>
    <definedName name="F050ActExp">#REF!</definedName>
    <definedName name="F050ActRev">#REF!</definedName>
    <definedName name="F050BegFunBal">#REF!</definedName>
    <definedName name="F050BudgExp">#REF!</definedName>
    <definedName name="F050BudgFY">'Page 6'!$T$5</definedName>
    <definedName name="F050CurrFY">'Page 6'!$S$5</definedName>
    <definedName name="F050Transf">#REF!</definedName>
    <definedName name="F071ActExp">#REF!</definedName>
    <definedName name="F071ActRev">#REF!</definedName>
    <definedName name="F071BegFunBal">#REF!</definedName>
    <definedName name="F071BudgExp">#REF!</definedName>
    <definedName name="F071BudgFY">Supplement!$M$18</definedName>
    <definedName name="F071CurrFY">Supplement!$L$18</definedName>
    <definedName name="F071F1000">Supplement!$M$8</definedName>
    <definedName name="F071F1000Personnel">Supplement!$E$8</definedName>
    <definedName name="F071F2100">Supplement!$M$10</definedName>
    <definedName name="F071F2100Personnel">Supplement!$E$10</definedName>
    <definedName name="F071F2200">Supplement!$M$11</definedName>
    <definedName name="F071F2200Personnel">Supplement!$E$11</definedName>
    <definedName name="F071F2300">Supplement!$M$12</definedName>
    <definedName name="F071F2300Personnel">Supplement!$E$12</definedName>
    <definedName name="F071F2400">Supplement!$M$13</definedName>
    <definedName name="F071F2400Personnel">Supplement!$E$13</definedName>
    <definedName name="F071F2500">Supplement!$M$14</definedName>
    <definedName name="F071F2500Personnel">Supplement!$E$14</definedName>
    <definedName name="F071F2600">Supplement!$M$15</definedName>
    <definedName name="F071F2600Personnel">Supplement!$E$15</definedName>
    <definedName name="F071F2700">Supplement!$M$16</definedName>
    <definedName name="F071F2700Personnel">Supplement!$E$16</definedName>
    <definedName name="F071F2900">Supplement!$M$17</definedName>
    <definedName name="F071F2900Personnel">Supplement!$E$17</definedName>
    <definedName name="F071OFSOFU">#REF!</definedName>
    <definedName name="F071TOTALEXP">#REF!</definedName>
    <definedName name="F072ActExp">#REF!</definedName>
    <definedName name="F072ActRev">#REF!</definedName>
    <definedName name="F072BegFunBal">#REF!</definedName>
    <definedName name="F072BudgExp">#REF!</definedName>
    <definedName name="F072BudgFY">Supplement!$M$30</definedName>
    <definedName name="F072CurrFY">Supplement!$L$30</definedName>
    <definedName name="F072F1000">Supplement!$M$20</definedName>
    <definedName name="F072F1000Personnel">Supplement!$E$20</definedName>
    <definedName name="F072F2100">Supplement!$M$22</definedName>
    <definedName name="F072F2100Personnel">Supplement!$E$22</definedName>
    <definedName name="F072F2200">Supplement!$M$23</definedName>
    <definedName name="F072F2200Personnel">Supplement!$E$23</definedName>
    <definedName name="F072F2300">Supplement!$M$24</definedName>
    <definedName name="F072F2300Personnel">Supplement!$E$24</definedName>
    <definedName name="F072F2400">Supplement!$M$25</definedName>
    <definedName name="F072F2400Personnel">Supplement!$E$25</definedName>
    <definedName name="F072F2500">Supplement!$M$26</definedName>
    <definedName name="F072F2500Personnel">Supplement!$E$26</definedName>
    <definedName name="F072F2600">Supplement!$M$27</definedName>
    <definedName name="F072F2600Personnel">Supplement!$E$27</definedName>
    <definedName name="F072F2700">Supplement!$M$28</definedName>
    <definedName name="F072F2700Personnel">Supplement!$E$28</definedName>
    <definedName name="F072F2900">Supplement!$M$29</definedName>
    <definedName name="F072F2900Personnel">Supplement!$E$29</definedName>
    <definedName name="F072OFSOFU">#REF!</definedName>
    <definedName name="F072TOTALEXP">#REF!</definedName>
    <definedName name="F100130BudgFY">'Page 6'!$J$7</definedName>
    <definedName name="F100130Personnel">'Page 6'!$G$7</definedName>
    <definedName name="F100P200F2100TotBudgFY">'Summary Page 1'!$H$48</definedName>
    <definedName name="F140150BudgFY">'Page 6'!$J$8</definedName>
    <definedName name="F140150Personnel">'Page 6'!$G$8</definedName>
    <definedName name="F160BudgFY">'Page 6'!$J$9</definedName>
    <definedName name="F160Personnel">'Page 6'!$G$9</definedName>
    <definedName name="F170180BudgFY">'Page 6'!$J$10</definedName>
    <definedName name="F170180Personnel">'Page 6'!$G$10</definedName>
    <definedName name="F190BudgFY">'Page 6'!$J$11</definedName>
    <definedName name="F190Personnel">'Page 6'!$G$11</definedName>
    <definedName name="F200BudgFY">'Page 6'!$J$12</definedName>
    <definedName name="F200Personnel">'Page 6'!$G$12</definedName>
    <definedName name="F210BudgFY">'Page 6'!$J$13</definedName>
    <definedName name="F210Personnel">'Page 6'!$G$13</definedName>
    <definedName name="F220BudgFY">'Page 6'!$J$14</definedName>
    <definedName name="F220Personnel">'Page 6'!$G$14</definedName>
    <definedName name="F230BudgFY">'Page 6'!$J$15</definedName>
    <definedName name="F230Personnel">'Page 6'!$G$15</definedName>
    <definedName name="F240BudgFY">'Page 6'!$J$16</definedName>
    <definedName name="F240Personnel">'Page 6'!$G$16</definedName>
    <definedName name="F250BudgFY">'Page 6'!$J$17</definedName>
    <definedName name="F250Personnel">'Page 6'!$G$17</definedName>
    <definedName name="F260270BudgFY">'Page 6'!$J$18</definedName>
    <definedName name="F260270Personnel">'Page 6'!$G$18</definedName>
    <definedName name="F280BudgFY">'Page 6'!$J$19</definedName>
    <definedName name="F280Personnel">'Page 6'!$G$19</definedName>
    <definedName name="F290BudgFY">'Page 6'!$J$20</definedName>
    <definedName name="F290Personnel">'Page 6'!$G$20</definedName>
    <definedName name="F300399OtherBudgFY">'Page 6'!$J$25</definedName>
    <definedName name="F300399OtherPersonnel">'Page 6'!$G$25</definedName>
    <definedName name="F349BudFY">'Page 6'!$J$21</definedName>
    <definedName name="F349Personnel">'Page 6'!$G$21</definedName>
    <definedName name="F353BudgFY">'Page 6'!$J$22</definedName>
    <definedName name="F353Personnel">'Page 6'!$G$22</definedName>
    <definedName name="F374BudgFY">'Page 6'!$J$23</definedName>
    <definedName name="F374Personnel">'Page 6'!$G$23</definedName>
    <definedName name="F378BudgFY">'Page 6'!$J$24</definedName>
    <definedName name="F378Personnel">'Page 6'!$G$24</definedName>
    <definedName name="F400BudgFY">'Page 6'!$J$29</definedName>
    <definedName name="F400Personnel">'Page 6'!$G$29</definedName>
    <definedName name="F410BudgFY">'Page 6'!$J$30</definedName>
    <definedName name="F410Personnel">'Page 6'!$G$30</definedName>
    <definedName name="F420BudgFY">'Page 6'!$J$31</definedName>
    <definedName name="F420Personnel">'Page 6'!$G$31</definedName>
    <definedName name="F425BudgFY">'Page 6'!$J$32</definedName>
    <definedName name="F425Personnel">'Page 6'!$G$32</definedName>
    <definedName name="F430BudgFY">'Page 6'!$J$33</definedName>
    <definedName name="F430Personnel">'Page 6'!$G$33</definedName>
    <definedName name="F435BudgFY">'Page 6'!$J$34</definedName>
    <definedName name="F435Personnel">'Page 6'!$G$34</definedName>
    <definedName name="F450BudgFY">'Page 6'!$J$35</definedName>
    <definedName name="F450Personnel">'Page 6'!$G$35</definedName>
    <definedName name="F456BudgFY">'Page 6'!$J$36</definedName>
    <definedName name="F456Personnel">'Page 6'!$G$36</definedName>
    <definedName name="F460BudgFY">'Page 6'!$J$37</definedName>
    <definedName name="F460Personnel">'Page 6'!$G$37</definedName>
    <definedName name="F465499BudgFY">'Page 6'!$J$38</definedName>
    <definedName name="F465499Personnel">'Page 6'!$G$38</definedName>
    <definedName name="F500ActExp">#REF!</definedName>
    <definedName name="F500ActRev">#REF!</definedName>
    <definedName name="F500BegFunBal">#REF!</definedName>
    <definedName name="F500BudgExp">#REF!</definedName>
    <definedName name="F500BudgFY">'Page 6'!$T$8</definedName>
    <definedName name="F500CurrFY">'Page 6'!$S$8</definedName>
    <definedName name="F500Transf">#REF!</definedName>
    <definedName name="F510BudgFY">'Page 6'!$T$9</definedName>
    <definedName name="F510CurrFY">'Page 6'!$S$9</definedName>
    <definedName name="F515ActExp">#REF!</definedName>
    <definedName name="F515ActRev">#REF!</definedName>
    <definedName name="F515BegFunBal">#REF!</definedName>
    <definedName name="F515BudgExp">#REF!</definedName>
    <definedName name="F515BudgFY">'Page 6'!$T$10</definedName>
    <definedName name="F515CurrFY">'Page 6'!$S$10</definedName>
    <definedName name="F515Transf">#REF!</definedName>
    <definedName name="F520ActExp">#REF!</definedName>
    <definedName name="F520ActRev">#REF!</definedName>
    <definedName name="F520BegFunBal">#REF!</definedName>
    <definedName name="F520BudgExp">#REF!</definedName>
    <definedName name="F520BudgFY">'Page 6'!$T$11</definedName>
    <definedName name="F520CurrFY">'Page 6'!$S$11</definedName>
    <definedName name="F520Transf">#REF!</definedName>
    <definedName name="F525ActExp">#REF!</definedName>
    <definedName name="F525ActRev">#REF!</definedName>
    <definedName name="F525BegFunBal">#REF!</definedName>
    <definedName name="F525BudgExp">#REF!</definedName>
    <definedName name="F525BudgFY">'Page 6'!$T$12</definedName>
    <definedName name="F525CurrFY">'Page 6'!$S$12</definedName>
    <definedName name="F525Transf">#REF!</definedName>
    <definedName name="F526ActExp">#REF!</definedName>
    <definedName name="F526ActRev">#REF!</definedName>
    <definedName name="F526BegFunBal">#REF!</definedName>
    <definedName name="F526BudgExp">#REF!</definedName>
    <definedName name="F526BudgFY">'Page 6'!$T$13</definedName>
    <definedName name="F526CurrFY">'Page 6'!$S$13</definedName>
    <definedName name="F526Transf">#REF!</definedName>
    <definedName name="F530ActExp">#REF!</definedName>
    <definedName name="F530ActRev">#REF!</definedName>
    <definedName name="F530BegFunBal">#REF!</definedName>
    <definedName name="F530BudgExp">#REF!</definedName>
    <definedName name="F530BudgFY">'Page 6'!$T$14</definedName>
    <definedName name="F530CurrFY">'Page 6'!$S$14</definedName>
    <definedName name="F530Transf">#REF!</definedName>
    <definedName name="F535ActExp">#REF!</definedName>
    <definedName name="F535ActRev">#REF!</definedName>
    <definedName name="F535BegFunBal">#REF!</definedName>
    <definedName name="F535BudgExp">#REF!</definedName>
    <definedName name="F535BudgFY">'Page 6'!$T$15</definedName>
    <definedName name="F535CurrFY">'Page 6'!$S$15</definedName>
    <definedName name="F535Transf">#REF!</definedName>
    <definedName name="F540ActExp">#REF!</definedName>
    <definedName name="F540ActRev">#REF!</definedName>
    <definedName name="F540BegFunBal">#REF!</definedName>
    <definedName name="F540BudgExp">#REF!</definedName>
    <definedName name="F540BudgFY">'Page 6'!$T$16</definedName>
    <definedName name="F540CurrFY">'Page 6'!$S$16</definedName>
    <definedName name="F540Transf">#REF!</definedName>
    <definedName name="F545ActExp">#REF!</definedName>
    <definedName name="F545ActRev">#REF!</definedName>
    <definedName name="F545BegFunBal">#REF!</definedName>
    <definedName name="F545BudgExp">#REF!</definedName>
    <definedName name="F545BudgFY">'Page 6'!$T$17</definedName>
    <definedName name="F545CurrFY">'Page 6'!$S$17</definedName>
    <definedName name="F545Transf">#REF!</definedName>
    <definedName name="F550ActExp">#REF!</definedName>
    <definedName name="F550ActRev">#REF!</definedName>
    <definedName name="F550BegFunBal">#REF!</definedName>
    <definedName name="F550BudgExp">#REF!</definedName>
    <definedName name="F550BudgFY">'Page 6'!$T$18</definedName>
    <definedName name="F550CurrFY">'Page 6'!$S$18</definedName>
    <definedName name="F550Transf">#REF!</definedName>
    <definedName name="F555ActExp">#REF!</definedName>
    <definedName name="F555ActRev">#REF!</definedName>
    <definedName name="F555BegFunBal">#REF!</definedName>
    <definedName name="F555BudgExp">#REF!</definedName>
    <definedName name="F555BudgFY">'Page 6'!$T$19</definedName>
    <definedName name="F555CurrFY">'Page 6'!$S$19</definedName>
    <definedName name="F555Transf">#REF!</definedName>
    <definedName name="F565ActExp">#REF!</definedName>
    <definedName name="F565ActRev">#REF!</definedName>
    <definedName name="F565BegFunBal">#REF!</definedName>
    <definedName name="F565BudgExp">#REF!</definedName>
    <definedName name="F565BudgFY">'Page 6'!$T$20</definedName>
    <definedName name="F565CurrFY">'Page 6'!$S$20</definedName>
    <definedName name="F565Transf">#REF!</definedName>
    <definedName name="F570ActExp">#REF!</definedName>
    <definedName name="F570ActRev">#REF!</definedName>
    <definedName name="F570BegFunBal">#REF!</definedName>
    <definedName name="F570BudgExp">#REF!</definedName>
    <definedName name="F570BudgFY">'Page 6'!$T$21</definedName>
    <definedName name="F570CurrFY">'Page 6'!$S$21</definedName>
    <definedName name="F570Transf">#REF!</definedName>
    <definedName name="F575ActExp">#REF!</definedName>
    <definedName name="F575ActRev">#REF!</definedName>
    <definedName name="F575BegFunBal">#REF!</definedName>
    <definedName name="F575BudgExp">#REF!</definedName>
    <definedName name="F575BudgFY">'Page 6'!$T$22</definedName>
    <definedName name="F575CurrFY">'Page 6'!$S$22</definedName>
    <definedName name="F575Transf">#REF!</definedName>
    <definedName name="F580ActExp">#REF!</definedName>
    <definedName name="F580ActRev">#REF!</definedName>
    <definedName name="F580BegFunBal">#REF!</definedName>
    <definedName name="F580BudgExp">#REF!</definedName>
    <definedName name="F580BudgFY">'Page 6'!$T$23</definedName>
    <definedName name="F580CurrFY">'Page 6'!$S$23</definedName>
    <definedName name="F580Transf">#REF!</definedName>
    <definedName name="F585ActExp">#REF!</definedName>
    <definedName name="F585ActRev">#REF!</definedName>
    <definedName name="F585BegFunBal">#REF!</definedName>
    <definedName name="F585BudgExp">#REF!</definedName>
    <definedName name="F585BudgFY">'Page 6'!$T$24</definedName>
    <definedName name="F585CurrFY">'Page 6'!$S$24</definedName>
    <definedName name="F585Transf">#REF!</definedName>
    <definedName name="F590ActExp">#REF!</definedName>
    <definedName name="F590ActRev">#REF!</definedName>
    <definedName name="F590BegFunBal">#REF!</definedName>
    <definedName name="F590BudgExp">#REF!</definedName>
    <definedName name="F590BudgFY">'Page 6'!$T$25</definedName>
    <definedName name="F590CurrFY">'Page 6'!$S$25</definedName>
    <definedName name="F590Transf">#REF!</definedName>
    <definedName name="F595ActExp">#REF!</definedName>
    <definedName name="F595ActRev">#REF!</definedName>
    <definedName name="F595BegFunBal">#REF!</definedName>
    <definedName name="F595BudgExp">#REF!</definedName>
    <definedName name="F595BudgFY">'Page 6'!$T$26</definedName>
    <definedName name="F595CurrFY">'Page 6'!$S$26</definedName>
    <definedName name="F595Transf">#REF!</definedName>
    <definedName name="F596ActExp">#REF!</definedName>
    <definedName name="F596ActRev">#REF!</definedName>
    <definedName name="F596BegFunBal">#REF!</definedName>
    <definedName name="F596BudgExp">#REF!</definedName>
    <definedName name="F596BudgFY">'Page 6'!$T$27</definedName>
    <definedName name="F596CurrFY">'Page 6'!$S$27</definedName>
    <definedName name="F596Transf">#REF!</definedName>
    <definedName name="F597ActExp">#REF!</definedName>
    <definedName name="F597ActRev">#REF!</definedName>
    <definedName name="F597BegFunBal">#REF!</definedName>
    <definedName name="F597BudgExp">#REF!</definedName>
    <definedName name="F597BudgFY">'Page 6'!$T$28</definedName>
    <definedName name="F597CurrFY">'Page 6'!$S$28</definedName>
    <definedName name="F597Transf">#REF!</definedName>
    <definedName name="F610BegFunBal">#REF!</definedName>
    <definedName name="F610BudgFYNewConstruction">'Page 5'!$E$24</definedName>
    <definedName name="F610BudgFYO6150">'Page 5'!$E$10</definedName>
    <definedName name="F610BudgFYO6200">'Page 5'!$E$11</definedName>
    <definedName name="F610BudgFYO6450">'Page 5'!$E$12</definedName>
    <definedName name="F610BudgFYO6710">'Page 5'!$E$14</definedName>
    <definedName name="F610BudgFYO6720">'Page 5'!$E$15</definedName>
    <definedName name="F610BudgFYO6731">'Page 5'!$E$16</definedName>
    <definedName name="F610BudgFYO6734">'Page 5'!$E$17</definedName>
    <definedName name="F610BudgFYO6737">'Page 5'!$E$18</definedName>
    <definedName name="F610BudgFYO6831">'Page 5'!$E$19</definedName>
    <definedName name="F610BudgFYO6841">'Page 5'!$E$20</definedName>
    <definedName name="F610BudgFYOther">'Page 5'!$E$25</definedName>
    <definedName name="F610BudgFYRenovation">'Page 5'!$E$23</definedName>
    <definedName name="F610Carryforward">'Page 4'!$L$20</definedName>
    <definedName name="F610F1000">'Page 4'!$L$10</definedName>
    <definedName name="F610F21002200">'Page 4'!$L$12</definedName>
    <definedName name="F610F2300240025002900">'Page 4'!$L$13</definedName>
    <definedName name="F610F2600">'Page 4'!$L$14</definedName>
    <definedName name="F610F2700">'Page 4'!$L$15</definedName>
    <definedName name="F610F3000">'Page 4'!$L$16</definedName>
    <definedName name="F610F4000">'Page 4'!$L$17</definedName>
    <definedName name="F610F5000">'Page 4'!$L$18</definedName>
    <definedName name="F610O6731">'Page 4'!$B$34</definedName>
    <definedName name="F610O6734">'Page 4'!$B$35</definedName>
    <definedName name="F610O6737">'Page 4'!$B$36</definedName>
    <definedName name="F610OtherFinSources">#REF!</definedName>
    <definedName name="F610OtherFinUses">#REF!</definedName>
    <definedName name="F610Override">'Page 4'!$L$8</definedName>
    <definedName name="F610TotActExp">#REF!</definedName>
    <definedName name="F610TotalBudgFY">'Page 4'!$L$19</definedName>
    <definedName name="F610TotalCurrFY">'Page 4'!$K$19</definedName>
    <definedName name="F610TotBudgExp">#REF!</definedName>
    <definedName name="F610TotRev">#REF!</definedName>
    <definedName name="F610TransIn">#REF!</definedName>
    <definedName name="F620BegFunBal">#REF!</definedName>
    <definedName name="F620BudgExp">#REF!</definedName>
    <definedName name="F620BudgFYNewConstruction">'Page 5'!$K$24</definedName>
    <definedName name="F620BudgFYO6150">'Page 5'!$K$10</definedName>
    <definedName name="F620BudgFYO6200">'Page 5'!$K$11</definedName>
    <definedName name="F620BudgFYO6450">'Page 5'!$K$12</definedName>
    <definedName name="F620BudgFYO6710">'Page 5'!$K$14</definedName>
    <definedName name="F620BudgFYO6720">'Page 5'!$K$15</definedName>
    <definedName name="F620BudgFYO6731">'Page 5'!$K$16</definedName>
    <definedName name="F620BudgFYO6734">'Page 5'!$K$17</definedName>
    <definedName name="F620BudgFYO6737">'Page 5'!$K$18</definedName>
    <definedName name="F620BudgFYO6831">'Page 5'!$K$19</definedName>
    <definedName name="F620BudgFYO6841">'Page 5'!$K$20</definedName>
    <definedName name="F620BudgFYOther">'Page 5'!$K$25</definedName>
    <definedName name="F620BudgFYRenovation">'Page 5'!$K$23</definedName>
    <definedName name="F620OtherFinSources">#REF!</definedName>
    <definedName name="F620OtherFinUses">#REF!</definedName>
    <definedName name="F620TotalBudgFY">'Page 5'!$K$8</definedName>
    <definedName name="F620TotalCurrFY">'Page 5'!$J$8</definedName>
    <definedName name="F620TotExp">#REF!</definedName>
    <definedName name="F620TotRev">#REF!</definedName>
    <definedName name="F620TransfIn">#REF!</definedName>
    <definedName name="F630BegFunBal">#REF!</definedName>
    <definedName name="F630BondIssuance">#REF!</definedName>
    <definedName name="F630BudgFYNewConstruction">'Page 5'!$G$24</definedName>
    <definedName name="F630BudgFYO6150">'Page 5'!$G$10</definedName>
    <definedName name="F630BudgFYO6200">'Page 5'!$G$11</definedName>
    <definedName name="F630BudgFYO6450">'Page 5'!$G$12</definedName>
    <definedName name="F630BudgFYO6710">'Page 5'!$G$14</definedName>
    <definedName name="F630BudgFYO6720">'Page 5'!$G$15</definedName>
    <definedName name="F630BudgFYO6731">'Page 5'!$G$16</definedName>
    <definedName name="F630BudgFYO6734">'Page 5'!$G$17</definedName>
    <definedName name="F630BudgFYO6737">'Page 5'!$G$18</definedName>
    <definedName name="F630BudgFYO6831">'Page 5'!$G$19</definedName>
    <definedName name="F630BudgFYO6841">'Page 5'!$G$20</definedName>
    <definedName name="F630BudgFYOther">'Page 5'!$G$25</definedName>
    <definedName name="F630BudgFYRenovation">'Page 5'!$G$23</definedName>
    <definedName name="F630OtherFinSources">#REF!</definedName>
    <definedName name="F630OtherFinUses">#REF!</definedName>
    <definedName name="F630TotalBudgFY">'Page 5'!$G$8</definedName>
    <definedName name="F630TotalCurrFY">'Page 5'!$F$8</definedName>
    <definedName name="F630TotExp">#REF!</definedName>
    <definedName name="F630TotRev">#REF!</definedName>
    <definedName name="F630TransIn">#REF!</definedName>
    <definedName name="F639ActExp">#REF!</definedName>
    <definedName name="F639ActRev">#REF!</definedName>
    <definedName name="F639BegFunBal">#REF!</definedName>
    <definedName name="F639BudgExp">#REF!</definedName>
    <definedName name="F639BudgFY">'Page 6'!$T$29</definedName>
    <definedName name="F639CurrFY">'Page 6'!$S$29</definedName>
    <definedName name="F639Transf">#REF!</definedName>
    <definedName name="F650ActExp">#REF!</definedName>
    <definedName name="F650ActRev">#REF!</definedName>
    <definedName name="F650BegFunBal">#REF!</definedName>
    <definedName name="F650BudgExp">#REF!</definedName>
    <definedName name="F650BudgFY">'Page 6'!$T$30</definedName>
    <definedName name="F650CurrFY">'Page 6'!$S$30</definedName>
    <definedName name="F650Transf">#REF!</definedName>
    <definedName name="F660ActExp">#REF!</definedName>
    <definedName name="F660ActRev">#REF!</definedName>
    <definedName name="F660BegFunBal">#REF!</definedName>
    <definedName name="F660BudgExp">#REF!</definedName>
    <definedName name="F660BudgFY">'Page 6'!$T$31</definedName>
    <definedName name="F660CurrFY">'Page 6'!$S$31</definedName>
    <definedName name="F660Transf">#REF!</definedName>
    <definedName name="F665ActExp">#REF!</definedName>
    <definedName name="F665ActRev">#REF!</definedName>
    <definedName name="F665BegFunBal">#REF!</definedName>
    <definedName name="F665BudgExp">#REF!</definedName>
    <definedName name="F665BudgFY">'Page 6'!$T$32</definedName>
    <definedName name="F665CurrFY">'Page 6'!$S$32</definedName>
    <definedName name="F665Transf">#REF!</definedName>
    <definedName name="F686ActExp">#REF!</definedName>
    <definedName name="F686ActRev">#REF!</definedName>
    <definedName name="F686BegFunBal">#REF!</definedName>
    <definedName name="F686BudgExp">#REF!</definedName>
    <definedName name="F686BudgFY">'Page 6'!$T$33</definedName>
    <definedName name="F686CurrFY">'Page 6'!$S$33</definedName>
    <definedName name="F686Transf">#REF!</definedName>
    <definedName name="F691ActExp">#REF!</definedName>
    <definedName name="F691ActRev">#REF!</definedName>
    <definedName name="F691BegFunBal">#REF!</definedName>
    <definedName name="F691BudgExp">#REF!</definedName>
    <definedName name="F691BudgFY">'Page 6'!$T$34</definedName>
    <definedName name="F691CurrFY">'Page 6'!$S$34</definedName>
    <definedName name="F691Transf">#REF!</definedName>
    <definedName name="F695ActExp">#REF!</definedName>
    <definedName name="F695ActRev">#REF!</definedName>
    <definedName name="F695BegFunBal">#REF!</definedName>
    <definedName name="F695BudgExp">#REF!</definedName>
    <definedName name="F695BudgFYNewConstruction">'Page 5'!$I$24</definedName>
    <definedName name="F695BudgFYO6150">'Page 5'!$I$10</definedName>
    <definedName name="F695BudgFYO6200">'Page 5'!$I$11</definedName>
    <definedName name="F695BudgFYO6450">'Page 5'!$I$12</definedName>
    <definedName name="F695BudgFYO6710">'Page 5'!$I$14</definedName>
    <definedName name="F695BudgFYO6720">'Page 5'!$I$15</definedName>
    <definedName name="F695BudgFYO6731">'Page 5'!$I$16</definedName>
    <definedName name="F695BudgFYO6734">'Page 5'!$I$17</definedName>
    <definedName name="F695BudgFYO6737">'Page 5'!$I$18</definedName>
    <definedName name="F695BudgFYO6831">'Page 5'!$I$19</definedName>
    <definedName name="F695BudgFYO6841">'Page 5'!$I$20</definedName>
    <definedName name="F695BudgFYOther">'Page 5'!$I$25</definedName>
    <definedName name="F695TotalBudgFY">'Page 5'!$I$8</definedName>
    <definedName name="F695TotalCurrFY">'Page 5'!$H$8</definedName>
    <definedName name="F699BudgFY">'Page 6'!$J$26</definedName>
    <definedName name="F699Personnel">'Page 6'!$G$26</definedName>
    <definedName name="F700BegFunBal">#REF!</definedName>
    <definedName name="F700BondIssuance">#REF!</definedName>
    <definedName name="F700BudgFY">'Page 6'!$T$35</definedName>
    <definedName name="F700CurrFY">'Page 6'!$S$35</definedName>
    <definedName name="F700OtherFinSources">#REF!</definedName>
    <definedName name="F700OtherFinUses">#REF!</definedName>
    <definedName name="F700TotExp">#REF!</definedName>
    <definedName name="F700TotRev">#REF!</definedName>
    <definedName name="F700TransIn">#REF!</definedName>
    <definedName name="F720ActExp">#REF!</definedName>
    <definedName name="F720ActRev">#REF!</definedName>
    <definedName name="F720BegFunBal">#REF!</definedName>
    <definedName name="F720BudgExp">#REF!</definedName>
    <definedName name="F720BudgFY">'Page 6'!$T$36</definedName>
    <definedName name="F720CurrFY">'Page 6'!$S$36</definedName>
    <definedName name="F720Transf">#REF!</definedName>
    <definedName name="F750ActExp">#REF!</definedName>
    <definedName name="F750ActRev">#REF!</definedName>
    <definedName name="F750BegFunBal">#REF!</definedName>
    <definedName name="F750BudgExp">#REF!</definedName>
    <definedName name="F750Transf">#REF!</definedName>
    <definedName name="F800_849ActExp">#REF!</definedName>
    <definedName name="F800_849ActRev">#REF!</definedName>
    <definedName name="F800_849BegFunBal">#REF!</definedName>
    <definedName name="F800_849BudgExp">#REF!</definedName>
    <definedName name="F800_849Transf">#REF!</definedName>
    <definedName name="F850ActExp">#REF!</definedName>
    <definedName name="F850ActRev">#REF!</definedName>
    <definedName name="F850BegFunBal">#REF!</definedName>
    <definedName name="F850BudgExp">#REF!</definedName>
    <definedName name="F850BudgFY">'Page 6'!$T$37</definedName>
    <definedName name="F850CurrFY">'Page 6'!$S$37</definedName>
    <definedName name="F850Transf">#REF!</definedName>
    <definedName name="F855ActExp">#REF!</definedName>
    <definedName name="F855ActRev">#REF!</definedName>
    <definedName name="F855BegFunBal">#REF!</definedName>
    <definedName name="F855BudgExp">#REF!</definedName>
    <definedName name="F855Transf">#REF!</definedName>
    <definedName name="F865ActExp">#REF!</definedName>
    <definedName name="F865ActRev">#REF!</definedName>
    <definedName name="F865BegFunBal">#REF!</definedName>
    <definedName name="F865BudgExp">#REF!</definedName>
    <definedName name="F865Transf">#REF!</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00_949ActExp">#REF!</definedName>
    <definedName name="F900_949ActRev">#REF!</definedName>
    <definedName name="F900_949BegFunBal">#REF!</definedName>
    <definedName name="F900_949BudgExp">#REF!</definedName>
    <definedName name="F900_949Transf">#REF!</definedName>
    <definedName name="F955ActExp">#REF!</definedName>
    <definedName name="F955ActRev">#REF!</definedName>
    <definedName name="F955BegFunBal">#REF!</definedName>
    <definedName name="F955BudgExp">#REF!</definedName>
    <definedName name="F955BudgFY">'Page 6'!$T$41</definedName>
    <definedName name="F955CurrFY">'Page 6'!$S$41</definedName>
    <definedName name="F955Transf">#REF!</definedName>
    <definedName name="FedProjActRev">#REF!</definedName>
    <definedName name="FedProjBegFunBal">#REF!</definedName>
    <definedName name="FedProjTotActExp">#REF!</definedName>
    <definedName name="FedProjTotBudgExp">#REF!</definedName>
    <definedName name="FedProjTransf">#REF!</definedName>
    <definedName name="FiscalYear" localSheetId="0">Cover!$E$3</definedName>
    <definedName name="FundBalA1">Instructions!$C$106</definedName>
    <definedName name="FundBalA2a">Instructions!$C$107</definedName>
    <definedName name="FundBalA2b">Instructions!$C$108</definedName>
    <definedName name="FundBalA3a">Instructions!$C$109</definedName>
    <definedName name="FundBalA3b">Instructions!$C$110</definedName>
    <definedName name="FundBalA3c">Instructions!$C$111</definedName>
    <definedName name="FundBalA3d">Instructions!$C$112</definedName>
    <definedName name="FundBalA3e">Instructions!$C$113</definedName>
    <definedName name="FundBalA4a">Instructions!$C$114</definedName>
    <definedName name="FundBalA4b">Instructions!$C$115</definedName>
    <definedName name="FundBalA4c">Instructions!$C$116</definedName>
    <definedName name="FundBalA4d">Instructions!$C$117</definedName>
    <definedName name="FundBalB1">Instructions!#REF!</definedName>
    <definedName name="FundBalB2">Instructions!#REF!</definedName>
    <definedName name="FundBalB3">Instructions!#REF!</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7'!$J$54</definedName>
    <definedName name="GBLBudgFYSumm">'Summary Page 1'!$D$22</definedName>
    <definedName name="GPLETV">'Data Entry'!$L$97</definedName>
    <definedName name="HSCountDORtoDOA">'Data Entry'!$L$139</definedName>
    <definedName name="IEPTransportCosts">'Page 2'!$G$19</definedName>
    <definedName name="Incr200Days">'Data Entry'!$E$61</definedName>
    <definedName name="IncreaseTuitionLossAdj">Calculations!$R$214</definedName>
    <definedName name="IncrTeachComp">'Data Entry'!$E$63</definedName>
    <definedName name="IncrTransEWStoMO">'Page 7'!$J$48</definedName>
    <definedName name="ISFOthActExp">#REF!</definedName>
    <definedName name="ISFOthActRev">#REF!</definedName>
    <definedName name="ISFOthBegFunBal">#REF!</definedName>
    <definedName name="ISFOthBudgExp">#REF!</definedName>
    <definedName name="ISFOthTransf">#REF!</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Instructions!$C$24</definedName>
    <definedName name="NonAOIGrBAddOnWgtdADM">'BSA55'!$G$35</definedName>
    <definedName name="NonAOIRegEdWgtdADM">'BSA55'!$G$12</definedName>
    <definedName name="NonAOIStudCnt912CY">'Data Entry'!$I$31</definedName>
    <definedName name="NonAOIStudCntDD.ED.MIID.SLD.SLI.OHI">'Data Entry'!$G$50</definedName>
    <definedName name="NonAOIStudCntEDP">'Data Entry'!$G$51</definedName>
    <definedName name="NonAOIStudCntELL">'Data Entry'!$G$40</definedName>
    <definedName name="NonAOIStudCntFRPL">'Data Entry'!$G$54</definedName>
    <definedName name="NonAOIStudCntG">'Data Entry'!$G$55</definedName>
    <definedName name="NonAOIStudCntHI">'Data Entry'!$G$43</definedName>
    <definedName name="NonAOIStudCntK3">'Data Entry'!$G$41</definedName>
    <definedName name="NonAOIStudCntK3R">'Data Entry'!$G$42</definedName>
    <definedName name="NonAOIStudCntK8CY">'Data Entry'!$H$31</definedName>
    <definedName name="NonAOIStudCntMDR.AR.SIDR">'Data Entry'!$G$44</definedName>
    <definedName name="NonAOIStudCntMDRARSIDR">'Data Entry'!$G$44</definedName>
    <definedName name="NonAOIStudCntMDSC.ASC.SIDSC">'Data Entry'!$G$45</definedName>
    <definedName name="NonAOIStudCntMDSCASCSIDSC">'Data Entry'!$G$45</definedName>
    <definedName name="NonAOIStudCntMDSDASCSIDSC">'Data Entry'!$G$44</definedName>
    <definedName name="NonAOIStudCntMDSSI">'Data Entry'!$G$46</definedName>
    <definedName name="NonAOIStudCntMOID">'Data Entry'!$G$52</definedName>
    <definedName name="NonAOIStudCntOIR">'Data Entry'!$G$47</definedName>
    <definedName name="NonAOIStudCntOISC">'Data Entry'!$G$48</definedName>
    <definedName name="NonAOIStudCntP.SD">'Data Entry'!$G$49</definedName>
    <definedName name="NonAOIStudCntPSD">'Data Entry'!$G$49</definedName>
    <definedName name="NonAOIStudCntPSDCY">'Data Entry'!$G$31</definedName>
    <definedName name="NonAOIStudCntVI">'Data Entry'!$G$53</definedName>
    <definedName name="NonFedAuditExp">'Data Entry'!$L$67</definedName>
    <definedName name="OPEBActExp">#REF!</definedName>
    <definedName name="OPEBActRev">#REF!</definedName>
    <definedName name="OPEBBegFunBal">#REF!</definedName>
    <definedName name="OPEBBudgExp">#REF!</definedName>
    <definedName name="OPEBTransf">#REF!</definedName>
    <definedName name="OthActExp">#REF!</definedName>
    <definedName name="OthActRev">#REF!</definedName>
    <definedName name="OthBegFunBal">#REF!</definedName>
    <definedName name="OthBudgExp">#REF!</definedName>
    <definedName name="OtherFundsBudgFY">'Page 6'!$T$38</definedName>
    <definedName name="OtherFundsCurrFY">'Page 6'!$S$38</definedName>
    <definedName name="OthTransf">#REF!</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1Line30">Instructions!$C$18</definedName>
    <definedName name="Page1Line32">Instructions!$C$20</definedName>
    <definedName name="Page2">'Page 2'!$A$3:$T$48</definedName>
    <definedName name="Page2l45">Instructions!$C$22</definedName>
    <definedName name="Page2n1">Instructions!$C$21</definedName>
    <definedName name="Page2n2">#REF!</definedName>
    <definedName name="Page2n4">Instructions!$C$24</definedName>
    <definedName name="Page3">'Page 4'!$A$1:$P$41</definedName>
    <definedName name="Page3Gen">Instructions!$C$25</definedName>
    <definedName name="Page3l9">Instructions!$C$27</definedName>
    <definedName name="Page3Line10">Instructions!$C$28</definedName>
    <definedName name="Page3Line12">Instructions!$C$29</definedName>
    <definedName name="Page3Line14">Instructions!$C$30</definedName>
    <definedName name="Page3Line15">Instructions!$C$31</definedName>
    <definedName name="Page3Line16">Instructions!$C$33</definedName>
    <definedName name="Page3Line4">Instructions!$C$26</definedName>
    <definedName name="Page3Line9">Instructions!$C$28</definedName>
    <definedName name="Page4f5">Instructions!$C$36</definedName>
    <definedName name="Page4L11">Instructions!$C$34</definedName>
    <definedName name="Page4L12">Instructions!$C$35</definedName>
    <definedName name="Page5">'Page 6'!$A$1:$U$40</definedName>
    <definedName name="Page5SelectExp">Instructions!$C$37</definedName>
    <definedName name="Page6">'Page 7'!$A$1:$M$68</definedName>
    <definedName name="Page6F456">Instructions!$C$41</definedName>
    <definedName name="Page6l16">Instructions!$C$39</definedName>
    <definedName name="Page6l17">Instructions!$C$40</definedName>
    <definedName name="Page6l2">Instructions!$C$51</definedName>
    <definedName name="Page6l24">Instructions!$C$46</definedName>
    <definedName name="Page6l28">Instructions!$C$42</definedName>
    <definedName name="Page6l29">Instructions!$C$47</definedName>
    <definedName name="Page6l2and3">Instructions!$C$44</definedName>
    <definedName name="Page6l30">Instructions!$C$48</definedName>
    <definedName name="Page6l31">Instructions!$C$43</definedName>
    <definedName name="Page6l33">Instructions!$C$49</definedName>
    <definedName name="Page6l34">Instructions!$C$50</definedName>
    <definedName name="Page6l4">Instructions!$C$45</definedName>
    <definedName name="Page7" localSheetId="8">'Page 8'!$A$1:$K$36</definedName>
    <definedName name="Page7Gen">Instructions!$C$52</definedName>
    <definedName name="Page7l1">Instructions!$C$53</definedName>
    <definedName name="Page7l10">Instructions!#REF!</definedName>
    <definedName name="Page7l11">#REF!</definedName>
    <definedName name="Page7l2athroughb">Instructions!$C$54</definedName>
    <definedName name="Page7l2b">Instructions!$C$55</definedName>
    <definedName name="Page7l3">Instructions!$C$56</definedName>
    <definedName name="Page7l3a">Instructions!$C$58</definedName>
    <definedName name="Page7l3b">Instructions!$C$60</definedName>
    <definedName name="Page7l3c">Instructions!$C$61</definedName>
    <definedName name="Page7l4">Instructions!$C$63</definedName>
    <definedName name="Page7l5">Instructions!$C$65</definedName>
    <definedName name="Page7l5d">Instructions!$C$66</definedName>
    <definedName name="Page7l6">Instructions!$C$68</definedName>
    <definedName name="Page7l7">Instructions!$C$70</definedName>
    <definedName name="Page7l8a">Instructions!$C$71</definedName>
    <definedName name="Page7l8b">Instructions!$C$72</definedName>
    <definedName name="Page7l8c">Instructions!$C$73</definedName>
    <definedName name="Page7l8d">Instructions!$C$74</definedName>
    <definedName name="Page7l8e">Instructions!$C$75</definedName>
    <definedName name="Page7l8f">Instructions!$C$76</definedName>
    <definedName name="Page7l8g">Instructions!$C$77</definedName>
    <definedName name="Page7l8h">Instructions!$C$79</definedName>
    <definedName name="Page7l9">Instructions!$C$80</definedName>
    <definedName name="Page8lA10">Instructions!$C$89</definedName>
    <definedName name="Page8lA2">Instructions!$C$81</definedName>
    <definedName name="Page8lA3">Instructions!$C$83</definedName>
    <definedName name="Page8lA6">Instructions!$C$85</definedName>
    <definedName name="Page8lA8">Instructions!$C$86</definedName>
    <definedName name="Page8lA9">Instructions!$C$87</definedName>
    <definedName name="PAV">'Data Entry'!$L$94</definedName>
    <definedName name="PercentageIncrease">Cover!$S$34</definedName>
    <definedName name="PercentageIncreaseSumm">'Summary Page 1'!$I$13</definedName>
    <definedName name="PerfPay">'Page 2'!$R$13</definedName>
    <definedName name="PerfPayCrryfwd">'Page 7'!$J$41</definedName>
    <definedName name="PlannedCarryforward">Instructions!$C$19</definedName>
    <definedName name="PreAdjDAA">'BSA55'!$M$132</definedName>
    <definedName name="PremFYTRCL">'BSA55'!$E$103</definedName>
    <definedName name="PrimaryTaxRate">#REF!</definedName>
    <definedName name="PrimTaxRateCurrFY">Cover!$N$13</definedName>
    <definedName name="PrimTaxRatePYSumm">'Summary Page 1'!$C$16</definedName>
    <definedName name="_xlnm.Print_Area" localSheetId="16">'BSA55'!$A$1:$M$168</definedName>
    <definedName name="_xlnm.Print_Area" localSheetId="15">Calculations!$A$1:$S$241</definedName>
    <definedName name="_xlnm.Print_Area" localSheetId="14">'Data Entry'!$A$1:$M$147</definedName>
    <definedName name="_xlnm.Print_Area" localSheetId="13">'Fund balances'!$A$1:$L$31</definedName>
    <definedName name="_xlnm.Print_Area" localSheetId="17">Instructions!$A$1:$D$180</definedName>
    <definedName name="_xlnm.Print_Area" localSheetId="1">'Page 1'!$A$1:$N$46</definedName>
    <definedName name="_xlnm.Print_Area" localSheetId="2">'Page 2'!$A$1:$S$30</definedName>
    <definedName name="_xlnm.Print_Area" localSheetId="3">'Page 3'!$A$1:$O$45</definedName>
    <definedName name="_xlnm.Print_Area" localSheetId="4">'Page 4'!$A$1:$N$42</definedName>
    <definedName name="_xlnm.Print_Area" localSheetId="5">'Page 5'!$A$1:$N$30</definedName>
    <definedName name="_xlnm.Print_Area" localSheetId="6">'Page 6'!$A$1:$U$47</definedName>
    <definedName name="_xlnm.Print_Area" localSheetId="7">'Page 7'!$A$1:$M$61</definedName>
    <definedName name="_xlnm.Print_Area" localSheetId="8">'Page 8'!$A$1:$K$38</definedName>
    <definedName name="_xlnm.Print_Area" localSheetId="10">'Summary Page 1'!$A$1:$I$61</definedName>
    <definedName name="_xlnm.Print_Area" localSheetId="11">'Summary Page 2'!$A$1:$J$51</definedName>
    <definedName name="_xlnm.Print_Area" localSheetId="9">Supplement!$A$1:$O$31</definedName>
    <definedName name="_xlnm.Print_Area" localSheetId="12">'Truth in Tax'!$A$1:$M$51</definedName>
    <definedName name="_xlnm.Print_Titles" localSheetId="16">'BSA55'!$1:$2</definedName>
    <definedName name="_xlnm.Print_Titles" localSheetId="15">Calculations!$1:$4</definedName>
    <definedName name="_xlnm.Print_Titles" localSheetId="14">'Data Entry'!$1:$3</definedName>
    <definedName name="_xlnm.Print_Titles" localSheetId="17">Instructions!$1:$1</definedName>
    <definedName name="PriorFiscalYear">Cover!$V$39</definedName>
    <definedName name="PriorYearADM">'Summary Page 1'!$C$12</definedName>
    <definedName name="PriorYearSalary" localSheetId="13">#REF!</definedName>
    <definedName name="PriorYearSalary">Cover!$S$32</definedName>
    <definedName name="PriorYearSalarySumm">'Summary Page 1'!$I$11</definedName>
    <definedName name="PY100DayADM">'Data Entry'!$J$28</definedName>
    <definedName name="PYActExpend">'Data Entry'!$C$102</definedName>
    <definedName name="PYADM">'Data Entry'!$C$29</definedName>
    <definedName name="PYEndMOCash">'Data Entry'!$L$144</definedName>
    <definedName name="PYIAEndCash">'Data Entry'!$L$115</definedName>
    <definedName name="PYTotMOActExpend">'Data Entry'!$L$101</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Entry'!$L$86</definedName>
    <definedName name="SalaryComments">Cover!$K$35</definedName>
    <definedName name="SalaryCommentsSumm">'Summary Page 1'!$E$15</definedName>
    <definedName name="SalaryIncrease">Cover!$S$33</definedName>
    <definedName name="SalaryIncreaseSumm">'Summary Page 1'!$I$12</definedName>
    <definedName name="SecondaryTaxRate">#REF!</definedName>
    <definedName name="SecTaxRateBudgFYSumm">'Summary Page 1'!$D$19</definedName>
    <definedName name="SecTaxRatePYSumm">'Summary Page 1'!$C$19</definedName>
    <definedName name="SIActExp">#REF!</definedName>
    <definedName name="SIActRev">#REF!</definedName>
    <definedName name="SIBegFunBal">#REF!</definedName>
    <definedName name="SIBudgExp">#REF!</definedName>
    <definedName name="SITransf">#REF!</definedName>
    <definedName name="SmallIsolated912Checkbox">'Data Entry'!$D$59</definedName>
    <definedName name="SmallIsolatedPSD8Checkbox">'Data Entry'!$C$59</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VocTechEdBudgFY">'Page 2'!$G$12</definedName>
    <definedName name="SPEDVocTechEdCurrFY">'Page 2'!$F$12</definedName>
    <definedName name="SRPV">'Data Entry'!$L$96</definedName>
    <definedName name="SSA_MO">'Page 7'!$J$23</definedName>
    <definedName name="SSA_UCO">'Page 7'!$M$23</definedName>
    <definedName name="SSAFYExceeded">'Data Entry'!$L$121</definedName>
    <definedName name="SSAOriginalBudget">'Truth in Tax'!$G$22</definedName>
    <definedName name="SSAPDRCL10">'Data Entry'!$L$122</definedName>
    <definedName name="SSAPhaseDownCheckbox">'Data Entry'!$C$118</definedName>
    <definedName name="StateProjActRev">#REF!</definedName>
    <definedName name="StateProjBegFunBal">#REF!</definedName>
    <definedName name="StateProjOFSOFU">#REF!</definedName>
    <definedName name="StateProjTotActExp">#REF!</definedName>
    <definedName name="StateProjTotBudgExp">#REF!</definedName>
    <definedName name="StateSupportLevelRouteMile1">'Data Entry'!$J$8</definedName>
    <definedName name="StateSupportLevelRouteMile2">'Data Entry'!$J$9</definedName>
    <definedName name="SumDebtServiceBY">'Summary Page 2'!$D$16</definedName>
    <definedName name="Summ_Page1_StudentCount">Instructions!$C$97</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1">'Summary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Instructions!$C$92</definedName>
    <definedName name="Suppl_P.1_2" localSheetId="9">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Instructions!$C$9</definedName>
    <definedName name="TeacherCompCheckbox">'Data Entry'!$C$61</definedName>
    <definedName name="TeacherSalaryIncrease">'Page 2'!$R$34</definedName>
    <definedName name="TEI">'Data Entry'!$L$66</definedName>
    <definedName name="TNTWSl12">Instructions!$C$104</definedName>
    <definedName name="TotalAOIFTStudCntCY">'Data Entry'!$J$32</definedName>
    <definedName name="TotalAOIPTStudCntCY">'Data Entry'!$J$33</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Entry'!$J$31</definedName>
    <definedName name="TotalPercentageIncrease">Cover!$S$41</definedName>
    <definedName name="TotAmtCapExped">'Page 7'!$M$56</definedName>
    <definedName name="TotCurrExpFed">#REF!</definedName>
    <definedName name="TotExpNPEFS">#REF!</definedName>
    <definedName name="TotFedProjFundBudgFY">'Page 6'!$J$27</definedName>
    <definedName name="TotFedProjFundCurrFY">'Page 6'!$I$27</definedName>
    <definedName name="TotMOSpEdExp">#REF!</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6">'BSA55'!$E$97</definedName>
    <definedName name="TruthinTax">Instructions!$C$98</definedName>
    <definedName name="TruthInTaxBaseLmt">'Truth in Tax'!$I$16</definedName>
    <definedName name="TruthinTaxl1">Instructions!$C$101</definedName>
    <definedName name="TruthinTaxl2">Instructions!$C$102</definedName>
    <definedName name="TruthinTaxl8a">Instructions!$C$103</definedName>
    <definedName name="TSL">'BSA55'!$E$93</definedName>
    <definedName name="TSLBudgPY" localSheetId="16">'BSA55'!$C$100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1'!$B$24</definedName>
    <definedName name="UCOFundK3ReadExp">'Page 4'!$K$32</definedName>
    <definedName name="UCOFundType">Instructions!$C$122</definedName>
    <definedName name="UnweightedStudCnt912CY">'Data Entry'!$I$34</definedName>
    <definedName name="UnweightedStudCnt912PY">'Data Entry'!$I$29</definedName>
    <definedName name="UnweightedStudCntK8CY">'Data Entry'!$H$34</definedName>
    <definedName name="UnweightedStudCntK8PY">'Data Entry'!$H$29</definedName>
    <definedName name="UnweightedStudCntPSDCY">'Data Entry'!$G$34</definedName>
    <definedName name="UnweightedStudCntPSDPY">'Data Entry'!$G$29</definedName>
    <definedName name="Version">Cover!$C$8</definedName>
    <definedName name="WebsiteLink">Instructions!$C$8</definedName>
    <definedName name="Z_0F9ECBDE_145C_4D55_87B4_D9130808EEB8_.wvu.PrintArea" localSheetId="0" hidden="1">Cover!$A$1:$Q$39</definedName>
    <definedName name="Z_0F9ECBDE_145C_4D55_87B4_D9130808EEB8_.wvu.PrintArea" localSheetId="1" hidden="1">'Page 1'!$A$1:$N$45</definedName>
    <definedName name="Z_0F9ECBDE_145C_4D55_87B4_D9130808EEB8_.wvu.PrintArea" localSheetId="2" hidden="1">'Page 2'!$A$1:$T$49</definedName>
    <definedName name="Z_0F9ECBDE_145C_4D55_87B4_D9130808EEB8_.wvu.PrintArea" localSheetId="3" hidden="1">'Page 3'!$A$1:$S$2</definedName>
    <definedName name="Z_0F9ECBDE_145C_4D55_87B4_D9130808EEB8_.wvu.PrintArea" localSheetId="4" hidden="1">'Page 4'!$A$1:$O$40</definedName>
    <definedName name="Z_0F9ECBDE_145C_4D55_87B4_D9130808EEB8_.wvu.PrintArea" localSheetId="6" hidden="1">'Page 6'!$A$1:$U$44</definedName>
    <definedName name="Z_0F9ECBDE_145C_4D55_87B4_D9130808EEB8_.wvu.PrintArea" localSheetId="7" hidden="1">'Page 7'!$A$1:$M$71</definedName>
    <definedName name="Z_0F9ECBDE_145C_4D55_87B4_D9130808EEB8_.wvu.PrintArea" localSheetId="8" hidden="1">'Page 8'!$A$1:$K$36</definedName>
    <definedName name="Z_0F9ECBDE_145C_4D55_87B4_D9130808EEB8_.wvu.PrintArea" localSheetId="10" hidden="1">'Summary Page 1'!$A$1:$I$61</definedName>
    <definedName name="Z_0F9ECBDE_145C_4D55_87B4_D9130808EEB8_.wvu.PrintArea" localSheetId="11" hidden="1">'Summary Page 2'!$A$1:$J$51</definedName>
    <definedName name="Z_0F9ECBDE_145C_4D55_87B4_D9130808EEB8_.wvu.PrintArea" localSheetId="9" hidden="1">Supplement!$A$1:$O$18</definedName>
    <definedName name="Z_0F9ECBDE_145C_4D55_87B4_D9130808EEB8_.wvu.PrintArea" localSheetId="12" hidden="1">'Truth in Tax'!$A$1:$M$49</definedName>
    <definedName name="Z_903F8610_9018_4A51_AB82_3BFF7D9F8301_.wvu.PrintArea" localSheetId="0" hidden="1">Cover!$A$1:$Q$39</definedName>
    <definedName name="Z_903F8610_9018_4A51_AB82_3BFF7D9F8301_.wvu.PrintArea" localSheetId="1" hidden="1">'Page 1'!$A$1:$N$45</definedName>
    <definedName name="Z_903F8610_9018_4A51_AB82_3BFF7D9F8301_.wvu.PrintArea" localSheetId="2" hidden="1">'Page 2'!$A$1:$T$49</definedName>
    <definedName name="Z_903F8610_9018_4A51_AB82_3BFF7D9F8301_.wvu.PrintArea" localSheetId="3" hidden="1">'Page 3'!$A$1:$S$2</definedName>
    <definedName name="Z_903F8610_9018_4A51_AB82_3BFF7D9F8301_.wvu.PrintArea" localSheetId="4" hidden="1">'Page 4'!$A$1:$O$40</definedName>
    <definedName name="Z_903F8610_9018_4A51_AB82_3BFF7D9F8301_.wvu.PrintArea" localSheetId="6" hidden="1">'Page 6'!$A$1:$U$44</definedName>
    <definedName name="Z_903F8610_9018_4A51_AB82_3BFF7D9F8301_.wvu.PrintArea" localSheetId="7" hidden="1">'Page 7'!$A$1:$M$71</definedName>
    <definedName name="Z_903F8610_9018_4A51_AB82_3BFF7D9F8301_.wvu.PrintArea" localSheetId="8" hidden="1">'Page 8'!$A$1:$K$36</definedName>
    <definedName name="Z_903F8610_9018_4A51_AB82_3BFF7D9F8301_.wvu.PrintArea" localSheetId="10" hidden="1">'Summary Page 1'!$A$1:$I$61</definedName>
    <definedName name="Z_903F8610_9018_4A51_AB82_3BFF7D9F8301_.wvu.PrintArea" localSheetId="11" hidden="1">'Summary Page 2'!$A$1:$J$51</definedName>
    <definedName name="Z_903F8610_9018_4A51_AB82_3BFF7D9F8301_.wvu.PrintArea" localSheetId="9" hidden="1">Supplement!$A$1:$O$18</definedName>
    <definedName name="Z_903F8610_9018_4A51_AB82_3BFF7D9F8301_.wvu.PrintArea" localSheetId="12" hidden="1">'Truth in Tax'!$A$1:$M$49</definedName>
  </definedNames>
  <calcPr calcId="191028" fullPrecision="0"/>
  <customWorkbookViews>
    <customWorkbookView name="ccable - Personal View" guid="{0F9ECBDE-145C-4D55-87B4-D9130808EEB8}" mergeInterval="0" personalView="1" maximized="1" xWindow="240" yWindow="120" windowWidth="1020" windowHeight="591" tabRatio="915" activeSheetId="9"/>
    <customWorkbookView name="awinn - Personal View" guid="{903F8610-9018-4A51-AB82-3BFF7D9F8301}" mergeInterval="0" personalView="1" maximized="1" xWindow="240" yWindow="120" windowWidth="1020" windowHeight="596" tabRatio="915"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8" i="7" l="1"/>
  <c r="I44" i="7"/>
  <c r="I45" i="7"/>
  <c r="I46" i="7"/>
  <c r="I47" i="7"/>
  <c r="I43" i="7"/>
  <c r="I25" i="7" l="1"/>
  <c r="I38" i="7"/>
  <c r="L100" i="28" l="1"/>
  <c r="L99" i="28"/>
  <c r="K41" i="2" l="1"/>
  <c r="K35" i="2"/>
  <c r="K30" i="2"/>
  <c r="K27" i="2"/>
  <c r="K26" i="2"/>
  <c r="K24" i="2"/>
  <c r="K19" i="2"/>
  <c r="L41" i="2"/>
  <c r="L40" i="2"/>
  <c r="K40" i="2"/>
  <c r="L38" i="2"/>
  <c r="K38" i="2"/>
  <c r="L37" i="2"/>
  <c r="K37" i="2"/>
  <c r="J37" i="2"/>
  <c r="I37" i="2"/>
  <c r="H37" i="2"/>
  <c r="G37" i="2"/>
  <c r="F37" i="2"/>
  <c r="E37" i="2"/>
  <c r="L35" i="2"/>
  <c r="J34" i="2"/>
  <c r="I34" i="2"/>
  <c r="H34" i="2"/>
  <c r="G34" i="2"/>
  <c r="F34" i="2"/>
  <c r="E34" i="2"/>
  <c r="L33" i="2"/>
  <c r="K33" i="2"/>
  <c r="L32" i="2"/>
  <c r="K32" i="2"/>
  <c r="L31" i="2"/>
  <c r="K31" i="2"/>
  <c r="L30" i="2"/>
  <c r="L29" i="2"/>
  <c r="K29" i="2"/>
  <c r="L28" i="2"/>
  <c r="K28" i="2"/>
  <c r="L27" i="2"/>
  <c r="L26" i="2"/>
  <c r="L24" i="2"/>
  <c r="L34" i="2" s="1"/>
  <c r="K34" i="2" l="1"/>
  <c r="G152" i="30"/>
  <c r="E152" i="30"/>
  <c r="G151" i="30"/>
  <c r="E151" i="30"/>
  <c r="G150" i="30"/>
  <c r="E150" i="30"/>
  <c r="G149" i="30"/>
  <c r="E149" i="30"/>
  <c r="E153" i="30" s="1"/>
  <c r="E155" i="30" s="1"/>
  <c r="G141" i="30"/>
  <c r="D139" i="30"/>
  <c r="G134" i="30"/>
  <c r="G135" i="30" s="1"/>
  <c r="E134" i="30"/>
  <c r="E135" i="30" s="1"/>
  <c r="M135" i="30" s="1"/>
  <c r="H15" i="8" s="1"/>
  <c r="I127" i="30"/>
  <c r="M129" i="30" s="1"/>
  <c r="C119" i="30"/>
  <c r="I113" i="30"/>
  <c r="I114" i="30" s="1"/>
  <c r="G113" i="30"/>
  <c r="E113" i="30"/>
  <c r="E114" i="30" s="1"/>
  <c r="G110" i="30"/>
  <c r="D108" i="30"/>
  <c r="C100" i="30" a="1"/>
  <c r="C100" i="30" s="1"/>
  <c r="D92" i="30"/>
  <c r="C92" i="30"/>
  <c r="E88" i="30"/>
  <c r="J86" i="30"/>
  <c r="E84" i="30"/>
  <c r="E82" i="30"/>
  <c r="E81" i="30"/>
  <c r="AA144" i="30" s="1"/>
  <c r="E80" i="30"/>
  <c r="J79" i="30"/>
  <c r="G75" i="30"/>
  <c r="D73" i="30"/>
  <c r="C67" i="30"/>
  <c r="B67" i="30"/>
  <c r="A67" i="30"/>
  <c r="C66" i="30"/>
  <c r="B66" i="30"/>
  <c r="A66" i="30"/>
  <c r="C65" i="30"/>
  <c r="C64" i="30"/>
  <c r="C63" i="30"/>
  <c r="C60" i="30"/>
  <c r="H55" i="30"/>
  <c r="C54" i="30"/>
  <c r="H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E33" i="30" s="1"/>
  <c r="D17" i="30"/>
  <c r="C17" i="30"/>
  <c r="E10" i="30"/>
  <c r="E9" i="30"/>
  <c r="D9" i="30"/>
  <c r="C9" i="30"/>
  <c r="E8" i="30"/>
  <c r="D8" i="30"/>
  <c r="C8" i="30"/>
  <c r="E7" i="30"/>
  <c r="D7" i="30"/>
  <c r="C7" i="30"/>
  <c r="G5" i="30"/>
  <c r="D3" i="30"/>
  <c r="L2" i="30"/>
  <c r="L1" i="30"/>
  <c r="G1" i="30"/>
  <c r="B1" i="30"/>
  <c r="R238" i="28"/>
  <c r="R237" i="28"/>
  <c r="R236" i="28"/>
  <c r="R234" i="28"/>
  <c r="R223" i="28"/>
  <c r="R222" i="28"/>
  <c r="R221" i="28"/>
  <c r="R220" i="28"/>
  <c r="R219" i="28"/>
  <c r="R213" i="28"/>
  <c r="R212" i="28"/>
  <c r="R211" i="28"/>
  <c r="R214" i="28" s="1"/>
  <c r="C61" i="30" s="1"/>
  <c r="R209" i="28"/>
  <c r="R208" i="28"/>
  <c r="R204" i="28"/>
  <c r="R201" i="28"/>
  <c r="R203" i="28" s="1"/>
  <c r="Y191" i="28"/>
  <c r="Y190" i="28"/>
  <c r="Y189" i="28"/>
  <c r="R189" i="28"/>
  <c r="O180" i="28"/>
  <c r="O182" i="28" s="1"/>
  <c r="O184" i="28" s="1"/>
  <c r="O170" i="28"/>
  <c r="O172" i="28" s="1"/>
  <c r="O174" i="28" s="1"/>
  <c r="R157" i="28"/>
  <c r="R155" i="28"/>
  <c r="Z149" i="28"/>
  <c r="Z150" i="28" s="1"/>
  <c r="Z152" i="28" s="1"/>
  <c r="Y149" i="28"/>
  <c r="Y150" i="28" s="1"/>
  <c r="Y152" i="28" s="1"/>
  <c r="O148" i="28"/>
  <c r="O153" i="28" s="1"/>
  <c r="Z138" i="28"/>
  <c r="Z139" i="28" s="1"/>
  <c r="Z141" i="28" s="1"/>
  <c r="Y138" i="28"/>
  <c r="Y139" i="28" s="1"/>
  <c r="Y141" i="28" s="1"/>
  <c r="O137" i="28"/>
  <c r="R144" i="28" s="1"/>
  <c r="R124" i="28"/>
  <c r="R123" i="28"/>
  <c r="R122" i="28"/>
  <c r="O121" i="28"/>
  <c r="Q113" i="27" s="1"/>
  <c r="R120" i="28"/>
  <c r="R118" i="28"/>
  <c r="O113" i="28"/>
  <c r="O112" i="28"/>
  <c r="R103" i="28"/>
  <c r="O100" i="28"/>
  <c r="R100" i="28"/>
  <c r="J41" i="8" s="1"/>
  <c r="O99" i="28"/>
  <c r="O98" i="28"/>
  <c r="L98" i="28"/>
  <c r="O97" i="28"/>
  <c r="L97" i="28"/>
  <c r="R97" i="28" s="1"/>
  <c r="O96" i="28"/>
  <c r="L96" i="28"/>
  <c r="R96" i="28" s="1"/>
  <c r="R90" i="28"/>
  <c r="R84" i="28"/>
  <c r="R87" i="28" s="1"/>
  <c r="L67" i="28"/>
  <c r="L70" i="28" s="1"/>
  <c r="L56" i="28"/>
  <c r="L63" i="28" s="1"/>
  <c r="V37" i="28"/>
  <c r="U37" i="28"/>
  <c r="V36" i="28"/>
  <c r="U36" i="28"/>
  <c r="V35" i="28"/>
  <c r="V38" i="28" s="1"/>
  <c r="U35" i="28"/>
  <c r="U38" i="28" s="1"/>
  <c r="I24" i="28"/>
  <c r="I29" i="28" s="1"/>
  <c r="O2" i="28"/>
  <c r="O1" i="28"/>
  <c r="O56" i="28" s="1"/>
  <c r="I1" i="28"/>
  <c r="E1" i="28"/>
  <c r="K118" i="27"/>
  <c r="M95" i="27"/>
  <c r="AA91" i="27"/>
  <c r="AA90" i="27"/>
  <c r="L69" i="27"/>
  <c r="L65" i="27"/>
  <c r="I56" i="27"/>
  <c r="H56" i="27"/>
  <c r="G56" i="27"/>
  <c r="I34" i="27"/>
  <c r="I16" i="28" s="1"/>
  <c r="I21" i="28" s="1"/>
  <c r="H34" i="27"/>
  <c r="J24" i="28" s="1"/>
  <c r="G34" i="27"/>
  <c r="J33" i="27"/>
  <c r="J32" i="27"/>
  <c r="D10" i="30" s="1"/>
  <c r="J31" i="27"/>
  <c r="C10" i="30" s="1"/>
  <c r="Z29" i="27"/>
  <c r="Y29" i="27"/>
  <c r="R239" i="28" s="1"/>
  <c r="J29" i="27"/>
  <c r="L2" i="27"/>
  <c r="L1" i="27"/>
  <c r="K31" i="27" s="1"/>
  <c r="I1" i="27"/>
  <c r="E1" i="27"/>
  <c r="P30" i="31"/>
  <c r="O30" i="31"/>
  <c r="N30" i="31"/>
  <c r="M30" i="31"/>
  <c r="L30" i="31"/>
  <c r="K30" i="31"/>
  <c r="I30" i="31"/>
  <c r="H30" i="31"/>
  <c r="G30" i="31"/>
  <c r="E30" i="31"/>
  <c r="J29" i="31"/>
  <c r="J30" i="31" s="1"/>
  <c r="F29" i="31"/>
  <c r="F30" i="31" s="1"/>
  <c r="D29" i="31"/>
  <c r="D30" i="31" s="1"/>
  <c r="C29" i="31"/>
  <c r="C30" i="31" s="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I38" i="15"/>
  <c r="I36" i="15"/>
  <c r="L31" i="15"/>
  <c r="L29" i="15"/>
  <c r="I29" i="15"/>
  <c r="I23" i="15"/>
  <c r="G22" i="15"/>
  <c r="I19" i="15"/>
  <c r="G18" i="15"/>
  <c r="L14" i="15"/>
  <c r="I14" i="15"/>
  <c r="L13" i="15"/>
  <c r="I12" i="15"/>
  <c r="L12" i="15" s="1"/>
  <c r="L11" i="15"/>
  <c r="L2" i="15"/>
  <c r="L1" i="15"/>
  <c r="E1" i="15"/>
  <c r="F51" i="14"/>
  <c r="F50" i="14"/>
  <c r="D47" i="14"/>
  <c r="E46" i="14"/>
  <c r="F46" i="14" s="1"/>
  <c r="H46" i="14" s="1"/>
  <c r="D46" i="14"/>
  <c r="F45" i="14"/>
  <c r="H45" i="14" s="1"/>
  <c r="H44" i="14"/>
  <c r="F44" i="14"/>
  <c r="F43" i="14"/>
  <c r="H43" i="14" s="1"/>
  <c r="E41" i="14"/>
  <c r="D41" i="14"/>
  <c r="F40" i="14"/>
  <c r="H40" i="14" s="1"/>
  <c r="F39" i="14"/>
  <c r="H39" i="14" s="1"/>
  <c r="F38" i="14"/>
  <c r="H38" i="14" s="1"/>
  <c r="N36" i="14"/>
  <c r="L36" i="14"/>
  <c r="N35" i="14"/>
  <c r="L35" i="14"/>
  <c r="N34" i="14"/>
  <c r="N33" i="14"/>
  <c r="L33" i="14"/>
  <c r="N32" i="14"/>
  <c r="L32" i="14"/>
  <c r="E32" i="14"/>
  <c r="D32" i="14" a="1"/>
  <c r="D32" i="14" s="1"/>
  <c r="N31" i="14"/>
  <c r="E31" i="14"/>
  <c r="N30" i="14"/>
  <c r="E30" i="14"/>
  <c r="N29" i="14"/>
  <c r="E29" i="14"/>
  <c r="E33" i="14" s="1"/>
  <c r="N28" i="14"/>
  <c r="E28" i="14"/>
  <c r="N27" i="14"/>
  <c r="E27" i="14"/>
  <c r="N26" i="14"/>
  <c r="E26" i="14"/>
  <c r="N25" i="14"/>
  <c r="E25" i="14"/>
  <c r="N24" i="14"/>
  <c r="N23" i="14"/>
  <c r="N22" i="14"/>
  <c r="N21" i="14"/>
  <c r="N20" i="14"/>
  <c r="D20" i="14"/>
  <c r="N19" i="14"/>
  <c r="D19" i="14"/>
  <c r="N18" i="14"/>
  <c r="D18" i="14"/>
  <c r="N17" i="14"/>
  <c r="D17" i="14"/>
  <c r="N16" i="14"/>
  <c r="G16" i="14"/>
  <c r="D16" i="14"/>
  <c r="N15" i="14"/>
  <c r="D15" i="14"/>
  <c r="N14" i="14"/>
  <c r="D14" i="14"/>
  <c r="N13" i="14"/>
  <c r="N12" i="14"/>
  <c r="N11" i="14"/>
  <c r="N10" i="14"/>
  <c r="N9" i="14"/>
  <c r="D9" i="14"/>
  <c r="N8" i="14"/>
  <c r="D8" i="14"/>
  <c r="N7" i="14"/>
  <c r="F7" i="14"/>
  <c r="E7" i="14"/>
  <c r="D7" i="14"/>
  <c r="C7" i="14"/>
  <c r="N6" i="14"/>
  <c r="N5" i="14"/>
  <c r="I2" i="14"/>
  <c r="I1" i="14"/>
  <c r="A1" i="14"/>
  <c r="H62" i="13"/>
  <c r="F60" i="13"/>
  <c r="E60" i="13"/>
  <c r="D60" i="13"/>
  <c r="H60" i="13" s="1"/>
  <c r="C60" i="13"/>
  <c r="F59" i="13"/>
  <c r="E59" i="13"/>
  <c r="D59" i="13"/>
  <c r="H59" i="13" s="1"/>
  <c r="C59" i="13"/>
  <c r="F57" i="13"/>
  <c r="E57" i="13"/>
  <c r="D57" i="13"/>
  <c r="H57" i="13" s="1"/>
  <c r="C57" i="13"/>
  <c r="F55" i="13"/>
  <c r="E55" i="13"/>
  <c r="D55" i="13"/>
  <c r="H55" i="13" s="1"/>
  <c r="C55" i="13"/>
  <c r="F53" i="13"/>
  <c r="E53" i="13"/>
  <c r="D53" i="13"/>
  <c r="H53" i="13" s="1"/>
  <c r="C53" i="13"/>
  <c r="F52" i="13"/>
  <c r="E52" i="13"/>
  <c r="D52" i="13"/>
  <c r="C52" i="13"/>
  <c r="F51" i="13"/>
  <c r="E51" i="13"/>
  <c r="D51" i="13"/>
  <c r="H51" i="13" s="1"/>
  <c r="C51" i="13"/>
  <c r="F50" i="13"/>
  <c r="E50" i="13"/>
  <c r="D50" i="13"/>
  <c r="H50" i="13" s="1"/>
  <c r="C50" i="13"/>
  <c r="F49" i="13"/>
  <c r="E49" i="13"/>
  <c r="D49" i="13"/>
  <c r="C49" i="13"/>
  <c r="F48" i="13"/>
  <c r="E48" i="13"/>
  <c r="D48" i="13"/>
  <c r="H48" i="13" s="1"/>
  <c r="C48" i="13"/>
  <c r="F46" i="13"/>
  <c r="E46" i="13"/>
  <c r="D46" i="13"/>
  <c r="C46" i="13"/>
  <c r="F43" i="13"/>
  <c r="E43" i="13"/>
  <c r="D43" i="13"/>
  <c r="H43" i="13" s="1"/>
  <c r="C43" i="13"/>
  <c r="F42" i="13"/>
  <c r="E42" i="13"/>
  <c r="D42" i="13"/>
  <c r="C42" i="13"/>
  <c r="F41" i="13"/>
  <c r="E41" i="13"/>
  <c r="D41" i="13"/>
  <c r="C41" i="13"/>
  <c r="F40" i="13"/>
  <c r="E40" i="13"/>
  <c r="D40" i="13"/>
  <c r="C40" i="13"/>
  <c r="F39" i="13"/>
  <c r="E39" i="13"/>
  <c r="D39" i="13"/>
  <c r="H39" i="13" s="1"/>
  <c r="C39" i="13"/>
  <c r="F38" i="13"/>
  <c r="E38" i="13"/>
  <c r="D38" i="13"/>
  <c r="C38" i="13"/>
  <c r="F37" i="13"/>
  <c r="E37" i="13"/>
  <c r="D37" i="13"/>
  <c r="C37" i="13"/>
  <c r="F36" i="13"/>
  <c r="E36" i="13"/>
  <c r="D36" i="13"/>
  <c r="H36" i="13" s="1"/>
  <c r="C36" i="13"/>
  <c r="F35" i="13"/>
  <c r="E35" i="13"/>
  <c r="D35" i="13"/>
  <c r="C35" i="13"/>
  <c r="F33" i="13"/>
  <c r="E33" i="13"/>
  <c r="D33" i="13"/>
  <c r="C33" i="13"/>
  <c r="C24" i="13"/>
  <c r="C23" i="13"/>
  <c r="C22" i="13"/>
  <c r="D19" i="13"/>
  <c r="D16" i="13"/>
  <c r="C16" i="13"/>
  <c r="E15" i="13"/>
  <c r="I11" i="13"/>
  <c r="I10" i="13"/>
  <c r="I5" i="13"/>
  <c r="I4" i="13"/>
  <c r="H4" i="13"/>
  <c r="G4" i="13"/>
  <c r="F4" i="13"/>
  <c r="E4" i="13"/>
  <c r="I2" i="13"/>
  <c r="D4" i="13" s="1"/>
  <c r="I1" i="13"/>
  <c r="A1" i="13"/>
  <c r="M30" i="17"/>
  <c r="K30" i="17"/>
  <c r="I30" i="17"/>
  <c r="H30" i="17"/>
  <c r="G30" i="17"/>
  <c r="F30" i="17"/>
  <c r="E30" i="17"/>
  <c r="M29" i="17"/>
  <c r="L29" i="17"/>
  <c r="N29" i="17" s="1"/>
  <c r="D29" i="17"/>
  <c r="M28" i="17"/>
  <c r="L28" i="17"/>
  <c r="N28" i="17" s="1"/>
  <c r="D28" i="17"/>
  <c r="M27" i="17"/>
  <c r="L27" i="17"/>
  <c r="N27" i="17" s="1"/>
  <c r="D27" i="17"/>
  <c r="M26" i="17"/>
  <c r="L26" i="17"/>
  <c r="N26" i="17" s="1"/>
  <c r="D26" i="17"/>
  <c r="M25" i="17"/>
  <c r="L25" i="17"/>
  <c r="N25" i="17" s="1"/>
  <c r="D25" i="17"/>
  <c r="M24" i="17"/>
  <c r="L24" i="17"/>
  <c r="N24" i="17" s="1"/>
  <c r="D24" i="17"/>
  <c r="M23" i="17"/>
  <c r="L23" i="17"/>
  <c r="N23" i="17" s="1"/>
  <c r="D23" i="17"/>
  <c r="M22" i="17"/>
  <c r="L22" i="17"/>
  <c r="N22" i="17" s="1"/>
  <c r="D22" i="17"/>
  <c r="M20" i="17"/>
  <c r="L20" i="17"/>
  <c r="N20" i="17" s="1"/>
  <c r="D20" i="17"/>
  <c r="M18" i="17"/>
  <c r="K18" i="17"/>
  <c r="I18" i="17"/>
  <c r="H18" i="17"/>
  <c r="G18" i="17"/>
  <c r="F18" i="17"/>
  <c r="E18" i="17"/>
  <c r="M17" i="17"/>
  <c r="L17" i="17"/>
  <c r="N17" i="17" s="1"/>
  <c r="D17" i="17"/>
  <c r="M16" i="17"/>
  <c r="L16" i="17"/>
  <c r="N16" i="17" s="1"/>
  <c r="D16" i="17"/>
  <c r="M15" i="17"/>
  <c r="L15" i="17"/>
  <c r="N15" i="17" s="1"/>
  <c r="D15" i="17"/>
  <c r="M14" i="17"/>
  <c r="L14" i="17"/>
  <c r="N14" i="17" s="1"/>
  <c r="D14" i="17"/>
  <c r="M13" i="17"/>
  <c r="L13" i="17"/>
  <c r="N13" i="17" s="1"/>
  <c r="D13" i="17"/>
  <c r="M12" i="17"/>
  <c r="L12" i="17"/>
  <c r="N12" i="17" s="1"/>
  <c r="D12" i="17"/>
  <c r="M11" i="17"/>
  <c r="L11" i="17"/>
  <c r="N11" i="17" s="1"/>
  <c r="D11" i="17"/>
  <c r="M10" i="17"/>
  <c r="L10" i="17"/>
  <c r="N10" i="17" s="1"/>
  <c r="D10" i="17"/>
  <c r="M8" i="17"/>
  <c r="L8" i="17"/>
  <c r="D8" i="17"/>
  <c r="M6" i="17"/>
  <c r="L6" i="17"/>
  <c r="N1" i="17"/>
  <c r="K1" i="17"/>
  <c r="G1" i="17"/>
  <c r="B1" i="17"/>
  <c r="K13" i="19"/>
  <c r="K2" i="19"/>
  <c r="K1" i="19"/>
  <c r="G1" i="19"/>
  <c r="E1" i="19"/>
  <c r="N37" i="8"/>
  <c r="M2" i="8"/>
  <c r="M1" i="8"/>
  <c r="G1" i="8"/>
  <c r="D1" i="8"/>
  <c r="J47" i="7"/>
  <c r="S43" i="7"/>
  <c r="M36" i="14" s="1"/>
  <c r="S42" i="7"/>
  <c r="M35" i="14" s="1"/>
  <c r="S41" i="7"/>
  <c r="M34" i="14" s="1"/>
  <c r="S40" i="7"/>
  <c r="M33" i="14" s="1"/>
  <c r="J39" i="7"/>
  <c r="D12" i="14" s="1"/>
  <c r="G39" i="7"/>
  <c r="S38" i="7"/>
  <c r="M32" i="14" s="1"/>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U27" i="16" s="1"/>
  <c r="G27" i="7"/>
  <c r="G40" i="7" s="1"/>
  <c r="S26" i="7"/>
  <c r="M21" i="14" s="1"/>
  <c r="I26" i="7"/>
  <c r="F26" i="7"/>
  <c r="S25" i="7"/>
  <c r="M20" i="14" s="1"/>
  <c r="F25" i="7"/>
  <c r="S24" i="7"/>
  <c r="M19" i="14" s="1"/>
  <c r="I24" i="7"/>
  <c r="F24" i="7"/>
  <c r="S23" i="7"/>
  <c r="M18" i="14" s="1"/>
  <c r="I23" i="7"/>
  <c r="F23" i="7"/>
  <c r="S22" i="7"/>
  <c r="M17" i="14" s="1"/>
  <c r="I22" i="7"/>
  <c r="F22" i="7"/>
  <c r="S21" i="7"/>
  <c r="M16" i="14" s="1"/>
  <c r="I21" i="7"/>
  <c r="F21" i="7"/>
  <c r="S20" i="7"/>
  <c r="M15" i="14" s="1"/>
  <c r="I20" i="7"/>
  <c r="F20" i="7"/>
  <c r="S19" i="7"/>
  <c r="M14" i="14" s="1"/>
  <c r="I19" i="7"/>
  <c r="F19" i="7"/>
  <c r="M13" i="14"/>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T7" i="7"/>
  <c r="I7" i="7"/>
  <c r="F7" i="7"/>
  <c r="T6" i="7"/>
  <c r="S5" i="7"/>
  <c r="M5" i="14" s="1"/>
  <c r="T1" i="7"/>
  <c r="P1" i="7"/>
  <c r="J1" i="7"/>
  <c r="D1" i="7"/>
  <c r="A30" i="23"/>
  <c r="I27" i="23"/>
  <c r="G27" i="23"/>
  <c r="K26" i="23"/>
  <c r="I26" i="23"/>
  <c r="G26" i="23"/>
  <c r="E26" i="23"/>
  <c r="J25" i="23"/>
  <c r="H25" i="23"/>
  <c r="F25" i="23"/>
  <c r="D25" i="23"/>
  <c r="J24" i="23"/>
  <c r="H24" i="23"/>
  <c r="F24" i="23"/>
  <c r="D24" i="23"/>
  <c r="J23" i="23"/>
  <c r="F23" i="23"/>
  <c r="D23" i="23"/>
  <c r="K21" i="23"/>
  <c r="K27" i="23" s="1"/>
  <c r="I21" i="23"/>
  <c r="G21" i="23"/>
  <c r="J20" i="23"/>
  <c r="H20" i="23"/>
  <c r="F20" i="23"/>
  <c r="D20" i="23"/>
  <c r="J19" i="23"/>
  <c r="H19" i="23"/>
  <c r="F19" i="23"/>
  <c r="D19" i="23"/>
  <c r="J18" i="23"/>
  <c r="H18" i="23"/>
  <c r="F18" i="23"/>
  <c r="E18" i="23"/>
  <c r="D18" i="23"/>
  <c r="J17" i="23"/>
  <c r="H17" i="23"/>
  <c r="F17" i="23"/>
  <c r="E17" i="23"/>
  <c r="D17" i="23"/>
  <c r="J16" i="23"/>
  <c r="H16" i="23"/>
  <c r="F16" i="23"/>
  <c r="E16" i="23"/>
  <c r="D16" i="23"/>
  <c r="J15" i="23"/>
  <c r="H15" i="23"/>
  <c r="F15" i="23"/>
  <c r="D15" i="23"/>
  <c r="J14" i="23"/>
  <c r="H14" i="23"/>
  <c r="F14" i="23"/>
  <c r="D14" i="23"/>
  <c r="J12" i="23"/>
  <c r="H12" i="23"/>
  <c r="F12" i="23"/>
  <c r="D12" i="23"/>
  <c r="J11" i="23"/>
  <c r="H11" i="23"/>
  <c r="F11" i="23"/>
  <c r="D11" i="23"/>
  <c r="J10" i="23"/>
  <c r="H10" i="23"/>
  <c r="F10" i="23"/>
  <c r="D10" i="23"/>
  <c r="J8" i="23"/>
  <c r="C15" i="14" s="1"/>
  <c r="H8" i="23"/>
  <c r="C14" i="14" s="1"/>
  <c r="F8" i="23"/>
  <c r="C19" i="14" s="1"/>
  <c r="N1" i="23"/>
  <c r="K1" i="23"/>
  <c r="H1" i="23"/>
  <c r="B1" i="23"/>
  <c r="J21" i="5"/>
  <c r="I21" i="5"/>
  <c r="H21" i="5"/>
  <c r="F21" i="5"/>
  <c r="E21" i="5"/>
  <c r="D21" i="5"/>
  <c r="J19" i="5"/>
  <c r="I19" i="5"/>
  <c r="H19" i="5"/>
  <c r="G19" i="5"/>
  <c r="G21" i="5" s="1"/>
  <c r="F19" i="5"/>
  <c r="E19" i="5"/>
  <c r="D19" i="5"/>
  <c r="L18" i="5"/>
  <c r="K18" i="5"/>
  <c r="M18" i="5" s="1"/>
  <c r="L17" i="5"/>
  <c r="K17" i="5"/>
  <c r="M17" i="5" s="1"/>
  <c r="L16" i="5"/>
  <c r="K16" i="5"/>
  <c r="M16" i="5" s="1"/>
  <c r="L15" i="5"/>
  <c r="K15" i="5"/>
  <c r="M15" i="5" s="1"/>
  <c r="L14" i="5"/>
  <c r="K14" i="5"/>
  <c r="M14" i="5" s="1"/>
  <c r="L13" i="5"/>
  <c r="K13" i="5"/>
  <c r="L12" i="5"/>
  <c r="K12" i="5"/>
  <c r="L10" i="5"/>
  <c r="K10" i="5"/>
  <c r="L8" i="5"/>
  <c r="K8" i="5"/>
  <c r="L7" i="5"/>
  <c r="K7" i="5"/>
  <c r="N1" i="5"/>
  <c r="L1" i="5"/>
  <c r="H1" i="5"/>
  <c r="B1" i="5"/>
  <c r="B36" i="29"/>
  <c r="I16" i="29"/>
  <c r="H16" i="29"/>
  <c r="I14" i="29"/>
  <c r="H14" i="29"/>
  <c r="G14" i="29"/>
  <c r="G16" i="29" s="1"/>
  <c r="F14" i="29"/>
  <c r="F16" i="29" s="1"/>
  <c r="E14" i="29"/>
  <c r="E16" i="29" s="1"/>
  <c r="D14" i="29"/>
  <c r="D16" i="29" s="1"/>
  <c r="K13" i="29"/>
  <c r="J13" i="29" a="1"/>
  <c r="J13" i="29" s="1"/>
  <c r="K12" i="29"/>
  <c r="J12" i="29" a="1"/>
  <c r="J12" i="29" s="1"/>
  <c r="K11" i="29"/>
  <c r="J11" i="29" a="1"/>
  <c r="J11" i="29" s="1"/>
  <c r="L11" i="29" s="1"/>
  <c r="K10" i="29"/>
  <c r="J10" i="29" a="1"/>
  <c r="J10" i="29" s="1"/>
  <c r="L10" i="29" s="1"/>
  <c r="K9" i="29"/>
  <c r="J9" i="29" a="1"/>
  <c r="J9" i="29" s="1"/>
  <c r="L9" i="29" s="1"/>
  <c r="K8" i="29"/>
  <c r="J8" i="29" a="1"/>
  <c r="J8" i="29" s="1"/>
  <c r="K7" i="29"/>
  <c r="J7" i="29" a="1"/>
  <c r="J7" i="29" s="1"/>
  <c r="K6" i="29"/>
  <c r="J6" i="29" a="1"/>
  <c r="J6" i="29" s="1"/>
  <c r="K5" i="29"/>
  <c r="J5" i="29"/>
  <c r="N1" i="29"/>
  <c r="K1" i="29"/>
  <c r="G1" i="29"/>
  <c r="B1" i="29"/>
  <c r="G24" i="3"/>
  <c r="G23" i="3"/>
  <c r="F19" i="3" a="1"/>
  <c r="F19" i="3" s="1"/>
  <c r="G16" i="3"/>
  <c r="F14" i="3"/>
  <c r="F13" i="3"/>
  <c r="D31" i="14" s="1"/>
  <c r="F12" i="3"/>
  <c r="D30" i="14" s="1"/>
  <c r="F11" i="3"/>
  <c r="D29" i="14" s="1"/>
  <c r="F10" i="3"/>
  <c r="D28" i="14" s="1"/>
  <c r="F9" i="3"/>
  <c r="D27" i="14" s="1"/>
  <c r="F8" i="3"/>
  <c r="D26" i="14" s="1"/>
  <c r="F7" i="3"/>
  <c r="R1" i="3"/>
  <c r="O1" i="3"/>
  <c r="I1" i="3"/>
  <c r="C1" i="3"/>
  <c r="M41" i="2"/>
  <c r="D41" i="2"/>
  <c r="M40" i="2"/>
  <c r="D40" i="2"/>
  <c r="M38" i="2"/>
  <c r="D38" i="2"/>
  <c r="M37" i="2"/>
  <c r="D37" i="2"/>
  <c r="M35" i="2"/>
  <c r="D35" i="2"/>
  <c r="M33" i="2"/>
  <c r="D33" i="2"/>
  <c r="M32" i="2"/>
  <c r="D32" i="2"/>
  <c r="M31" i="2"/>
  <c r="D31" i="2"/>
  <c r="D30" i="2"/>
  <c r="M29" i="2"/>
  <c r="D29" i="2"/>
  <c r="M28" i="2"/>
  <c r="D28" i="2"/>
  <c r="M27" i="2"/>
  <c r="D27" i="2"/>
  <c r="D26" i="2"/>
  <c r="D24" i="2"/>
  <c r="J22" i="2"/>
  <c r="I22" i="2"/>
  <c r="H22" i="2"/>
  <c r="G22" i="2"/>
  <c r="F22" i="2"/>
  <c r="F42" i="2" s="1"/>
  <c r="E22" i="2"/>
  <c r="E42" i="2" s="1"/>
  <c r="E44" i="2" s="1"/>
  <c r="L21" i="2"/>
  <c r="K21" i="2"/>
  <c r="M21" i="2" s="1"/>
  <c r="D21" i="2"/>
  <c r="L20" i="2"/>
  <c r="K20" i="2"/>
  <c r="M20" i="2" s="1"/>
  <c r="D20" i="2"/>
  <c r="L19" i="2"/>
  <c r="D19" i="2"/>
  <c r="L18" i="2"/>
  <c r="K18" i="2"/>
  <c r="M18" i="2" s="1"/>
  <c r="D18" i="2"/>
  <c r="L17" i="2"/>
  <c r="K17" i="2"/>
  <c r="M17" i="2" s="1"/>
  <c r="D17" i="2"/>
  <c r="L16" i="2"/>
  <c r="K16" i="2"/>
  <c r="M16" i="2" s="1"/>
  <c r="D16" i="2"/>
  <c r="L15" i="2"/>
  <c r="K15" i="2"/>
  <c r="D15" i="2"/>
  <c r="L14" i="2"/>
  <c r="K14" i="2"/>
  <c r="D14" i="2"/>
  <c r="L13" i="2"/>
  <c r="K13" i="2"/>
  <c r="M13" i="2" s="1"/>
  <c r="D13" i="2"/>
  <c r="L12" i="2"/>
  <c r="K12" i="2"/>
  <c r="D12" i="2"/>
  <c r="L11" i="2"/>
  <c r="K11" i="2"/>
  <c r="D11" i="2"/>
  <c r="L10" i="2"/>
  <c r="K10" i="2"/>
  <c r="D10" i="2"/>
  <c r="L8" i="2"/>
  <c r="K8" i="2"/>
  <c r="D8" i="2"/>
  <c r="L6" i="2"/>
  <c r="K6" i="2"/>
  <c r="M1" i="2"/>
  <c r="J1" i="2"/>
  <c r="G1" i="2"/>
  <c r="B1" i="2"/>
  <c r="V40" i="16"/>
  <c r="V39" i="16"/>
  <c r="S33" i="16"/>
  <c r="S34" i="16" s="1"/>
  <c r="I13" i="13" s="1"/>
  <c r="T31" i="16"/>
  <c r="P31" i="16"/>
  <c r="F31" i="16"/>
  <c r="S26" i="16"/>
  <c r="S25" i="16"/>
  <c r="Q22" i="16"/>
  <c r="N22" i="16"/>
  <c r="C19" i="13" s="1"/>
  <c r="G15" i="16"/>
  <c r="G14" i="16"/>
  <c r="G13" i="16"/>
  <c r="N10" i="16"/>
  <c r="O9" i="16"/>
  <c r="R2" i="16"/>
  <c r="E47" i="14" l="1"/>
  <c r="F47" i="14" s="1"/>
  <c r="H47" i="14" s="1"/>
  <c r="F41" i="14"/>
  <c r="H41" i="14" s="1"/>
  <c r="E16" i="14"/>
  <c r="N37" i="14"/>
  <c r="D21" i="14" s="1"/>
  <c r="M13" i="5"/>
  <c r="M10" i="5"/>
  <c r="L19" i="5"/>
  <c r="B24" i="13" s="1"/>
  <c r="M8" i="5"/>
  <c r="M12" i="2"/>
  <c r="Q23" i="31"/>
  <c r="Q17" i="31"/>
  <c r="E21" i="23"/>
  <c r="E27" i="23" s="1"/>
  <c r="H41" i="13"/>
  <c r="F44" i="13"/>
  <c r="H42" i="13"/>
  <c r="M14" i="2"/>
  <c r="M10" i="2"/>
  <c r="M8" i="2"/>
  <c r="L22" i="2"/>
  <c r="L7" i="29"/>
  <c r="K14" i="29"/>
  <c r="B23" i="13" s="1"/>
  <c r="L6" i="29"/>
  <c r="L24" i="28"/>
  <c r="L25" i="28" s="1"/>
  <c r="L27" i="28" s="1"/>
  <c r="O114" i="28"/>
  <c r="R210" i="28"/>
  <c r="AA15" i="30"/>
  <c r="R125" i="28"/>
  <c r="I36" i="30"/>
  <c r="C33" i="30"/>
  <c r="F7" i="30"/>
  <c r="G7" i="30" s="1"/>
  <c r="D33" i="30"/>
  <c r="I35" i="30"/>
  <c r="H45" i="30" s="1"/>
  <c r="L16" i="28"/>
  <c r="L17" i="28" s="1"/>
  <c r="L19" i="28" s="1"/>
  <c r="E92" i="30"/>
  <c r="O185" i="28"/>
  <c r="G35" i="30"/>
  <c r="D45" i="30" s="1"/>
  <c r="J34" i="27"/>
  <c r="O22" i="8" s="1"/>
  <c r="O186" i="28"/>
  <c r="R187" i="28" s="1"/>
  <c r="H35" i="30"/>
  <c r="F45" i="30" s="1"/>
  <c r="O150" i="28"/>
  <c r="M134" i="30"/>
  <c r="I115" i="30"/>
  <c r="R98" i="28"/>
  <c r="O151" i="28"/>
  <c r="E11" i="30"/>
  <c r="F9" i="30"/>
  <c r="I9" i="30" s="1"/>
  <c r="O39" i="28"/>
  <c r="R99" i="28"/>
  <c r="Z154" i="28"/>
  <c r="O38" i="28"/>
  <c r="J25" i="28"/>
  <c r="J27" i="28" s="1"/>
  <c r="J29" i="28"/>
  <c r="H24" i="28"/>
  <c r="AA13" i="30"/>
  <c r="F8" i="30" s="1"/>
  <c r="J16" i="28"/>
  <c r="H16" i="28"/>
  <c r="K28" i="27"/>
  <c r="H7" i="30"/>
  <c r="Y192" i="28"/>
  <c r="Y193" i="28" s="1"/>
  <c r="Y194" i="28" s="1"/>
  <c r="I12" i="13"/>
  <c r="Y143" i="28"/>
  <c r="Z143" i="28"/>
  <c r="O176" i="28"/>
  <c r="O140" i="28"/>
  <c r="L68" i="28"/>
  <c r="O139" i="28"/>
  <c r="L61" i="28"/>
  <c r="L72" i="28"/>
  <c r="O175" i="28"/>
  <c r="L74" i="28"/>
  <c r="O142" i="28"/>
  <c r="R158" i="28"/>
  <c r="R159" i="28" s="1"/>
  <c r="R160" i="28" s="1"/>
  <c r="L57" i="28"/>
  <c r="L59" i="28"/>
  <c r="E115" i="30"/>
  <c r="G153" i="30"/>
  <c r="G155" i="30" s="1"/>
  <c r="E83" i="30"/>
  <c r="AA143" i="30"/>
  <c r="F54" i="13"/>
  <c r="H49" i="13"/>
  <c r="H52" i="13"/>
  <c r="D44" i="13"/>
  <c r="I42" i="2"/>
  <c r="I44" i="2" s="1"/>
  <c r="H37" i="13"/>
  <c r="H40" i="13"/>
  <c r="H35" i="13"/>
  <c r="J42" i="2"/>
  <c r="J44" i="2" s="1"/>
  <c r="M11" i="2"/>
  <c r="M15" i="2"/>
  <c r="M19" i="2"/>
  <c r="H38" i="13"/>
  <c r="H33" i="13"/>
  <c r="O61" i="28"/>
  <c r="O59" i="28"/>
  <c r="O57" i="28"/>
  <c r="O63" i="28"/>
  <c r="E156" i="30"/>
  <c r="E157" i="30" s="1"/>
  <c r="G156" i="30"/>
  <c r="G157" i="30" s="1"/>
  <c r="R228" i="28"/>
  <c r="R229" i="28"/>
  <c r="K113" i="30"/>
  <c r="L5" i="27"/>
  <c r="R225" i="28"/>
  <c r="R226" i="28"/>
  <c r="R227" i="28"/>
  <c r="C118" i="30"/>
  <c r="G121" i="30" s="1"/>
  <c r="G124" i="30" s="1"/>
  <c r="G114" i="30"/>
  <c r="G115" i="30" s="1"/>
  <c r="AA140" i="30"/>
  <c r="O67" i="28"/>
  <c r="R107" i="28"/>
  <c r="AA141" i="30"/>
  <c r="AA142" i="30"/>
  <c r="E86" i="30" s="1"/>
  <c r="E87" i="30" s="1"/>
  <c r="G36" i="13"/>
  <c r="I36" i="13" s="1"/>
  <c r="G37" i="13"/>
  <c r="H26" i="23"/>
  <c r="I24" i="15"/>
  <c r="G50" i="13"/>
  <c r="I50" i="13" s="1"/>
  <c r="G48" i="13"/>
  <c r="I48" i="13" s="1"/>
  <c r="L21" i="28"/>
  <c r="L29" i="28"/>
  <c r="Y154" i="28"/>
  <c r="I17" i="28"/>
  <c r="I19" i="28" s="1"/>
  <c r="I25" i="28"/>
  <c r="I27" i="28" s="1"/>
  <c r="H9" i="30"/>
  <c r="K5" i="13"/>
  <c r="C4" i="13"/>
  <c r="A4" i="13"/>
  <c r="G38" i="13"/>
  <c r="G53" i="13"/>
  <c r="I53" i="13" s="1"/>
  <c r="G55" i="13"/>
  <c r="I55" i="13" s="1"/>
  <c r="M12" i="5"/>
  <c r="G51" i="13"/>
  <c r="I51" i="13" s="1"/>
  <c r="G60" i="13"/>
  <c r="I60" i="13" s="1"/>
  <c r="G39" i="13"/>
  <c r="I39" i="13" s="1"/>
  <c r="C44" i="13"/>
  <c r="G52" i="13"/>
  <c r="D34" i="2"/>
  <c r="G57" i="13"/>
  <c r="I57" i="13" s="1"/>
  <c r="H21" i="23"/>
  <c r="F27" i="7"/>
  <c r="D30" i="17"/>
  <c r="G41" i="13"/>
  <c r="L8" i="29"/>
  <c r="M30" i="2"/>
  <c r="D54" i="13"/>
  <c r="M26" i="2"/>
  <c r="G42" i="2"/>
  <c r="G44" i="2" s="1"/>
  <c r="F33" i="14"/>
  <c r="I14" i="3"/>
  <c r="H42" i="2"/>
  <c r="H44" i="2" s="1"/>
  <c r="H46" i="13"/>
  <c r="Q29" i="31"/>
  <c r="Q30" i="31" s="1"/>
  <c r="E18" i="14"/>
  <c r="F18" i="14" s="1"/>
  <c r="G33" i="13"/>
  <c r="F39" i="7"/>
  <c r="G40" i="13"/>
  <c r="G43" i="13"/>
  <c r="I43" i="13" s="1"/>
  <c r="E54" i="13"/>
  <c r="G59" i="13"/>
  <c r="I59" i="13" s="1"/>
  <c r="D21" i="23"/>
  <c r="I39" i="7"/>
  <c r="C12" i="14" s="1"/>
  <c r="E12" i="14" s="1"/>
  <c r="L18" i="17"/>
  <c r="C8" i="14" s="1"/>
  <c r="E44" i="13"/>
  <c r="G49" i="13"/>
  <c r="J21" i="23"/>
  <c r="D18" i="17"/>
  <c r="G35" i="13"/>
  <c r="D26" i="23"/>
  <c r="D22" i="2"/>
  <c r="F21" i="23"/>
  <c r="F26" i="23"/>
  <c r="K22" i="2"/>
  <c r="J26" i="23"/>
  <c r="I27" i="7"/>
  <c r="C11" i="14" s="1"/>
  <c r="F16" i="3"/>
  <c r="K19" i="5"/>
  <c r="C13" i="14" s="1"/>
  <c r="G46" i="13"/>
  <c r="L30" i="17"/>
  <c r="C9" i="14" s="1"/>
  <c r="G42" i="13"/>
  <c r="D11" i="14"/>
  <c r="J40" i="7"/>
  <c r="M37" i="14"/>
  <c r="C21" i="14" s="1"/>
  <c r="F19" i="14"/>
  <c r="E19" i="14"/>
  <c r="F14" i="14"/>
  <c r="E14" i="14"/>
  <c r="E15" i="14"/>
  <c r="F15" i="14" s="1"/>
  <c r="E17" i="14"/>
  <c r="F17" i="14" s="1"/>
  <c r="E20" i="14"/>
  <c r="F20" i="14" s="1"/>
  <c r="F44" i="2"/>
  <c r="D25" i="14"/>
  <c r="D33" i="14" s="1"/>
  <c r="J14" i="29"/>
  <c r="M24" i="2"/>
  <c r="N8" i="17"/>
  <c r="F16" i="14"/>
  <c r="D56" i="13"/>
  <c r="C54" i="13"/>
  <c r="F56" i="13"/>
  <c r="E8" i="23" l="1"/>
  <c r="Q26" i="16"/>
  <c r="L21" i="5"/>
  <c r="D13" i="14"/>
  <c r="E13" i="14" s="1"/>
  <c r="F13" i="14" s="1"/>
  <c r="I40" i="13"/>
  <c r="I41" i="13"/>
  <c r="I42" i="13"/>
  <c r="I49" i="13"/>
  <c r="I52" i="13"/>
  <c r="H54" i="13"/>
  <c r="F61" i="13"/>
  <c r="F63" i="13" s="1"/>
  <c r="L42" i="2"/>
  <c r="Q25" i="16" s="1"/>
  <c r="I37" i="13"/>
  <c r="M22" i="2"/>
  <c r="I35" i="13"/>
  <c r="H44" i="13"/>
  <c r="R101" i="28"/>
  <c r="D10" i="14"/>
  <c r="K16" i="29"/>
  <c r="E34" i="30"/>
  <c r="E145" i="30"/>
  <c r="G9" i="30"/>
  <c r="I7" i="30"/>
  <c r="I121" i="30"/>
  <c r="I124" i="30" s="1"/>
  <c r="G132" i="30" s="1"/>
  <c r="O152" i="28"/>
  <c r="R154" i="28" s="1"/>
  <c r="E121" i="30"/>
  <c r="E124" i="30" s="1"/>
  <c r="E132" i="30" s="1"/>
  <c r="C120" i="30"/>
  <c r="K121" i="30"/>
  <c r="I8" i="30"/>
  <c r="H8" i="30"/>
  <c r="G8" i="30"/>
  <c r="E144" i="30"/>
  <c r="H12" i="30"/>
  <c r="F44" i="30" s="1"/>
  <c r="I12" i="30"/>
  <c r="H44" i="30" s="1"/>
  <c r="F48" i="30"/>
  <c r="H48" i="30"/>
  <c r="H57" i="30"/>
  <c r="F46" i="30"/>
  <c r="I13" i="30"/>
  <c r="D46" i="30"/>
  <c r="H51" i="30"/>
  <c r="H46" i="30"/>
  <c r="D48" i="30"/>
  <c r="H53" i="30"/>
  <c r="G12" i="30"/>
  <c r="D44" i="30" s="1"/>
  <c r="H21" i="28"/>
  <c r="H17" i="28"/>
  <c r="H19" i="28" s="1"/>
  <c r="H29" i="28"/>
  <c r="H25" i="28"/>
  <c r="H27" i="28" s="1"/>
  <c r="J21" i="28"/>
  <c r="J17" i="28"/>
  <c r="J19" i="28" s="1"/>
  <c r="R177" i="28"/>
  <c r="R190" i="28" s="1"/>
  <c r="R191" i="28" s="1"/>
  <c r="R192" i="28" s="1"/>
  <c r="O141" i="28"/>
  <c r="R143" i="28" s="1"/>
  <c r="E89" i="30"/>
  <c r="E90" i="30" s="1"/>
  <c r="E85" i="30"/>
  <c r="I38" i="13"/>
  <c r="I33" i="13"/>
  <c r="I46" i="13"/>
  <c r="F40" i="7"/>
  <c r="K114" i="30"/>
  <c r="M115" i="30" s="1"/>
  <c r="K115" i="30"/>
  <c r="O68" i="28"/>
  <c r="O70" i="28"/>
  <c r="O72" i="28"/>
  <c r="O74" i="28"/>
  <c r="L157" i="30"/>
  <c r="C62" i="30"/>
  <c r="H68" i="30" s="1"/>
  <c r="R235" i="28"/>
  <c r="AA168" i="30"/>
  <c r="K42" i="2"/>
  <c r="C6" i="14" s="1"/>
  <c r="F12" i="14"/>
  <c r="N18" i="17"/>
  <c r="D42" i="2"/>
  <c r="D44" i="2" s="1"/>
  <c r="M34" i="2"/>
  <c r="G44" i="13"/>
  <c r="G54" i="13"/>
  <c r="D8" i="23"/>
  <c r="N30" i="17"/>
  <c r="S6" i="7"/>
  <c r="I40" i="7"/>
  <c r="S7" i="7"/>
  <c r="K21" i="5"/>
  <c r="M19" i="5"/>
  <c r="E21" i="14"/>
  <c r="F21" i="14" s="1"/>
  <c r="E9" i="14"/>
  <c r="F9" i="14"/>
  <c r="H56" i="13"/>
  <c r="D61" i="13"/>
  <c r="D63" i="13" s="1"/>
  <c r="C10" i="14"/>
  <c r="L14" i="29"/>
  <c r="J16" i="29"/>
  <c r="E11" i="14"/>
  <c r="F11" i="14" s="1"/>
  <c r="E8" i="14"/>
  <c r="F8" i="14"/>
  <c r="M21" i="5" l="1"/>
  <c r="I44" i="13"/>
  <c r="L16" i="29"/>
  <c r="E146" i="30"/>
  <c r="M124" i="30"/>
  <c r="K124" i="30"/>
  <c r="G133" i="30" s="1"/>
  <c r="G136" i="30" s="1"/>
  <c r="G163" i="30" s="1"/>
  <c r="E93" i="30"/>
  <c r="H69" i="30"/>
  <c r="J85" i="30" s="1"/>
  <c r="E136" i="30"/>
  <c r="G144" i="30"/>
  <c r="G145" i="30"/>
  <c r="J80" i="30"/>
  <c r="C99" i="30"/>
  <c r="C101" i="30" s="1"/>
  <c r="C104" i="30"/>
  <c r="K44" i="2"/>
  <c r="I54" i="13"/>
  <c r="B22" i="13"/>
  <c r="L44" i="2"/>
  <c r="D6" i="14"/>
  <c r="G4" i="14"/>
  <c r="M42" i="2"/>
  <c r="E10" i="14"/>
  <c r="F10" i="14" s="1"/>
  <c r="H61" i="13"/>
  <c r="H63" i="13" s="1"/>
  <c r="J78" i="30" l="1"/>
  <c r="J81" i="30" s="1"/>
  <c r="M132" i="30"/>
  <c r="H14" i="8" s="1"/>
  <c r="H17" i="8" s="1"/>
  <c r="N15" i="8" s="1"/>
  <c r="M136" i="30"/>
  <c r="E163" i="30"/>
  <c r="L163" i="30" s="1"/>
  <c r="E6" i="14"/>
  <c r="F6" i="14" s="1"/>
  <c r="M44" i="2"/>
  <c r="M17" i="8" l="1"/>
  <c r="I5" i="15" l="1" a="1"/>
  <c r="I5" i="15" s="1"/>
  <c r="I7" i="15" s="1"/>
  <c r="C56" i="13"/>
  <c r="D32" i="29" a="1"/>
  <c r="D32" i="29" s="1"/>
  <c r="F6" i="15" l="1"/>
  <c r="I26" i="15"/>
  <c r="E56" i="13"/>
  <c r="E61" i="13" s="1"/>
  <c r="E63" i="13" s="1"/>
  <c r="R86" i="28"/>
  <c r="R88" i="28" s="1"/>
  <c r="D34" i="29"/>
  <c r="D39" i="29" s="1"/>
  <c r="E33" i="29"/>
  <c r="C61" i="13"/>
  <c r="C63" i="13" s="1"/>
  <c r="G56" i="13" l="1"/>
  <c r="I56" i="13" s="1"/>
  <c r="D23" i="13"/>
  <c r="L17" i="29"/>
  <c r="I37" i="15"/>
  <c r="I34" i="15"/>
  <c r="R83" i="28"/>
  <c r="R85" i="28" s="1"/>
  <c r="R89" i="28" s="1"/>
  <c r="G61" i="13" l="1"/>
  <c r="G63" i="13" s="1"/>
  <c r="I63" i="13" s="1"/>
  <c r="L91" i="28"/>
  <c r="N91" i="28" s="1"/>
  <c r="R91" i="28"/>
  <c r="R102" i="28" s="1"/>
  <c r="R104" i="28" s="1"/>
  <c r="J35" i="8" s="1"/>
  <c r="J54" i="8" s="1"/>
  <c r="I61" i="13" l="1"/>
  <c r="D22" i="13"/>
  <c r="U25" i="16"/>
  <c r="G45" i="2"/>
  <c r="E97" i="30" l="1" a="1"/>
  <c r="E97" i="30" s="1"/>
  <c r="E103" i="30" s="1"/>
  <c r="E105" i="30" s="1"/>
  <c r="J87" i="30" s="1"/>
  <c r="J88" i="30" s="1"/>
  <c r="V25" i="16"/>
  <c r="H10" i="8" l="1"/>
  <c r="I145" i="30"/>
  <c r="I144" i="30"/>
  <c r="L144" i="30" s="1"/>
  <c r="J90" i="30"/>
  <c r="E162" i="30" l="1"/>
  <c r="R108" i="28"/>
  <c r="R109" i="28" s="1"/>
  <c r="O111" i="28" s="1"/>
  <c r="R115" i="28" s="1"/>
  <c r="L145" i="30"/>
  <c r="G162" i="30" s="1"/>
  <c r="G164" i="30" s="1"/>
  <c r="G165" i="30" s="1"/>
  <c r="G166" i="30" s="1"/>
  <c r="K8" i="19"/>
  <c r="K11" i="19" s="1"/>
  <c r="K14" i="19" s="1"/>
  <c r="O8" i="16"/>
  <c r="S13" i="16"/>
  <c r="M10" i="8"/>
  <c r="M56" i="8" s="1"/>
  <c r="K30" i="19" s="1"/>
  <c r="N9" i="8"/>
  <c r="K18" i="19" l="1"/>
  <c r="K32" i="19" s="1"/>
  <c r="G18" i="19"/>
  <c r="H18" i="19" s="1"/>
  <c r="L146" i="30"/>
  <c r="E164" i="30"/>
  <c r="L162" i="30"/>
  <c r="U26" i="16" l="1"/>
  <c r="D24" i="13"/>
  <c r="F22" i="5"/>
  <c r="E165" i="30"/>
  <c r="L165" i="30" s="1"/>
  <c r="L164" i="30"/>
  <c r="E166" i="30" l="1"/>
  <c r="L166" i="30" s="1"/>
  <c r="V26" i="16"/>
  <c r="U28" i="16"/>
</calcChain>
</file>

<file path=xl/sharedStrings.xml><?xml version="1.0" encoding="utf-8"?>
<sst xmlns="http://schemas.openxmlformats.org/spreadsheetml/2006/main" count="2913" uniqueCount="1425">
  <si>
    <t>District Name</t>
  </si>
  <si>
    <t>County</t>
  </si>
  <si>
    <t xml:space="preserve"> CTD number</t>
  </si>
  <si>
    <t>FY</t>
  </si>
  <si>
    <t>Revenues and property taxation</t>
  </si>
  <si>
    <t xml:space="preserve"> State of Arizona</t>
  </si>
  <si>
    <t>1.</t>
  </si>
  <si>
    <t xml:space="preserve">    School District Annual Expenditure Budget</t>
  </si>
  <si>
    <t>2.</t>
  </si>
  <si>
    <t>Districtwide Budget</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</si>
  <si>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</si>
  <si>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</si>
  <si>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</si>
  <si>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</si>
  <si>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</si>
  <si>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</si>
  <si>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</si>
  <si>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</si>
  <si>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</si>
  <si>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By the Governing Board</t>
  </si>
  <si>
    <t xml:space="preserve">  TOTAL</t>
  </si>
  <si>
    <t xml:space="preserve">$ </t>
  </si>
  <si>
    <t>3.</t>
  </si>
  <si>
    <t>District tax rates for prior and budget fiscal years (A.R.S. §15-903.D.4)</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</si>
  <si>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</si>
  <si>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</si>
  <si>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</si>
  <si>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</si>
  <si>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</si>
  <si>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</si>
  <si>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</si>
  <si>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</si>
  <si>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</si>
  <si>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</si>
  <si>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</si>
  <si>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</si>
  <si>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</si>
  <si>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</si>
  <si>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Total budgeted expenditures and aggregate school district budget limit (A.R.S. §15-905.H)</t>
  </si>
  <si>
    <t>Budgeted Expenditures</t>
  </si>
  <si>
    <t>Budget Limit</t>
  </si>
  <si>
    <t>Signed</t>
  </si>
  <si>
    <t>4.</t>
  </si>
  <si>
    <t>Total aggregate school district budget limit (sum of lines 1 through 3)</t>
  </si>
  <si>
    <t xml:space="preserve"> </t>
  </si>
  <si>
    <t xml:space="preserve">the School Finance Budget System on ADE’s website by  </t>
  </si>
  <si>
    <t>.</t>
  </si>
  <si>
    <t>Average teacher salaries (A.R.S. §15-903.E)</t>
  </si>
  <si>
    <t>Check this box if your district has no teachers 
(transporting districts and some CTEDs).</t>
  </si>
  <si>
    <t>Superintendent signature</t>
  </si>
  <si>
    <t>Business Manager signature</t>
  </si>
  <si>
    <t>Increase in average teacher salary from the prior year</t>
  </si>
  <si>
    <t xml:space="preserve">Percentage increase </t>
  </si>
  <si>
    <t xml:space="preserve">Comments on average salary calculation (Optional): </t>
  </si>
  <si>
    <t>Superintendent name (typed name)</t>
  </si>
  <si>
    <t>Business Manager name (typed name)</t>
  </si>
  <si>
    <t>District contact employee:</t>
  </si>
  <si>
    <t>Telephone:</t>
  </si>
  <si>
    <t>Email:</t>
  </si>
  <si>
    <t>District name</t>
  </si>
  <si>
    <t>CTD number</t>
  </si>
  <si>
    <t>AZ Dept of Juvenile Corrections (AZDJC)</t>
  </si>
  <si>
    <t>Infinite Visions</t>
  </si>
  <si>
    <t>BocaVox (Maestro)</t>
  </si>
  <si>
    <t>Munis</t>
  </si>
  <si>
    <t>Edupoint (Synergy)</t>
  </si>
  <si>
    <t>PowerSchool BusinessPlus</t>
  </si>
  <si>
    <t>Edupoint (Edupoint)</t>
  </si>
  <si>
    <t>Other, please add at right</t>
  </si>
  <si>
    <t>Hane Solutions (SchoolDex)</t>
  </si>
  <si>
    <t>InfiniteCampus (InfiniteCampus)</t>
  </si>
  <si>
    <t>JupiterEd (JupiterEd)</t>
  </si>
  <si>
    <t>MediaNet Solutions (e-IEP PRO)</t>
  </si>
  <si>
    <t>PowerSchool (PowerSchool)</t>
  </si>
  <si>
    <t>Strongmind (Strongmind)</t>
  </si>
  <si>
    <t>Tyler Technologies (Schoolmaster)</t>
  </si>
  <si>
    <t>Tyler Technologies (Tyler SIS v10)</t>
  </si>
  <si>
    <t>FOCUS School Software LLC</t>
  </si>
  <si>
    <t>SELECT from Dropdown</t>
  </si>
  <si>
    <t xml:space="preserve">Student Information Systems (SIS) Vendor </t>
  </si>
  <si>
    <t>Accounting Information System</t>
  </si>
  <si>
    <t>Bookstore Cash Receipting System</t>
  </si>
  <si>
    <t>Fund 001 (M&amp;O)</t>
  </si>
  <si>
    <t>Maintenance and Operation (M&amp;O) Fund</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</si>
  <si>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</si>
  <si>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</si>
  <si>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</si>
  <si>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</si>
  <si>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</si>
  <si>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</si>
  <si>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</si>
  <si>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</si>
  <si>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</si>
  <si>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</si>
  <si>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</si>
  <si>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</si>
  <si>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</si>
  <si>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</si>
  <si>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</si>
  <si>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</si>
  <si>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</si>
  <si>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</si>
  <si>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</si>
  <si>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</si>
  <si>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100 Regular Education</t>
  </si>
  <si>
    <t xml:space="preserve">   1000 Instruction</t>
  </si>
  <si>
    <t xml:space="preserve">   2000 Support Services</t>
  </si>
  <si>
    <t xml:space="preserve">      2100 Students</t>
  </si>
  <si>
    <t xml:space="preserve">      2200 Instructional Staff</t>
  </si>
  <si>
    <t xml:space="preserve">      2300 General Administration</t>
  </si>
  <si>
    <t xml:space="preserve">      2400 School Administration</t>
  </si>
  <si>
    <t>5.</t>
  </si>
  <si>
    <t xml:space="preserve">      2500 Central Services</t>
  </si>
  <si>
    <t>6.</t>
  </si>
  <si>
    <t xml:space="preserve">      2600 Operation &amp; Maintenance of Plant</t>
  </si>
  <si>
    <t>7.</t>
  </si>
  <si>
    <t xml:space="preserve">      2900 Other</t>
  </si>
  <si>
    <t>8.</t>
  </si>
  <si>
    <t xml:space="preserve">   3000 Operation of Noninstructional Services</t>
  </si>
  <si>
    <t>9.</t>
  </si>
  <si>
    <t>610 School-Sponsored Cocurricular Activities</t>
  </si>
  <si>
    <t>10.</t>
  </si>
  <si>
    <t>620 School-Sponsored Athletics</t>
  </si>
  <si>
    <t>11.</t>
  </si>
  <si>
    <t>630 Other Instructional Programs</t>
  </si>
  <si>
    <t>12.</t>
  </si>
  <si>
    <t>700, 800, 900 Other Programs</t>
  </si>
  <si>
    <t>13.</t>
  </si>
  <si>
    <t xml:space="preserve">   Regular Education Subsection Subtotal (lines 1-13)</t>
  </si>
  <si>
    <t>14.</t>
  </si>
  <si>
    <t>200 and 300 Special Education</t>
  </si>
  <si>
    <t>15.</t>
  </si>
  <si>
    <t>16.</t>
  </si>
  <si>
    <t>17.</t>
  </si>
  <si>
    <t>18.</t>
  </si>
  <si>
    <t>19.</t>
  </si>
  <si>
    <t>20.</t>
  </si>
  <si>
    <t>21.</t>
  </si>
  <si>
    <t>22.</t>
  </si>
  <si>
    <t>23.</t>
  </si>
  <si>
    <t xml:space="preserve">   Subtotal (lines 15-23)  </t>
  </si>
  <si>
    <t>24.</t>
  </si>
  <si>
    <t>400 Pupil Transportation</t>
  </si>
  <si>
    <t>25.</t>
  </si>
  <si>
    <t>510 Desegregation (from Districtwide Desegregation</t>
  </si>
  <si>
    <t xml:space="preserve">    Budget, page 2, line 44)</t>
  </si>
  <si>
    <t>26.</t>
  </si>
  <si>
    <t>530 Dropout Prevention Programs</t>
  </si>
  <si>
    <t>27.</t>
  </si>
  <si>
    <t>540 Joint Career and Technical Education and Vocational</t>
  </si>
  <si>
    <t xml:space="preserve">    Education Center </t>
  </si>
  <si>
    <t>28.</t>
  </si>
  <si>
    <t>550 K-3 Reading Program</t>
  </si>
  <si>
    <t>29.</t>
  </si>
  <si>
    <t>30.</t>
  </si>
  <si>
    <t xml:space="preserve">          </t>
  </si>
  <si>
    <t>Special education programs by type (M&amp;O Fund Programs 200 and 300)</t>
  </si>
  <si>
    <r>
      <t>(A.R.S. §</t>
    </r>
    <r>
      <rPr>
        <sz val="10"/>
        <rFont val="Calibri"/>
        <family val="2"/>
      </rPr>
      <t>§</t>
    </r>
    <r>
      <rPr>
        <sz val="10"/>
        <rFont val="Times New Roman"/>
        <family val="1"/>
      </rPr>
      <t xml:space="preserve"> 15-761 and 15-903)</t>
    </r>
  </si>
  <si>
    <t>Prior FY</t>
  </si>
  <si>
    <t>Budget FY</t>
  </si>
  <si>
    <t>Expenditures budgeted for audit services</t>
  </si>
  <si>
    <t>Gifted Education</t>
  </si>
  <si>
    <t>M&amp;O Fund - Nonfederal</t>
  </si>
  <si>
    <t>Remedial Education</t>
  </si>
  <si>
    <t>All Funds - Federal</t>
  </si>
  <si>
    <t>ELL Incremental Costs</t>
  </si>
  <si>
    <t>ELL Compensatory Instruction</t>
  </si>
  <si>
    <t>Vocational and Technical Education (non-CTED)</t>
  </si>
  <si>
    <t>Career Education (non-CTED)</t>
  </si>
  <si>
    <t>Amount Budgeted in M&amp;O Fund for a Performance Pay Component</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</si>
  <si>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</si>
  <si>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</si>
  <si>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</si>
  <si>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</si>
  <si>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</si>
  <si>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Expenditures budgeted in the M&amp;O Fund for food service</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</si>
  <si>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</si>
  <si>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</si>
  <si>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</si>
  <si>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</si>
  <si>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Proposed ratios for special education</t>
  </si>
  <si>
    <t>(A.R.S. §§15-903.E.1 and 15-764.A.5)</t>
  </si>
  <si>
    <t>Teacher-Pupil 1 to</t>
  </si>
  <si>
    <t>Staff-Pupil  1 to</t>
  </si>
  <si>
    <t xml:space="preserve">District name </t>
  </si>
  <si>
    <t>Fund 010 (CSF)</t>
  </si>
  <si>
    <t>Classroom Site Fund (CSF) and CSF Budget Limit (A.R.S. §§ 15-977 and 15-978)</t>
  </si>
  <si>
    <t>Debt service</t>
  </si>
  <si>
    <t>Employee benefits</t>
  </si>
  <si>
    <t>Purchased services</t>
  </si>
  <si>
    <t>Property</t>
  </si>
  <si>
    <t>and miscellaneous</t>
  </si>
  <si>
    <t>6300, 6400, 6500</t>
  </si>
  <si>
    <t xml:space="preserve">     1000 Instruction</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</si>
  <si>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</si>
  <si>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</si>
  <si>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</si>
  <si>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</si>
  <si>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</si>
  <si>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</si>
  <si>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</si>
  <si>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Classroom Site Fund Budget Limit Calculation</t>
  </si>
  <si>
    <t xml:space="preserve">(1) This line may be used to recapture lost CSF budget capacity that resulted from underbudgeting in prior fiscal years. </t>
  </si>
  <si>
    <t>Fund 610 (UCO)</t>
  </si>
  <si>
    <t>Unrestricted Capital Outlay (UCO) Fund</t>
  </si>
  <si>
    <t>Rentals</t>
  </si>
  <si>
    <t xml:space="preserve">Library books, textbooks, </t>
  </si>
  <si>
    <t>Short-term noninstructional software subscription</t>
  </si>
  <si>
    <t>Property (2)</t>
  </si>
  <si>
    <t>Redemption of principal (3)</t>
  </si>
  <si>
    <t>Interest (4)</t>
  </si>
  <si>
    <t xml:space="preserve"> &amp; instructional</t>
  </si>
  <si>
    <t>All other</t>
  </si>
  <si>
    <t>aids (2)</t>
  </si>
  <si>
    <t>object codes</t>
  </si>
  <si>
    <t>6641-6643</t>
  </si>
  <si>
    <t>6831, 6832, 6833</t>
  </si>
  <si>
    <t>6841, 6842, 6843, 6850</t>
  </si>
  <si>
    <t>(excluding 6900)</t>
  </si>
  <si>
    <t>Unrestricted Capital Outlay Override  (1)</t>
  </si>
  <si>
    <t>Unrestricted Capital Outlay Fund 610 (6)</t>
  </si>
  <si>
    <t xml:space="preserve">        1000  Instruction</t>
  </si>
  <si>
    <t xml:space="preserve">        2000  Support Services</t>
  </si>
  <si>
    <t xml:space="preserve">            2100, 2200  Students and Instructional Staff</t>
  </si>
  <si>
    <t xml:space="preserve">            2300, 2400, 2500, 2900  Administration</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</si>
  <si>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</si>
  <si>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</si>
  <si>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</si>
  <si>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</si>
  <si>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</si>
  <si>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(5)</t>
  </si>
  <si>
    <t>Expenditures budgeted in Unrestricted Capital Outlay (UCO) Fund for food service</t>
  </si>
  <si>
    <t xml:space="preserve">Enter the amount budgeted in UCO for food service [amount will be used to determine district </t>
  </si>
  <si>
    <t>compliance with state matching requirements pursuant to CFR Title 7, §210.17(a)]</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</si>
  <si>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</si>
  <si>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</si>
  <si>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</si>
  <si>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</si>
  <si>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</si>
  <si>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</si>
  <si>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</si>
  <si>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</si>
  <si>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</si>
  <si>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</si>
  <si>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</si>
  <si>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</si>
  <si>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</si>
  <si>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</si>
  <si>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</si>
  <si>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Other funds—required capital expenditure detail [(A.R.S. §15-904.(B)]</t>
  </si>
  <si>
    <t>Bond Building</t>
  </si>
  <si>
    <t>New School Facilities</t>
  </si>
  <si>
    <t>Adjacent Ways</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</si>
  <si>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</si>
  <si>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</si>
  <si>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</si>
  <si>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</si>
  <si>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</si>
  <si>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</si>
  <si>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</si>
  <si>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</si>
  <si>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</si>
  <si>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</si>
  <si>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</si>
  <si>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</si>
  <si>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</si>
  <si>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</si>
  <si>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</si>
  <si>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</si>
  <si>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Renovation</t>
  </si>
  <si>
    <t xml:space="preserve">       New Construction</t>
  </si>
  <si>
    <t xml:space="preserve">       Other</t>
  </si>
  <si>
    <t xml:space="preserve">CTD number </t>
  </si>
  <si>
    <t>Special projects</t>
  </si>
  <si>
    <t>Other funds expenditures</t>
  </si>
  <si>
    <t>Total all functions</t>
  </si>
  <si>
    <t>050  County, City, and Town Grants</t>
  </si>
  <si>
    <t>Federal projects FTE &amp; expenditures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</si>
  <si>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</si>
  <si>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</si>
  <si>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</si>
  <si>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</si>
  <si>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</si>
  <si>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</si>
  <si>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</si>
  <si>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</si>
  <si>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</si>
  <si>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</si>
  <si>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</si>
  <si>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</si>
  <si>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</si>
  <si>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</si>
  <si>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</si>
  <si>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</si>
  <si>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</si>
  <si>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</si>
  <si>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</si>
  <si>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</si>
  <si>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</si>
  <si>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</si>
  <si>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</si>
  <si>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</si>
  <si>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</si>
  <si>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</si>
  <si>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</si>
  <si>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</si>
  <si>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</si>
  <si>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349 National Forest Fees</t>
  </si>
  <si>
    <t>570  Indirect Costs</t>
  </si>
  <si>
    <t>353 Taylor Grazing Fees</t>
  </si>
  <si>
    <t>575  Unemployment Insurance</t>
  </si>
  <si>
    <t>374 E-Rate</t>
  </si>
  <si>
    <t>580  Teacherage</t>
  </si>
  <si>
    <t>378 Impact Aid</t>
  </si>
  <si>
    <t>585  Insurance Refund</t>
  </si>
  <si>
    <t xml:space="preserve">300-399 Other Federal Projects </t>
  </si>
  <si>
    <t>590  Grants and Gifts to Teachers</t>
  </si>
  <si>
    <t>699 Federal Impact Aid (Construction)</t>
  </si>
  <si>
    <t>595  Advertisement</t>
  </si>
  <si>
    <t>Total Federal Project Funds (lines 1-20)</t>
  </si>
  <si>
    <t>596  Career Technical Education</t>
  </si>
  <si>
    <t>State projects FTE &amp; expenditures</t>
  </si>
  <si>
    <t>597  Arizona Industry Credentials Incentive</t>
  </si>
  <si>
    <t>400 Vocational Education</t>
  </si>
  <si>
    <t>639  Impact Aid Revenue Bond Building</t>
  </si>
  <si>
    <t>410 Early Childhood Block Grant</t>
  </si>
  <si>
    <t>650  Gifts and Donations-Capital</t>
  </si>
  <si>
    <t>420 Ext. School Yr. - Pupils with Disabilities</t>
  </si>
  <si>
    <t>660  Condemnation</t>
  </si>
  <si>
    <t>425 Adult Basic Education</t>
  </si>
  <si>
    <t>665  Energy and Water Savings</t>
  </si>
  <si>
    <t>430 Chemical Abuse Prevention Programs</t>
  </si>
  <si>
    <t>686  Emergency Deficiencies Correction</t>
  </si>
  <si>
    <t>435 Academic Contests</t>
  </si>
  <si>
    <t>691  Building Renewal Grant</t>
  </si>
  <si>
    <t>450 Gifted Education</t>
  </si>
  <si>
    <t>31.</t>
  </si>
  <si>
    <t>700  Debt Service</t>
  </si>
  <si>
    <t>456 College Credit Exam Incentives</t>
  </si>
  <si>
    <t>32.</t>
  </si>
  <si>
    <t>720  Impact Aid Revenue Bond Debt Service</t>
  </si>
  <si>
    <t>460 Environmental Special Plate</t>
  </si>
  <si>
    <t>33.</t>
  </si>
  <si>
    <t>850  Student Activities</t>
  </si>
  <si>
    <t>Other State Projects</t>
  </si>
  <si>
    <t>34.</t>
  </si>
  <si>
    <t>Total State Project Funds (lines 22-31)</t>
  </si>
  <si>
    <t>Internal Service Funds 950-989</t>
  </si>
  <si>
    <t>Total Special Projects (lines 21 and 32)</t>
  </si>
  <si>
    <t>9___ Self-Insurance</t>
  </si>
  <si>
    <t>955  Intergovernmental Agreements</t>
  </si>
  <si>
    <t>Instructional Improvement Fund Expenditures (020)</t>
  </si>
  <si>
    <t>9__  OPEB</t>
  </si>
  <si>
    <t>Teacher Compensation Increases</t>
  </si>
  <si>
    <t>Class Size Reduction</t>
  </si>
  <si>
    <t>Dropout Prevention Programs (M&amp;O purposes)</t>
  </si>
  <si>
    <t>Instructional Improvement Programs (M&amp;O purposes)</t>
  </si>
  <si>
    <t>(1)</t>
  </si>
  <si>
    <t>From Supplement, line 10 and line 20, respectively.</t>
  </si>
  <si>
    <t>Total Instructional Improvement Fund (lines 1-4)</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</si>
  <si>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</si>
  <si>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</si>
  <si>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</si>
  <si>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</si>
  <si>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</si>
  <si>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</si>
  <si>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</si>
  <si>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</si>
  <si>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</si>
  <si>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</si>
  <si>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</si>
  <si>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</si>
  <si>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</si>
  <si>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</si>
  <si>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</si>
  <si>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</si>
  <si>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</si>
  <si>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</si>
  <si>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Calculation of Maximum Override for a District No Longer Eligible for a Small School Adjustment, line 6 and Calculation of Small School Adjustment Phase Down Limit, line 6)</t>
  </si>
  <si>
    <t xml:space="preserve">Maintenance and Operation </t>
  </si>
  <si>
    <t>Special Program</t>
  </si>
  <si>
    <t>*4.</t>
  </si>
  <si>
    <t>Small School Adjustment for Districts with a Student Count of 125 or less in K-8 or 100 or less in 9-12 (A.R.S. §15-949) (Up to $50,000 if no election is chosen for phase down, see Calculations page, Calculation of Small School Adjustment Phase Down Limit, line 6)</t>
  </si>
  <si>
    <t>*5.</t>
  </si>
  <si>
    <t xml:space="preserve">Tuition Revenue (A.R.S. §§15-823 and 15-824) </t>
  </si>
  <si>
    <r>
      <t xml:space="preserve">(Do </t>
    </r>
    <r>
      <rPr>
        <b/>
        <sz val="9"/>
        <color indexed="8"/>
        <rFont val="Times New Roman"/>
        <family val="1"/>
      </rPr>
      <t>not</t>
    </r>
    <r>
      <rPr>
        <sz val="9"/>
        <color indexed="8"/>
        <rFont val="Times New Roman"/>
        <family val="1"/>
      </rPr>
      <t xml:space="preserve"> include full-day kindergarten or summer school tuition)</t>
    </r>
  </si>
  <si>
    <t>Individuals and Other Private Sources</t>
  </si>
  <si>
    <t>Other Arizona Districts</t>
  </si>
  <si>
    <t>Out-of-State Districts and Other Governments</t>
  </si>
  <si>
    <t>(d)</t>
  </si>
  <si>
    <t>Certificates of Educational Convenience (A.R.S. §§15-825, 15-825.01, and 15-825.02)</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</si>
  <si>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</si>
  <si>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</si>
  <si>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</si>
  <si>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</si>
  <si>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</si>
  <si>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</si>
  <si>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Desegregation Expenditures (A.R.S. §15-910.G-K)</t>
  </si>
  <si>
    <t>*</t>
  </si>
  <si>
    <t>Budget Balance Carryforward (from Calculations page, Calculation of M&amp;O Fund Budget Balance Carryforward, line 13) (A.R.S. §15-943.01)</t>
  </si>
  <si>
    <t>Dropout Prevention Programs (Laws 1992, Ch. 305, §32 and Laws 2000, Ch. 398, §2)</t>
  </si>
  <si>
    <t xml:space="preserve">Registered Warrant or Tax Anticipation Note Interest Expense Incurred in </t>
  </si>
  <si>
    <t>(e)</t>
  </si>
  <si>
    <t>Joint Career and Technical Education and Vocational Education Center (A.R.S. §15-910.01)</t>
  </si>
  <si>
    <t>(f)</t>
  </si>
  <si>
    <t>(g)</t>
  </si>
  <si>
    <t>Excessive Property Tax Assessed Valuation Judgments (A.R.S. §§42-16213 and 42-16214)</t>
  </si>
  <si>
    <t>(h)</t>
  </si>
  <si>
    <t>Transportation Revenues for Attendance of Nonresident Pupils (A.R.S. §§15-923 and 15-947)</t>
  </si>
  <si>
    <t>*9.</t>
  </si>
  <si>
    <t>Adjustment to the General Budget Limit (A.R.S. §§15-272, 15-905.M, 15-910.02, and 15-915) 
Include year(s) and descriptions, as applicable.</t>
  </si>
  <si>
    <t>Prior Year Over Expenditures/Resolutions:</t>
  </si>
  <si>
    <t>Decrease for Transfer from M&amp;O to Energy and Water Savings Fund</t>
  </si>
  <si>
    <t>Increase for Energy and Water Savings Fund Transfer to M&amp;O</t>
  </si>
  <si>
    <t>Noncompliance Adjustment</t>
  </si>
  <si>
    <t>ADM/Transportation Audit Adjustment</t>
  </si>
  <si>
    <t>Other:</t>
  </si>
  <si>
    <t>(A.R.S. §15-905.F)  (page 1, line 30 cannot exceed this amount)</t>
  </si>
  <si>
    <t>( A.R.S. §15-905.F) (to page 8, line 11)</t>
  </si>
  <si>
    <t>Subject to adjustment prior to May 15 as allowed by A.R.S. Revisions are described in the instructions for these lines, as needed.</t>
  </si>
  <si>
    <t xml:space="preserve">District name      </t>
  </si>
  <si>
    <t>Unrestricted Capital Budget Limit</t>
  </si>
  <si>
    <t>Total UCBL Adjustment for prior years as notified by ADE on BUDG75 report (For budget</t>
  </si>
  <si>
    <t>adoption, use zero.)</t>
  </si>
  <si>
    <t>Lesser of line 3 or the sum of line 4 and any positive adjustment on line 2</t>
  </si>
  <si>
    <t>to date plus estimated expenditures through fiscal year-end.)</t>
  </si>
  <si>
    <t xml:space="preserve">Unexpended Budget Balance in Fund 610 (line 5 minus 6) If negative, use zero in </t>
  </si>
  <si>
    <t>calculation, but show negative amount here in parentheses.</t>
  </si>
  <si>
    <t>Monies deposited in Fund 610 from Division of School Facilities for donated land (A.R.S. §41-5741.F)</t>
  </si>
  <si>
    <t>The amount budgeted on page 4, line 10 cannot exceed this amount.</t>
  </si>
  <si>
    <t>Supplement to school district annual expenditure budget for districts that budget for English language learners 
 (A.R.S. §§15-756.04 and 15-756.11)</t>
  </si>
  <si>
    <t>English Language Learners Supplement</t>
  </si>
  <si>
    <t>benefits</t>
  </si>
  <si>
    <t>services</t>
  </si>
  <si>
    <t>English Language Learner Fund 071  (A.R.S. §15-756.04)</t>
  </si>
  <si>
    <t xml:space="preserve">      2700 Student Transportation </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</si>
  <si>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</si>
  <si>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</si>
  <si>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</si>
  <si>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</si>
  <si>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</si>
  <si>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</si>
  <si>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I certify that the budget of</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</si>
  <si>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</si>
  <si>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</si>
  <si>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</si>
  <si>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</si>
  <si>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</si>
  <si>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</si>
  <si>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</si>
  <si>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</si>
  <si>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Prior year</t>
  </si>
  <si>
    <t>Budget year</t>
  </si>
  <si>
    <t>4. Average teacher salaries (A.R.S. §15-903.E)</t>
  </si>
  <si>
    <t>Attending</t>
  </si>
  <si>
    <t>3. Increase in average teacher salary from the prior year</t>
  </si>
  <si>
    <t>2.  Tax Rates:</t>
  </si>
  <si>
    <t>Est. Budget FY</t>
  </si>
  <si>
    <t xml:space="preserve">4. Percentage increase </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</si>
  <si>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</si>
  <si>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</si>
  <si>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3.  Budgeted expenditures and Budget Limits:</t>
  </si>
  <si>
    <t>Maintenance &amp; Operation Fund</t>
  </si>
  <si>
    <t>Classroom Site Fund</t>
  </si>
  <si>
    <t>Unrestricted Capital Outlay Fund</t>
  </si>
  <si>
    <t>Maintenance and Operation Expenditures</t>
  </si>
  <si>
    <t>% Inc./(Decr.)</t>
  </si>
  <si>
    <t>Salaries and Benefits</t>
  </si>
  <si>
    <t>TOTAL</t>
  </si>
  <si>
    <t>from</t>
  </si>
  <si>
    <t xml:space="preserve">      2300, 2400, 2500 Administration</t>
  </si>
  <si>
    <t xml:space="preserve">      2600 Oper./Maint. of Plant</t>
  </si>
  <si>
    <t xml:space="preserve">      2900 Other </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</si>
  <si>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</si>
  <si>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</si>
  <si>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</si>
  <si>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</si>
  <si>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</si>
  <si>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510 Desegregation</t>
  </si>
  <si>
    <t>540 Joint Career and Technical Education</t>
  </si>
  <si>
    <t xml:space="preserve">       and Vocational Education Center</t>
  </si>
  <si>
    <t>The table below calculates the total amount shown on the Total expenditures by fund, Other line.  This table does not need to be printed as an official part of the budget forms.</t>
  </si>
  <si>
    <t>Total expenditures by fund</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</si>
  <si>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</si>
  <si>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</si>
  <si>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</si>
  <si>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</si>
  <si>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</si>
  <si>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</si>
  <si>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</si>
  <si>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</si>
  <si>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</si>
  <si>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</si>
  <si>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</si>
  <si>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</si>
  <si>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Debt Service</t>
  </si>
  <si>
    <t>School Plant Fund</t>
  </si>
  <si>
    <t>Auxiliary Operations</t>
  </si>
  <si>
    <t>Food Service</t>
  </si>
  <si>
    <t>M&amp;O Fund Special Education Programs by type</t>
  </si>
  <si>
    <r>
      <t>Program (A.R.S. §§15-761</t>
    </r>
    <r>
      <rPr>
        <b/>
        <sz val="8"/>
        <rFont val="Times New Roman"/>
        <family val="1"/>
      </rPr>
      <t xml:space="preserve"> and 15-903)</t>
    </r>
  </si>
  <si>
    <t>Total All Disability Classifications</t>
  </si>
  <si>
    <t xml:space="preserve">             TOTAL</t>
  </si>
  <si>
    <t>Proposed staffing summary</t>
  </si>
  <si>
    <t>Staff Type</t>
  </si>
  <si>
    <t>Purchased Services Personnel  FTE</t>
  </si>
  <si>
    <t>Employee FTE</t>
  </si>
  <si>
    <t>Total FTE</t>
  </si>
  <si>
    <t>Staff-Pupil Ratio</t>
  </si>
  <si>
    <t>Certified --</t>
  </si>
  <si>
    <t>Total</t>
  </si>
  <si>
    <t>Superintendent, principals, other administrators</t>
  </si>
  <si>
    <t>1  to</t>
  </si>
  <si>
    <t>Teachers</t>
  </si>
  <si>
    <t>Subtotal</t>
  </si>
  <si>
    <t>Classified --</t>
  </si>
  <si>
    <t>Managers, supervisors, directors</t>
  </si>
  <si>
    <t>Teachers aides</t>
  </si>
  <si>
    <t>Special education --</t>
  </si>
  <si>
    <t>Teacher</t>
  </si>
  <si>
    <t xml:space="preserve">1 to </t>
  </si>
  <si>
    <t>Staff</t>
  </si>
  <si>
    <t>Deduction for discontinued programs</t>
  </si>
  <si>
    <t>Primary property tax rate related to budgeted expenditures</t>
  </si>
  <si>
    <t xml:space="preserve">Desegregation (no longer a primary levy, must be zero) </t>
  </si>
  <si>
    <t>Dropout prevention (from page 1, line 27)</t>
  </si>
  <si>
    <t xml:space="preserve">Joint Career and Technical Education and Vocational Education Center </t>
  </si>
  <si>
    <t>Small school adjustment (from page 7, line 4, columns A and B)</t>
  </si>
  <si>
    <t>Desegregation, dropout prevention, and Joint Career and Technical Education and Vocational Education Center</t>
  </si>
  <si>
    <t>a.</t>
  </si>
  <si>
    <t>b.</t>
  </si>
  <si>
    <t>c.</t>
  </si>
  <si>
    <t>Expenditures over/(under) original budget (line 8.a minus line 8.b)</t>
  </si>
  <si>
    <t>Small school adjustment</t>
  </si>
  <si>
    <t>Amount over/(under) budget for small school adjustment (line 9.a minus line 9.b)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</si>
  <si>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</si>
  <si>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</si>
  <si>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</si>
  <si>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</si>
  <si>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</si>
  <si>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</si>
  <si>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</si>
  <si>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</si>
  <si>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</si>
  <si>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Current assessed value</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</si>
  <si>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</si>
  <si>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</si>
  <si>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</si>
  <si>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</si>
  <si>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</si>
  <si>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</si>
  <si>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</si>
  <si>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</si>
  <si>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Funds</t>
  </si>
  <si>
    <t>General</t>
  </si>
  <si>
    <t>Capital Projects</t>
  </si>
  <si>
    <t>Special Revenue</t>
  </si>
  <si>
    <t xml:space="preserve">Debt Service </t>
  </si>
  <si>
    <t xml:space="preserve">Permanent </t>
  </si>
  <si>
    <t xml:space="preserve">Enterprise </t>
  </si>
  <si>
    <t>Internal Services</t>
  </si>
  <si>
    <t>Total all funds</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</si>
  <si>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</si>
  <si>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</si>
  <si>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</si>
  <si>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</si>
  <si>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</si>
  <si>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</si>
  <si>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</si>
  <si>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</si>
  <si>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</si>
  <si>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</si>
  <si>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Yes</t>
  </si>
  <si>
    <t>No</t>
  </si>
  <si>
    <t xml:space="preserve">(a) Nonspendable </t>
  </si>
  <si>
    <t>(b) Restricted</t>
  </si>
  <si>
    <t>(c) Committed</t>
  </si>
  <si>
    <t>(d) Assigned</t>
  </si>
  <si>
    <t>(e) Unassigned</t>
  </si>
  <si>
    <t>(f) Total (amount must agree to line 3 above)</t>
  </si>
  <si>
    <t>(a) Fund deficit</t>
  </si>
  <si>
    <t>(b) Fund balance exceeding budget capacity in budget controlled funds</t>
  </si>
  <si>
    <t>(e) Total (amount must agree to line 3 above)</t>
  </si>
  <si>
    <t>Comments (optional)</t>
  </si>
  <si>
    <t>Data entry sheet</t>
  </si>
  <si>
    <r>
      <t xml:space="preserve">0.5 mile or less  </t>
    </r>
    <r>
      <rPr>
        <b/>
        <sz val="9"/>
        <rFont val="Times New Roman"/>
        <family val="1"/>
      </rPr>
      <t>OR</t>
    </r>
    <r>
      <rPr>
        <sz val="9"/>
        <rFont val="Times New Roman"/>
        <family val="1"/>
      </rPr>
      <t xml:space="preserve">  more than 1.0 mile</t>
    </r>
  </si>
  <si>
    <t>More than 0.5 mile through 1.0 mile</t>
  </si>
  <si>
    <t>Unweighted student count</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</si>
  <si>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</si>
  <si>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</si>
  <si>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</si>
  <si>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</si>
  <si>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</si>
  <si>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Check box for Type 03 districts that educate high school students.</t>
  </si>
  <si>
    <t xml:space="preserve">2. </t>
  </si>
  <si>
    <t>Current Year ADM (A.R.S. §§15-943 and 15-808)</t>
  </si>
  <si>
    <t>Student count by category</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</si>
  <si>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</si>
  <si>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</si>
  <si>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</si>
  <si>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</si>
  <si>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</si>
  <si>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</si>
  <si>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</si>
  <si>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</si>
  <si>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</si>
  <si>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</si>
  <si>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</si>
  <si>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</si>
  <si>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</si>
  <si>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</si>
  <si>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</si>
  <si>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</si>
  <si>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</si>
  <si>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</si>
  <si>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</si>
  <si>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</si>
  <si>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</si>
  <si>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Adjustments to base support level/base revenue control limit (A.R.S. §15-944.E)</t>
  </si>
  <si>
    <t>Check box(es) if the district's schools are designated as small isolated by the State Board of Education. (A.R.S. §15-901)</t>
  </si>
  <si>
    <t>Check box if the district has been approved to provide at least 200 days of instruction by ADE. (A.R.S. §15-902.04)</t>
  </si>
  <si>
    <r>
      <t>Transportation (A.R.S. §§15-816.01, 15-945</t>
    </r>
    <r>
      <rPr>
        <b/>
        <sz val="12"/>
        <rFont val="Times New Roman"/>
        <family val="1"/>
      </rPr>
      <t>,</t>
    </r>
    <r>
      <rPr>
        <b/>
        <sz val="12"/>
        <color indexed="8"/>
        <rFont val="Times New Roman"/>
        <family val="1"/>
      </rPr>
      <t xml:space="preserve"> and 15-946)</t>
    </r>
  </si>
  <si>
    <t>Other information</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</si>
  <si>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</si>
  <si>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</si>
  <si>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</si>
  <si>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CTED 9th Grade Funding Adjustment [(A.R.S. §15-393(X) through (Z), leave blank for budget adoption]</t>
  </si>
  <si>
    <t>CTED Continuation 13th Grade Funding Adjustment  [(A.R.S. §15-393(X) through (Z), leave blank for budget adoption]</t>
  </si>
  <si>
    <t>Assessed property valuations</t>
  </si>
  <si>
    <t>Budget balance carryforward (A.R.S. §15-943.01)</t>
  </si>
  <si>
    <t xml:space="preserve">Special Program Override </t>
  </si>
  <si>
    <t xml:space="preserve">Desegregation (A.R.S. §15-910) </t>
  </si>
  <si>
    <t xml:space="preserve">Dropout prevention programs </t>
  </si>
  <si>
    <t>d.</t>
  </si>
  <si>
    <t xml:space="preserve">Joint Career and Technical Education and Vocational Education Center (A.R.S. §15-910.01) </t>
  </si>
  <si>
    <t xml:space="preserve">Performance pay (A.R.S. §15-920) </t>
  </si>
  <si>
    <t>Budget Balance Carryforward transferred to the School Opening Fund (if any)</t>
  </si>
  <si>
    <t>Districts receiving Federal Impact Aid Revenues (A.R.S. §15-905.R):</t>
  </si>
  <si>
    <t>TRCL/TSL difference</t>
  </si>
  <si>
    <t>Districts operating under the provisions of the small school adjustment (A.R.S. §15-949):</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</si>
  <si>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</si>
  <si>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</si>
  <si>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Districts needing BSL adjustment due to tuition loss (A.R.S. §§15-954 and 15-902.01):</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</si>
  <si>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</si>
  <si>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</si>
  <si>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Base year attending ADM grades 9-12</t>
  </si>
  <si>
    <t xml:space="preserve">Number of tuitioned students lost in the year after the base year due to district of residence offering instruction in grades 9-12 not offered previously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</si>
  <si>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</si>
  <si>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</si>
  <si>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</si>
  <si>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</si>
  <si>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</si>
  <si>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t>Type 03 district information</t>
  </si>
  <si>
    <t xml:space="preserve">High school student count transported by district of residence to district of attendance (A.R.S. §15-961.D) </t>
  </si>
  <si>
    <t>Accommodation district (TYPE 01) information (A.R.S. §15-974)</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</si>
  <si>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</si>
  <si>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</si>
  <si>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Calculations</t>
  </si>
  <si>
    <t>Calculation of support level weights (group A weights)</t>
  </si>
  <si>
    <t>Designated as isolated</t>
  </si>
  <si>
    <t>Not designated as isolated</t>
  </si>
  <si>
    <t>Student Count 0.001-99.999</t>
  </si>
  <si>
    <t>Support Level Weight</t>
  </si>
  <si>
    <t>Student Count 100.000-499.999</t>
  </si>
  <si>
    <t>Student Count Constant</t>
  </si>
  <si>
    <t>Student Count</t>
  </si>
  <si>
    <t>-</t>
  </si>
  <si>
    <t>Difference</t>
  </si>
  <si>
    <t>=</t>
  </si>
  <si>
    <t>Weight Adjustment Factor</t>
  </si>
  <si>
    <t>x</t>
  </si>
  <si>
    <t>Support Level Weight Increase</t>
  </si>
  <si>
    <t>+</t>
  </si>
  <si>
    <t>Adjusted Support Level Weight</t>
  </si>
  <si>
    <t>Student Count 500.000-599.999</t>
  </si>
  <si>
    <t xml:space="preserve">Student Count </t>
  </si>
  <si>
    <t>Student Count 600.000 or More</t>
  </si>
  <si>
    <t>Career Technical Education District</t>
  </si>
  <si>
    <t>Support Level Weight (A.R.S. §15-943.02)</t>
  </si>
  <si>
    <t>Total Weighted Student Count</t>
  </si>
  <si>
    <t>K-3 R</t>
  </si>
  <si>
    <t>Non-AOI</t>
  </si>
  <si>
    <t>AOI FT*</t>
  </si>
  <si>
    <t>Other calculations</t>
  </si>
  <si>
    <t>AOI PT*</t>
  </si>
  <si>
    <t>Portion of BSL/BRCL from total K-3 and total K-3 Reading weighted student counts:</t>
  </si>
  <si>
    <t>*AOI counts shown reflect applicable full-time or part-time funding ratio.</t>
  </si>
  <si>
    <t>Table to calculate DAA per student count</t>
  </si>
  <si>
    <t>DAA per Student Count</t>
  </si>
  <si>
    <t>e.</t>
  </si>
  <si>
    <t>f.</t>
  </si>
  <si>
    <t xml:space="preserve">Support Level Weight  </t>
  </si>
  <si>
    <t>g.</t>
  </si>
  <si>
    <t>h.</t>
  </si>
  <si>
    <t>Support Level Amount</t>
  </si>
  <si>
    <t>i.</t>
  </si>
  <si>
    <t>Calculation of Maintenance and Operation (M&amp;O) Fund budget balance carryforward (A.R.S. §15-943.01)</t>
  </si>
  <si>
    <t>Adjusted GBL</t>
  </si>
  <si>
    <t>Adjustments to the GBL (from line 2)</t>
  </si>
  <si>
    <t>Adjusted budgeted expenditures</t>
  </si>
  <si>
    <t>Lesser of the adjusted GBL (line 3) or the adjusted budgeted expenditures (line 6)</t>
  </si>
  <si>
    <t>Budget balance (line 7 minus line 8) (If negative, zero is shown. Any negative amount is shown here in parentheses.)</t>
  </si>
  <si>
    <t>Actual</t>
  </si>
  <si>
    <t>Unexpended Budget</t>
  </si>
  <si>
    <t>Special program override</t>
  </si>
  <si>
    <t>Desegregation</t>
  </si>
  <si>
    <t>Joint Career and Technical Education and Vocational Education Center</t>
  </si>
  <si>
    <t>Performance pay</t>
  </si>
  <si>
    <t>Total budget balance deductions (lines 10.a through 10.f)</t>
  </si>
  <si>
    <t>Budget Balance after deductions (If negative, the district does not have any budget balance to carry forward.)</t>
  </si>
  <si>
    <t>Accommodation district cash balance carryforward</t>
  </si>
  <si>
    <t xml:space="preserve">Actual Budget Balance Carryforward </t>
  </si>
  <si>
    <t xml:space="preserve">Remaining M&amp;O cash balance </t>
  </si>
  <si>
    <t>Accommodation district maximum RCL addition that may be authorized by County School Superintendent:</t>
  </si>
  <si>
    <r>
      <t xml:space="preserve">The amount on line 14.c </t>
    </r>
    <r>
      <rPr>
        <b/>
        <sz val="9"/>
        <rFont val="Times New Roman"/>
        <family val="1"/>
      </rPr>
      <t>or</t>
    </r>
  </si>
  <si>
    <t>Result (line 15.b plus line 15.c)</t>
  </si>
  <si>
    <t>The lesser of line 15.a or 15.d</t>
  </si>
  <si>
    <t>Calculation of the amount available to be spent in the Impact Aid Fund (A.R.S. §15-905.R)</t>
  </si>
  <si>
    <t>Calculation of small school adjustment phase down limit</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</si>
  <si>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</si>
  <si>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 xml:space="preserve">the district may continue to adopt a budget using a small school adjustment on page 7, line 4 of up to $50,000 without an election.  </t>
  </si>
  <si>
    <t>A district whose student count K-8 has exceeded 125 but is less than 154 may determine the small school adjustment phase down as follows:</t>
  </si>
  <si>
    <t>SMALL</t>
  </si>
  <si>
    <t>Phase down base</t>
  </si>
  <si>
    <t>TABLE I: Grades K-8</t>
  </si>
  <si>
    <t>ISOLATED</t>
  </si>
  <si>
    <t>Student count constant</t>
  </si>
  <si>
    <t>Small school student count limit</t>
  </si>
  <si>
    <t xml:space="preserve">Student count above the small school limit </t>
  </si>
  <si>
    <t>Adjusted Support Level Weight (See Table I at right for calculation)</t>
  </si>
  <si>
    <t>Weight adjustment factor</t>
  </si>
  <si>
    <t xml:space="preserve">Weighted student count above small school limit </t>
  </si>
  <si>
    <t>Support level weight increase</t>
  </si>
  <si>
    <t xml:space="preserve">Base Level Amount </t>
  </si>
  <si>
    <t xml:space="preserve">Support level weight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</si>
  <si>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</si>
  <si>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</si>
  <si>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</si>
  <si>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</si>
  <si>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Adjusted support level weight (See Table II at right for calculation)</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</si>
  <si>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</si>
  <si>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</si>
  <si>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Allowable small school adjustment, subject to an election </t>
  </si>
  <si>
    <t xml:space="preserve">10% of the District's total RCL </t>
  </si>
  <si>
    <t>Maximum override, subject to an election (Greater of line 4 or line 5)</t>
  </si>
  <si>
    <t>Calculation of maximum override for a district no longer eligible for a small school adjustment</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</si>
  <si>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</si>
  <si>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</si>
  <si>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</si>
  <si>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</si>
  <si>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Maximum percent increase to apply to RCL (.35 minus line 1.e)</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</si>
  <si>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</si>
  <si>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</si>
  <si>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</si>
  <si>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</si>
  <si>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</si>
  <si>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</si>
  <si>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TABLE III: 10% of K-8 Non-Qualifying RCL</t>
  </si>
  <si>
    <t>PSD-8 RCL from BSA55</t>
  </si>
  <si>
    <t>Allowable Small School Adjustment, subject to an election (line 1.h plus line 2.h plus line 3)</t>
  </si>
  <si>
    <t>PSD weighted ADM percentage</t>
  </si>
  <si>
    <t xml:space="preserve">10% of the District's Total RCL </t>
  </si>
  <si>
    <t>RCL from BSA55</t>
  </si>
  <si>
    <t>PSD RCL</t>
  </si>
  <si>
    <t>K-8 non-qualifying RCL</t>
  </si>
  <si>
    <t>10% of K-8 non-qualifying RCL (to Data Entry tab, line 19)</t>
  </si>
  <si>
    <t>Calculation of adjustment for tuition loss and student revenue loss phase-down (A.R.S. §§15-954 and 15-902.01)</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</si>
  <si>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</si>
  <si>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</si>
  <si>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</si>
  <si>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</si>
  <si>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</si>
  <si>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</si>
  <si>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</si>
  <si>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</si>
  <si>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BSL adjustment for the first year after the base year</t>
  </si>
  <si>
    <t>first year factor</t>
  </si>
  <si>
    <t>BSL adjustment for the second year after the base year</t>
  </si>
  <si>
    <t>second year factor</t>
  </si>
  <si>
    <t>BSL adjustment for the third year after the base year</t>
  </si>
  <si>
    <t>third year factor</t>
  </si>
  <si>
    <t xml:space="preserve">Increase in BSL for tuition loss adjustment (line 8 + line 9 + line 10) </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</si>
  <si>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</si>
  <si>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</si>
  <si>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</si>
  <si>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</si>
  <si>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</si>
  <si>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</si>
  <si>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</si>
  <si>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</si>
  <si>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</si>
  <si>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</si>
  <si>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</si>
  <si>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</si>
  <si>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</si>
  <si>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Additional State Aid to Education  (ASAE) information for Department of Revenue (A.R.S. §15-992)</t>
  </si>
  <si>
    <t>Dropout Prevention Program (from page 1, line 27)</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</si>
  <si>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</si>
  <si>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</si>
  <si>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</si>
  <si>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</si>
  <si>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</si>
  <si>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Basic Calculations For Equalization Essistance</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</si>
  <si>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</si>
  <si>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</si>
  <si>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</si>
  <si>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</si>
  <si>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</si>
  <si>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</si>
  <si>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</si>
  <si>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</si>
  <si>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</si>
  <si>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</si>
  <si>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</si>
  <si>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</si>
  <si>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</si>
  <si>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</si>
  <si>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</si>
  <si>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</si>
  <si>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</si>
  <si>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</si>
  <si>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</si>
  <si>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</si>
  <si>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</si>
  <si>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</si>
  <si>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</si>
  <si>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</si>
  <si>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</si>
  <si>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</si>
  <si>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</si>
  <si>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</si>
  <si>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</si>
  <si>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</si>
  <si>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</si>
  <si>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</si>
  <si>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</si>
  <si>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</si>
  <si>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</si>
  <si>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</si>
  <si>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</si>
  <si>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</si>
  <si>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</si>
  <si>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CTED 9th Grade Funding Adjustment</t>
  </si>
  <si>
    <t>CTED Continuation 13th Grade Funding Adjustment</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</si>
  <si>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</si>
  <si>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</si>
  <si>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</si>
  <si>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</si>
  <si>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</si>
  <si>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</si>
  <si>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</si>
  <si>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</si>
  <si>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</si>
  <si>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</si>
  <si>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</si>
  <si>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</si>
  <si>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</si>
  <si>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</si>
  <si>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</si>
  <si>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</si>
  <si>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</si>
  <si>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</si>
  <si>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</si>
  <si>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</si>
  <si>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</si>
  <si>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</si>
  <si>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</si>
  <si>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</si>
  <si>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</si>
  <si>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</si>
  <si>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</si>
  <si>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</si>
  <si>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</si>
  <si>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</si>
  <si>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</si>
  <si>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</si>
  <si>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</si>
  <si>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</si>
  <si>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</si>
  <si>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</si>
  <si>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</si>
  <si>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</si>
  <si>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</si>
  <si>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</si>
  <si>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</si>
  <si>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</si>
  <si>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</si>
  <si>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</si>
  <si>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</si>
  <si>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</si>
  <si>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</si>
  <si>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</si>
  <si>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</si>
  <si>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</si>
  <si>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</si>
  <si>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</si>
  <si>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</si>
  <si>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</si>
  <si>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</si>
  <si>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</si>
  <si>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</si>
  <si>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</si>
  <si>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</si>
  <si>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</si>
  <si>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</si>
  <si>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</si>
  <si>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</si>
  <si>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</si>
  <si>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</si>
  <si>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</si>
  <si>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</si>
  <si>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</si>
  <si>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</si>
  <si>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</si>
  <si>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</si>
  <si>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</si>
  <si>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</si>
  <si>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</si>
  <si>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</si>
  <si>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</si>
  <si>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</si>
  <si>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</si>
  <si>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</si>
  <si>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</si>
  <si>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</si>
  <si>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</si>
  <si>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</si>
  <si>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</si>
  <si>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</si>
  <si>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</si>
  <si>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</si>
  <si>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</si>
  <si>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</si>
  <si>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</si>
  <si>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</si>
  <si>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</si>
  <si>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</si>
  <si>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</si>
  <si>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</si>
  <si>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Federal Projects, Line 18</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</si>
  <si>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</si>
  <si>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Federal Projects, Line 19</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</si>
  <si>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</si>
  <si>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</si>
  <si>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</si>
  <si>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</si>
  <si>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</si>
  <si>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</si>
  <si>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</si>
  <si>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</si>
  <si>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</si>
  <si>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</si>
  <si>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</si>
  <si>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</si>
  <si>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</si>
  <si>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</si>
  <si>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</si>
  <si>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</si>
  <si>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</si>
  <si>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</si>
  <si>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</si>
  <si>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</si>
  <si>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</si>
  <si>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t>Lines 2(a)-(c)</t>
  </si>
  <si>
    <t>Line 2(b)</t>
  </si>
  <si>
    <t>After completing the Data Entry tab, the DAA adjustment amount from BSA55 tab, page 4 will pull to this line, if any.</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</si>
  <si>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</si>
  <si>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</si>
  <si>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</si>
  <si>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</si>
  <si>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</si>
  <si>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</si>
  <si>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</si>
  <si>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</si>
  <si>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</si>
  <si>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</si>
  <si>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</si>
  <si>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</si>
  <si>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</si>
  <si>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</si>
  <si>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</si>
  <si>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</si>
  <si>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</si>
  <si>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</si>
  <si>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</si>
  <si>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</si>
  <si>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</si>
  <si>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</si>
  <si>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</si>
  <si>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</si>
  <si>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</si>
  <si>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</si>
  <si>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</si>
  <si>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</si>
  <si>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</si>
  <si>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</si>
  <si>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</si>
  <si>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</si>
  <si>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</si>
  <si>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</si>
  <si>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</si>
  <si>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</si>
  <si>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</si>
  <si>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</si>
  <si>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</si>
  <si>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</si>
  <si>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</si>
  <si>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</si>
  <si>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</si>
  <si>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</si>
  <si>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</si>
  <si>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</si>
  <si>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</si>
  <si>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</si>
  <si>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</si>
  <si>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</si>
  <si>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Line 12</t>
  </si>
  <si>
    <t>Fund balances</t>
  </si>
  <si>
    <t>Section A, line 1</t>
  </si>
  <si>
    <t>Section A, line 2(a)</t>
  </si>
  <si>
    <t>Section A, line 2(b)</t>
  </si>
  <si>
    <t>Section A, line 3 (a)</t>
  </si>
  <si>
    <t>Section A, line 3 (b)</t>
  </si>
  <si>
    <t>Section A, line 3 (c)</t>
  </si>
  <si>
    <t>Section A, line 3 (d)</t>
  </si>
  <si>
    <t>Section A, line 3 (e)</t>
  </si>
  <si>
    <t>Section A, line 4 (a)</t>
  </si>
  <si>
    <t>Section A, line 4 (b)</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</si>
  <si>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</si>
  <si>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Section A, line 4 (c)</t>
  </si>
  <si>
    <t>Section A, line 4 (d)</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</si>
  <si>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</si>
  <si>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</si>
  <si>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</si>
  <si>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</si>
  <si>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</si>
  <si>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</si>
  <si>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</si>
  <si>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</si>
  <si>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</si>
  <si>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</si>
  <si>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</si>
  <si>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</si>
  <si>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</si>
  <si>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</si>
  <si>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</si>
  <si>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</si>
  <si>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</si>
  <si>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</si>
  <si>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</si>
  <si>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</si>
  <si>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</si>
  <si>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</si>
  <si>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</si>
  <si>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</si>
  <si>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</si>
  <si>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</si>
  <si>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</si>
  <si>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</si>
  <si>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</si>
  <si>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</si>
  <si>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</si>
  <si>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</si>
  <si>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</si>
  <si>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</si>
  <si>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</si>
  <si>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</si>
  <si>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</si>
  <si>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</si>
  <si>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</si>
  <si>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</si>
  <si>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</si>
  <si>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</si>
  <si>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</si>
  <si>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</si>
  <si>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</si>
  <si>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</si>
  <si>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</si>
  <si>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</si>
  <si>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</si>
  <si>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Other Information
Line 2</t>
  </si>
  <si>
    <t>Other Information
Line 3</t>
  </si>
  <si>
    <t>Include the amount of any transitional costs that are directly associated with routine formalities that are necessary as a result of consolidation, such as changing of signs, letterhead, stationery and similar issues.</t>
  </si>
  <si>
    <t>Other Information
Line 4</t>
  </si>
  <si>
    <t>Other Information Line 5</t>
  </si>
  <si>
    <t>Other Information
Line 6</t>
  </si>
  <si>
    <t>Other Information
Line 7</t>
  </si>
  <si>
    <t>Other Information
Line 9</t>
  </si>
  <si>
    <t>Unified districts (Type 02) with a 9-12 Primary Assessed Valuation that differs from its PSD-8 Primary Assessed Valuation should enter its 9-12 valuation on the AV2 line.</t>
  </si>
  <si>
    <t>Other Information
Line 12</t>
  </si>
  <si>
    <t>Other Information
Line 13</t>
  </si>
  <si>
    <t>Other Information
Line 14.e</t>
  </si>
  <si>
    <t>Other Information
 Line 16</t>
  </si>
  <si>
    <t>Other Information
 Line 18</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</si>
  <si>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</si>
  <si>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t>Other Information
 Line 19</t>
  </si>
  <si>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</si>
  <si>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21</t>
  </si>
  <si>
    <t>Other Information
 Line 22</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</si>
  <si>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</si>
  <si>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</si>
  <si>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</si>
  <si>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</si>
  <si>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</si>
  <si>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</si>
  <si>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</si>
  <si>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</si>
  <si>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</si>
  <si>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</si>
  <si>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</si>
  <si>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t>Line 16</t>
  </si>
  <si>
    <t>Total all disability classifications</t>
  </si>
  <si>
    <t>(from BSA55 tab, page 3; includes FRPL and DAA onetime supplements)</t>
  </si>
  <si>
    <t>Base Level Amount (A.R.S. §15-901, as amended by Laws 2024, Ch. 218, §10)</t>
  </si>
  <si>
    <t>State Support Level per Route Mile (A.R.S. §15-945, as amended by Laws 2024, Ch. 218, §11)</t>
  </si>
  <si>
    <t>Total Add-on Count (lines 7 through 22)</t>
  </si>
  <si>
    <t>Calculation of district additional assistance (DAA) per student count amounts (A.R.S. §§15-961, as amended by Laws 2023, Ch. 142, §6; and 15-962.01)</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</si>
  <si>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</si>
  <si>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Student Count
by Category
Line 22</t>
  </si>
  <si>
    <t>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must complete line 22 below.</t>
  </si>
  <si>
    <t xml:space="preserve">        6655 Short-term Noninstructional Software Subscription</t>
  </si>
  <si>
    <t xml:space="preserve">Total budgeted revenues for fiscal year 2025                          $ </t>
  </si>
  <si>
    <t>Estimated revenues by source for fiscal year 2026 (excluding property taxes)</t>
  </si>
  <si>
    <t>We hereby certify that the Budget for the Fiscal Year 2026 was</t>
  </si>
  <si>
    <t>Prior FY 2025</t>
  </si>
  <si>
    <t>Est. Budget FY 2026</t>
  </si>
  <si>
    <t>The FY 2026 budget file for the version described above will be uploaded via</t>
  </si>
  <si>
    <t>Average salary of all teachers employed in FY 2026 (budget year)</t>
  </si>
  <si>
    <t>Average salary of all teachers employed in FY 2025 (prior year)</t>
  </si>
  <si>
    <t>FY 2026 Performance Pay (A.R.S. Section 15-920)</t>
  </si>
  <si>
    <t>FY 2025 Classroom Site Fund Budget Limit (from FY 2025 latest revised Budget, page 3, line 16)</t>
  </si>
  <si>
    <t>FY 2025 Actual expenditures (For budget adoption use actual expenditures to date plus estimated expenditures through fiscal year-end.)</t>
  </si>
  <si>
    <t>Interest earned in the Classroom Site Fund in FY 2025</t>
  </si>
  <si>
    <t>Adjustments to FY 2026 Classroom Site Fund Budget Limit (1)</t>
  </si>
  <si>
    <t>(2) Amount budgeted on line 1 for the Adjacent Ways Fund that will result in a tax levy in FY 2026</t>
  </si>
  <si>
    <t>Calculation of FY 2026 General Budget Limit</t>
  </si>
  <si>
    <t xml:space="preserve">FY 2026 Revenue Control Limit (RCL) </t>
  </si>
  <si>
    <t>FY 2026 District Additional Assistance (DAA)  (from BSA55 tab, page 4)</t>
  </si>
  <si>
    <t>FY 2026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t>
  </si>
  <si>
    <t>FY 2024 (A.R.S. Section 15-910.M, as amended by Laws 2022, Ch. 285, §3)</t>
  </si>
  <si>
    <t>FY 2025 Performance Pay Unexpended Budget Carryforward (from Calculation page,</t>
  </si>
  <si>
    <t>Calculation of FY 2026 Unrestricted Capital Budget Limit
(A.R.S. Section 15-947.D)</t>
  </si>
  <si>
    <t>FY 2025 Unrestricted Capital Budget Limit (UCBL)</t>
  </si>
  <si>
    <t xml:space="preserve">  (from FY 2025 latest revised Budget, page 8, line 12)</t>
  </si>
  <si>
    <t>Adjusted Amount Available for FY 2025 Capital Expenditures (line 1 + 2)</t>
  </si>
  <si>
    <t>Amount Budgeted in Fund 610 in FY 2025</t>
  </si>
  <si>
    <t>(from FY 2025 latest revised Budget, page 4, line 10)</t>
  </si>
  <si>
    <t>FY 2025 Fund 610 Actual Expenditures  (For budget adoption use actual expenditures</t>
  </si>
  <si>
    <t>Interest Earned in Fund 610 in FY 2025</t>
  </si>
  <si>
    <t>Adjustment to UCBL for FY 2026 (A.R.S. Section 15-905.M) Include year(s) and descriptions, as applicable.</t>
  </si>
  <si>
    <t>FY 2026 Unrestricted Capital Budget Limit (lines 7 through 11) (1)</t>
  </si>
  <si>
    <t>County for fiscal year 2026 was officially</t>
  </si>
  <si>
    <t>2024 ADM</t>
  </si>
  <si>
    <t>2025 ADM</t>
  </si>
  <si>
    <t>2026 ADM</t>
  </si>
  <si>
    <t>1. Average salary of all teachers employed in FY 2026 (budget year)</t>
  </si>
  <si>
    <t>2. Average salary of all teachers employed in FY 2025 (prior year)</t>
  </si>
  <si>
    <t>FY 2026 Truth in Taxation Work Sheet (A.R.S. Section 15-905.01)</t>
  </si>
  <si>
    <t>FY 2026 Truth in Taxation Base Limit (from FY 2025 TNT work sheet, line 3 + line 11)</t>
  </si>
  <si>
    <t>Adjusted FY 2026 TNT Base Limit</t>
  </si>
  <si>
    <t>FY 2026 Budgeted Expenditures</t>
  </si>
  <si>
    <t>Adjustments for FY 2025 Expenditures</t>
  </si>
  <si>
    <t>FY 2025 Total actual expenditures for programs above</t>
  </si>
  <si>
    <t>Sum of FY 2025 original budget amounts for programs above (from FY 2025 TNT work sheet, sum of lines 4, 5, and 6)</t>
  </si>
  <si>
    <t>FY 2025 final budget for small school adjustment</t>
  </si>
  <si>
    <t>FY 2025 original budget for small school adjustment (from FY 2025 TNT work sheet, line 7)</t>
  </si>
  <si>
    <t>Amount to be levied in FY 2026 for Adjacent Way</t>
  </si>
  <si>
    <t>Amount to be levied in FY 2026 for liabilities in excess</t>
  </si>
  <si>
    <t>This tab presents information on the amount and planned use of the District's fund balance to increase transparency and provide decision-makers, other stakeholders, and the public more complete financial information. Other than the FY 2024 ending fund balance amounts, all amounts included on this tab are estimates.</t>
  </si>
  <si>
    <t>A. Estimated FY 2025 fund balances and planned uses in FY 2026 and thereafter</t>
  </si>
  <si>
    <t>FY 2024 final ending fund balance</t>
  </si>
  <si>
    <t>If the final ending fund balance reported above does not agree with the submitted FY 2024 AFR, revise the AFR and resubmit to ADE.</t>
  </si>
  <si>
    <t>FY 2025 activity, year-to-date and estimated through June 30</t>
  </si>
  <si>
    <t>(b) FY 2025 expenditures and other financing uses</t>
  </si>
  <si>
    <t>(a) FY 2025 revenues and other financing sources</t>
  </si>
  <si>
    <t>Estimated FY 2025 ending fund balance</t>
  </si>
  <si>
    <t>FY 2025 estimated ending fund balance details and planned uses</t>
  </si>
  <si>
    <t>(c) Planned to be spent in FY 2026</t>
  </si>
  <si>
    <t>(d) Maintained for spending after FY 2026</t>
  </si>
  <si>
    <t xml:space="preserve"> FY 2026 Legislative amounts</t>
  </si>
  <si>
    <t xml:space="preserve">FY 2024 100th-Day ADM </t>
  </si>
  <si>
    <t>FY 2025 100th-Day ADM</t>
  </si>
  <si>
    <t>FY 2026 Estimated non-AOI student count</t>
  </si>
  <si>
    <t>FY 2026 Estimated AOI full-time student count</t>
  </si>
  <si>
    <t>FY 2026 Estimated AOI part-time student count</t>
  </si>
  <si>
    <t>Total FY 2026 estimated student count</t>
  </si>
  <si>
    <t>Adjusted FY 2026 Base Level Amount</t>
  </si>
  <si>
    <t>Actual Teacher Experience Index (TEI) from FY 2025 Teacher Experience Report (if actual TEI is less than 1.0000 use 1.0000) (A.R.S. Section 15-941)</t>
  </si>
  <si>
    <t>FY 2024 actual non-federal audit expenditures from all funds (A.R.S. Section 15-914.F)</t>
  </si>
  <si>
    <t>FY 2024 actual federal audit expenditures from all funds</t>
  </si>
  <si>
    <t>FY 2024 actual total audit expenditures from all funds (line 5 plus line 6)</t>
  </si>
  <si>
    <t>FY 2025 Approved Daily Route Miles</t>
  </si>
  <si>
    <t>Number of Eligible Students Transported in FY 2025</t>
  </si>
  <si>
    <t>FY 2025 Annual Expenditure for Bus Tokens</t>
  </si>
  <si>
    <t>FY 2025 Annual Expenditure for Bus Passes</t>
  </si>
  <si>
    <t>Actual Route Miles traveled in July and August 2024 to Transport Pupils w/Disabilities for Extended School Year</t>
  </si>
  <si>
    <t>Estimated Route Miles Traveled in June 2025 to Transport Pupils w/Disabilities for Extended School Year</t>
  </si>
  <si>
    <t>2025 Primary net assessed valuation (AV)</t>
  </si>
  <si>
    <t>2025 Primary net assessed valuation (AV2)</t>
  </si>
  <si>
    <t>2025 Salt River Project (SRP) valuation</t>
  </si>
  <si>
    <t>2025 Government Property Lease Excise Tax assessed valuation</t>
  </si>
  <si>
    <t>Adjustments to the General Budget Limit (from FY 2025 BUDG75, leave blank for budget adoption)</t>
  </si>
  <si>
    <t>Impact Aid revenue deposited in FY 2026 to the Impact Aid Revenue Bond Debt Service Fund for principal and interest payments</t>
  </si>
  <si>
    <t>FY 2026 Impact Aid revenue</t>
  </si>
  <si>
    <t>FY 2025 Ending cash balance in the Impact Aid Fund</t>
  </si>
  <si>
    <t>10% of the FY 2026 RCL calculated using the district's 2025 ADM</t>
  </si>
  <si>
    <t>Up to 5% of the FY 2026 RCL calculated pursuant to A.R.S. Section 15-482.B</t>
  </si>
  <si>
    <t>FY 2026 Student Count (2025 ADM):   .001 - 99.999</t>
  </si>
  <si>
    <t>FY 2026 Student Count (2025 ADM):   100.000 - 499.999</t>
  </si>
  <si>
    <t>FY 2026 Student Count (2025 ADM):   500.000 - 599.999</t>
  </si>
  <si>
    <t>FY 2026 Student Count (2025 ADM):   600.000 or More and Career Technical Education Districts</t>
  </si>
  <si>
    <t>General Budget Limit (GBL) (from FY 2025 latest revised budget, page 7, line 11)</t>
  </si>
  <si>
    <t>Adjustments to the GBL (from FY 2025 BUDG75, amount will be zero for budget adoption)</t>
  </si>
  <si>
    <t>Note: For lines 10.a through 10.f the FY 2025 actual expenditures are deducted from the budget amount.  If the result is negative, zero is shown.</t>
  </si>
  <si>
    <t>FY 2025 Actual expenditures:</t>
  </si>
  <si>
    <t>FY 2025 Budget</t>
  </si>
  <si>
    <t>If in FY 2026,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2026 student count is the 2025 ADM.</t>
  </si>
  <si>
    <t>OR  If the district holds an override election as provided in A.R.S. Section 15-481, the district may include up to the amount calculated below on page 7, line 3(a). For purposes of small school adjustment, the FY 2026 student count is the 2025 ADM.</t>
  </si>
  <si>
    <t>FY 2026 K-8 student count</t>
  </si>
  <si>
    <t>FY 2026 Student count (line 1.b to left)</t>
  </si>
  <si>
    <t>FY 2026 Adjusted support level weight (to line 1.e)</t>
  </si>
  <si>
    <t>FY 2026 9-12 student count</t>
  </si>
  <si>
    <t>FY 2026 Student count (line 2.b to left)</t>
  </si>
  <si>
    <t>FY 2026 Adjusted support level weight (to line 2.e)</t>
  </si>
  <si>
    <t>If in FY 2026,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2026 student count is the 2025 ADM.</t>
  </si>
  <si>
    <t>The maximum amount the district may budget on Budget, page 7, line 3(a), subject to an override election, is the amount calculated below.  For purposes of small school adjustment, the FY 2026 student count is the 2025 ADM.</t>
  </si>
  <si>
    <t>Base Level Amount (FY26)</t>
  </si>
  <si>
    <t>Calculated Teachers Experience Index (FY25)</t>
  </si>
  <si>
    <t>Applied Teachers Experience Index (FY26)</t>
  </si>
  <si>
    <t>FY26 Adjusted Base Support Level (BSL)</t>
  </si>
  <si>
    <t>FY26 Consolidation or Unification Assistance</t>
  </si>
  <si>
    <t xml:space="preserve">          Eligible Students Transported (FY25)</t>
  </si>
  <si>
    <t>FY26 Transportation Support Level (TSL)</t>
  </si>
  <si>
    <t xml:space="preserve">          Daily Route Miles Per Eligible Student (FY25)</t>
  </si>
  <si>
    <t>FY26 District Support Level (DSL)</t>
  </si>
  <si>
    <t>FY26 Transportation Revenue Control Limit (TRCL)</t>
  </si>
  <si>
    <t>Handicapped Extended School Year Mileage (FY25)</t>
  </si>
  <si>
    <t>FY26 Revenue Control Limit (RCL)</t>
  </si>
  <si>
    <t>FY26 Lesser of DSL/RCL</t>
  </si>
  <si>
    <t xml:space="preserve">     Districts (FY25)</t>
  </si>
  <si>
    <t>FY25 Transportation Revenue Control Limit (TRCL)</t>
  </si>
  <si>
    <t>FY26 TSL</t>
  </si>
  <si>
    <t>FY25 TSL         -</t>
  </si>
  <si>
    <t>Preliminary FY26 TRCL</t>
  </si>
  <si>
    <t>120% of FY26 TRCL</t>
  </si>
  <si>
    <t>FY25 District ADM</t>
  </si>
  <si>
    <t>FY24 District ADM</t>
  </si>
  <si>
    <t>FY26 Calculated DAA Growth Factor</t>
  </si>
  <si>
    <t>FY26 Applied DAA Growth Factor</t>
  </si>
  <si>
    <t>FY25 District High School ADM</t>
  </si>
  <si>
    <t>Adjusted FY26 DAA Base Allocation</t>
  </si>
  <si>
    <t>FY26 DSL/RCL Allocation</t>
  </si>
  <si>
    <t>FY26 Qualifying Levy</t>
  </si>
  <si>
    <t>FY26 Equalization Base</t>
  </si>
  <si>
    <t>FY26 Applied Qualifying Levy</t>
  </si>
  <si>
    <t>FY26 Equalization Assistance</t>
  </si>
  <si>
    <t>Amounts in the prior year columns should be recorded from the budget columns of the latest revised Budget for FY 2025. Amounts should be rounded to the nearest dollar. 
Districts should budget for FY 2026 retirement contributions at the rate of 11.86% and for long term disability at a rate of 0.14% for a total contribution rate of 12.00%. Districts should also budget for any applicable alternative contribution payments to state retirement at a rate of 9.75%.</t>
  </si>
  <si>
    <t>All districts must revise the FY 2026 budget to include the 2025 (prior year) and 2026 (current year) 100th-Day ADM from the applicable year's ADM20 report.</t>
  </si>
  <si>
    <t>Function code 2300, object code 6820-Judgments Against the District should be used to budget for excessive property tax valuation judgments to be paid in FY 2026. This amount should also be included on page 7, line 8(h). Pre-approval by ADE is required. Contact ADE’s School Finance payment team at the email address below.</t>
  </si>
  <si>
    <t>Districts should report total PSD-12 average daily membership for fiscal year 2025 from the ADM20 report, the report is available on ADE's website. Districts should estimate 2026 current fiscal year ADM.</t>
  </si>
  <si>
    <t>The prior year TNT Base Limit reported on line 1 is the total of the Adjusted FY 2025 TNT Base Limit and the 2025 Excess over TNT Limit. This calculation assumes that the district properly noticed any required TNT Hearing in 2025. If the district reported an amount on the Excess over Truth in Taxation Limit line in 2025 but did not provide the required notification of a TNT hearing, the 2025 Excess over TNT Limit amount should not be added here.</t>
  </si>
  <si>
    <t>Use actual expenditures to date plus estimated amounts for the remainder of FY 2025.</t>
  </si>
  <si>
    <t xml:space="preserve">FY 2024 ADM is used to calculate the district's FY 2026 District Additional Assistance (DAA) growth factor, if any.
Obtain the total ADM amount from the most recent ADE report “Basic Calculations for Equalization Assistance,” BSA 55-1, page 4 of 5, available on ADE's website. </t>
  </si>
  <si>
    <t>FRPL (Free or Reduced-Price Lunch),
Districts may use ADE's FRPL20 - summary ADM and/or FRPL30 - site summary ADM reports in AzEDS to estimate FY 2026 eligible student counts. This weight applies to all students in schools with community eligibility.</t>
  </si>
  <si>
    <t>As districts mark the proper check boxes on lines 1 through 3 above, the Adjusted FY 2026 Base Level Amount will automatically update to the proper amount to be used on page 2 of the BSA55 tab.</t>
  </si>
  <si>
    <t>Use the FY 2025 “Teacher Experience Index (TEI),” SDER 96, available on ADE’s website at the link below. Districts should print a copy or save an electronic copy for their records.</t>
  </si>
  <si>
    <t>Enter the FY 2024 federal audit expenditures from all funds (should agree to FY 2024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</si>
  <si>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Total (lines 2-12)</t>
  </si>
  <si>
    <t>Total amounts reported on lines 2-12 above for:</t>
  </si>
  <si>
    <t xml:space="preserve">       Total (lines 14-16, must equal line 13)</t>
  </si>
  <si>
    <t>(1) Lines 2-12 may not include all budgeted expenditures of the fund. Total budgeted expenditures for each fund should be included on Line 1.</t>
  </si>
  <si>
    <t>District website link of posted budget</t>
  </si>
  <si>
    <t>District Website Link</t>
  </si>
  <si>
    <t>District Information</t>
  </si>
  <si>
    <t>UCO Fund Type</t>
  </si>
  <si>
    <t>1, 3, 4</t>
  </si>
  <si>
    <r>
      <t xml:space="preserve">Report FY 2024 final ending fund balances. These balances should include any errors or audit adjustments identified in the District's FY 2024 audit, if applicable. </t>
    </r>
    <r>
      <rPr>
        <u/>
        <sz val="14"/>
        <color theme="1"/>
        <rFont val="Times New Roman"/>
        <family val="1"/>
      </rPr>
      <t>If the final ending fund balances don't agree with the FY 2024 AFR, the District should revise the AFR and resubmit it to ADE.</t>
    </r>
  </si>
  <si>
    <t>Report FY 2025 revenues and other financing sources. Enter actual amounts to date plus estimated amounts for the remainder of FY 2025, including all FY 2025 amounts that the District anticipates receiving during the encumbrance period.</t>
  </si>
  <si>
    <t>Report FY 2025 expenditures and other financing uses. Enter actual amounts to date plus estimated amounts for the remainder of FY 2025, including all FY 2025 amounts that the District anticipates spending during the encumbrance period.</t>
  </si>
  <si>
    <t xml:space="preserve">Report FY 2025 estimated nonspendable ending fund balances. These are amounts that cannot be spent because they are either not in spendable form, such as inventories, or are legally or contractually required to be maintained intact. </t>
  </si>
  <si>
    <t xml:space="preserve">Report FY 2025 estimated ending restricted fund balances. These are amounts that have externally imposed restrictions on their usage by creditors (such as through debt covenants), grantors, contributors, or laws and regulations. </t>
  </si>
  <si>
    <t xml:space="preserve">Report FY 2025 estimated ending committed fund balances. These are amounts with self-imposed limitations the District's Governing Board approved, which is the highest level of decision-making authority within the District. </t>
  </si>
  <si>
    <t xml:space="preserve">Report FY 2025 estimated ending assigned fund balance. These are the amounts constrained by the District's intent to be used for specific purposes, but that are neither restricted nor committed. </t>
  </si>
  <si>
    <t xml:space="preserve">Report FY 2025 estimated ending unassigned fund balance. These are all spendable amounts not reported in the other classifications. Also, deficits in fund balances of the other governmental funds are reported as unassigned. </t>
  </si>
  <si>
    <r>
      <t xml:space="preserve">For funds with a negative </t>
    </r>
    <r>
      <rPr>
        <u/>
        <sz val="14"/>
        <color theme="1"/>
        <rFont val="Times New Roman"/>
        <family val="1"/>
      </rPr>
      <t>estimated</t>
    </r>
    <r>
      <rPr>
        <sz val="14"/>
        <color theme="1"/>
        <rFont val="Times New Roman"/>
        <family val="1"/>
      </rPr>
      <t xml:space="preserve"> FY 2025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</si>
  <si>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2025 estimated ending fund balance amounts the District plans to spend to support FY 2026 budgeted spending after using all available FY 2026 revenues. Any nonspendable amounts included in fund balance such as prepaid assets and inventories should be included in this line if the District plans to use them up in FY 2026. Otherwise, such nonspendable assets should be included on line 4(d) based on the District's plan to maintain them in fund balance to be used in a future year, as applicable.</t>
  </si>
  <si>
    <t>Student Count
by Category
Lines 8 and 9</t>
  </si>
  <si>
    <t>FY 2026 General Budget Limit (column A, lines 1 through 9)</t>
  </si>
  <si>
    <t xml:space="preserve">Total Amount to be Used for Capital Expenditures (column B, lines 1 through 8) </t>
  </si>
  <si>
    <t>Other BSL Adjustment 1</t>
  </si>
  <si>
    <t>Other BSL Adjustment 2</t>
  </si>
  <si>
    <t>Reordered Group B weight lines to agree with the order they appear on the BSA 55-1 report.</t>
  </si>
  <si>
    <t>Include amounts for Funds 300-399 Other Federal Projects (besides funds that are separately reported on lines 15 through 18).</t>
  </si>
  <si>
    <t>This line should be left blank unless otherwise instructed by ADE.</t>
  </si>
  <si>
    <r>
      <t xml:space="preserve">Districts participating in the National School Lunch Program are required to budget a portion of their state revenues to support the operation of their food service program. Districts should budget in the UCO Fund any amounts that will be expended during the FY 2026 school year for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r>
  </si>
  <si>
    <r>
      <rPr>
        <b/>
        <sz val="14"/>
        <rFont val="Times New Roman"/>
        <family val="1"/>
      </rPr>
      <t>Budget Revision</t>
    </r>
    <r>
      <rPr>
        <sz val="14"/>
        <rFont val="Times New Roman"/>
        <family val="1"/>
      </rPr>
      <t xml:space="preserve">
This line should agree to the total actual interest earned on CSF investments, as reported on the prior year AFR for the CSF.</t>
    </r>
  </si>
  <si>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</si>
  <si>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r>
      <rPr>
        <b/>
        <sz val="14"/>
        <rFont val="Times New Roman"/>
        <family val="1"/>
      </rPr>
      <t>Budget Revision</t>
    </r>
    <r>
      <rPr>
        <sz val="14"/>
        <rFont val="Times New Roman"/>
        <family val="1"/>
      </rPr>
      <t xml:space="preserve">
Compare the amount for District Additional Assistance (DAA) on lines 2(c) to the applicable amount calculated by ADE on page 1 of the most recent FY 2026 BUDG25 Report. The amounts on lines (a) and (b) can be reconciled to page 4 of the district's most recent FY 2026 BSA 55-1 report from ADE.</t>
    </r>
  </si>
  <si>
    <r>
      <t xml:space="preserve">Do not include amounts budgeted for the Performance Pay component of the CSF here.
</t>
    </r>
    <r>
      <rPr>
        <b/>
        <sz val="14"/>
        <rFont val="Times New Roman"/>
        <family val="1"/>
      </rPr>
      <t>Budget Revision</t>
    </r>
    <r>
      <rPr>
        <sz val="14"/>
        <rFont val="Times New Roman"/>
        <family val="1"/>
      </rPr>
      <t xml:space="preserve">
Districts should compare the amount on this line to the applicable amounts on the FY 2025 BUDG75 Report to determine if revisions are necessary. The amounts on this line cannot exceed the amounts reported on page 2 of the BUDG75 Report.</t>
    </r>
  </si>
  <si>
    <r>
      <t xml:space="preserve">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t>
    </r>
    <r>
      <rPr>
        <b/>
        <sz val="14"/>
        <rFont val="Times New Roman"/>
        <family val="1"/>
      </rPr>
      <t>Budget Revision</t>
    </r>
    <r>
      <rPr>
        <sz val="14"/>
        <rFont val="Times New Roman"/>
        <family val="1"/>
      </rPr>
      <t xml:space="preserve">
Districts should compare the budgeted adjustment amounts to the applicable ADE calculated values on page 1 of the most recent FY 2026 BUDG25, to determine if the amounts should be revised.</t>
    </r>
  </si>
  <si>
    <r>
      <rPr>
        <b/>
        <sz val="14"/>
        <rFont val="Times New Roman"/>
        <family val="1"/>
      </rPr>
      <t>Budget Revision</t>
    </r>
    <r>
      <rPr>
        <sz val="14"/>
        <rFont val="Times New Roman"/>
        <family val="1"/>
      </rPr>
      <t xml:space="preserve">
Line 3 should agree to the most recent FY 2025 BUDG75 Report, page 2 “Unrestricted Capital Available for FY25.”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</si>
  <si>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Line 8 should agree to the actual amount of interest earned on investments as reported on the district’s FY 2025 AFR for the UCO Fund.</t>
    </r>
  </si>
  <si>
    <r>
      <rPr>
        <b/>
        <sz val="14"/>
        <rFont val="Times New Roman"/>
        <family val="1"/>
      </rPr>
      <t>Budget Revision</t>
    </r>
    <r>
      <rPr>
        <sz val="14"/>
        <rFont val="Times New Roman"/>
        <family val="1"/>
      </rPr>
      <t xml:space="preserve">
Districts should compare budgeted adjustment amounts to the applicable ADE calculated values on page 2 of the most recent FY 2026 BUDG25, to determine if the amounts should be revised.</t>
    </r>
  </si>
  <si>
    <r>
      <t xml:space="preserve">Prior Year ADM
FY 2025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t>
    </r>
    <r>
      <rPr>
        <b/>
        <sz val="14"/>
        <rFont val="Times New Roman"/>
        <family val="1"/>
      </rPr>
      <t>Budget Revision</t>
    </r>
    <r>
      <rPr>
        <sz val="14"/>
        <rFont val="Times New Roman"/>
        <family val="1"/>
      </rPr>
      <t xml:space="preserve">
Districts should update amounts on this line to reflect 2025 100th-day ADM as reported on the ADM20 report.</t>
    </r>
  </si>
  <si>
    <r>
      <t xml:space="preserve">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2026.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t>
    </r>
    <r>
      <rPr>
        <b/>
        <sz val="14"/>
        <rFont val="Times New Roman"/>
        <family val="1"/>
      </rPr>
      <t>Budget Revision</t>
    </r>
    <r>
      <rPr>
        <sz val="14"/>
        <rFont val="Times New Roman"/>
        <family val="1"/>
      </rPr>
      <t xml:space="preserve">
Districts should update amounts on these lines to reflect 2026 100th-day ADM as reported on the ADM20 report, available on ADE's website.</t>
    </r>
  </si>
  <si>
    <r>
      <t xml:space="preserve">For budget adoption, districts should estimate the FY 2026 student count for these lines. 
</t>
    </r>
    <r>
      <rPr>
        <b/>
        <sz val="14"/>
        <rFont val="Times New Roman"/>
        <family val="1"/>
      </rPr>
      <t>Budget Revision</t>
    </r>
    <r>
      <rPr>
        <sz val="14"/>
        <rFont val="Times New Roman"/>
        <family val="1"/>
      </rPr>
      <t xml:space="preserve">
After the 100th-day in session, student counts to determine the Add-On weighted student counts should be obtained from the following ADE reports:
K-3 Student Counts for both the K-3 and K-3 Reading support level weights: ADM20
ELL: ELL20
Children with Disabilities: SPED20</t>
    </r>
  </si>
  <si>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</si>
  <si>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</si>
  <si>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</si>
  <si>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G (Educational Programs for Gifted Pupils)
For budget adoption, districts may use the prior year unweighted gifted ADM to estimate the budget year gifted weight using the GIFT20 Report in AzEDs.
</t>
    </r>
    <r>
      <rPr>
        <b/>
        <sz val="14"/>
        <rFont val="Times New Roman"/>
        <family val="1"/>
      </rPr>
      <t>Budget Revision</t>
    </r>
    <r>
      <rPr>
        <sz val="14"/>
        <rFont val="Times New Roman"/>
        <family val="1"/>
      </rPr>
      <t xml:space="preserve">
ADE will provide budget year unweighted gifted ADM to districts for final budget revisions in the GIFT20 Report in AzEDs.</t>
    </r>
  </si>
  <si>
    <t>This information was previously required on the Districts Contacts page, which is no longer included in the budget file.</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</si>
  <si>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</si>
  <si>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t>Budgeted Carryforward</t>
  </si>
  <si>
    <r>
      <rPr>
        <b/>
        <sz val="14"/>
        <rFont val="Times New Roman"/>
        <family val="1"/>
      </rPr>
      <t>Budget Revision</t>
    </r>
    <r>
      <rPr>
        <sz val="14"/>
        <rFont val="Times New Roman"/>
        <family val="1"/>
      </rPr>
      <t xml:space="preserve">
Line 13 should reflect total actual CSF expenditures as reported on the district’s prior year AFR.</t>
    </r>
  </si>
  <si>
    <t>Line 13</t>
  </si>
  <si>
    <t>Line 17</t>
  </si>
  <si>
    <t>TOTAL BUDGET LIMIT EXPENDITURES</t>
  </si>
  <si>
    <t>Budgeted expenditures (lines 14, and 24-29)</t>
  </si>
  <si>
    <t>Maintained for spending after FY 2026 (budgeted carryforward)</t>
  </si>
  <si>
    <t>Total budget limit expenditures (lines 30-31)
    (Cannot exceed page 7, line 10)</t>
  </si>
  <si>
    <t>Total budget limit expenditures (lines 10-11)</t>
  </si>
  <si>
    <t>Total budget limit expenditures (lines 10-11)
    (Cannot exceed page 8, line 12)</t>
  </si>
  <si>
    <t>Budgeted expenditures (lines 1-8)</t>
  </si>
  <si>
    <t xml:space="preserve">Budgeted expenditures (lines 2-9) </t>
  </si>
  <si>
    <t>Calculation of M&amp;O Fund Budget Balance Carryforward, line 10.e) (A.R.S. §15-920)</t>
  </si>
  <si>
    <t>State Projects, Line 31</t>
  </si>
  <si>
    <t>Include amounts for Funds 465-499 Other State Projects, including Fund 484—Failing Schools Tutoring Grant.</t>
  </si>
  <si>
    <t>Mesa Distance Learning Program (MDLP)</t>
  </si>
  <si>
    <t>Pearson (Connexus)</t>
  </si>
  <si>
    <t>Lines 32</t>
  </si>
  <si>
    <t>Lines 30</t>
  </si>
  <si>
    <t>Lines 10</t>
  </si>
  <si>
    <t>Lines 12</t>
  </si>
  <si>
    <r>
      <t xml:space="preserve">Report amounts the District estimates it will maintain for spending after FY 2026, including amounts reserved to manage cash flows in future budget years to cover such things as revenue shortfalls, emergencies, and/or other unforeseen circumstances.
</t>
    </r>
    <r>
      <rPr>
        <u/>
        <sz val="14"/>
        <rFont val="Times New Roman"/>
        <family val="1"/>
      </rPr>
      <t>For budget-controlled funds only</t>
    </r>
    <r>
      <rPr>
        <sz val="14"/>
        <rFont val="Times New Roman"/>
        <family val="1"/>
      </rPr>
      <t>, amounts will pull from the planned carryforward line on the fund's respective page. Districts must report the fund type for the UCO fund on the Data Entry tab.</t>
    </r>
  </si>
  <si>
    <t>Maintenance and Operation Fund (from pages 1, lines 30-31 and 7, line 10)</t>
  </si>
  <si>
    <t>Unrestricted Capital Fund (from pages 4, lines 10-11 and 8, line 12)</t>
  </si>
  <si>
    <t>FY 2025 M&amp;O Fund actual expenditures (from FY 2025 AFR, amount will be estimated for budget adoption)</t>
  </si>
  <si>
    <t>FY 2025 M&amp;O Fund actual expenditures (if any) for:</t>
  </si>
  <si>
    <t>Impact Aid revenue transferred in FY 2026 to the M&amp;O Fund to provide cash for the TRCL/TSL difference</t>
  </si>
  <si>
    <t>Impact Aid revenue transferred in FY 2026 to the M&amp;O Fund to reduce or eliminate taxes</t>
  </si>
  <si>
    <t>Maintenance &amp; Operation (M&amp;O) Fund FY 2025 ending cash balance</t>
  </si>
  <si>
    <t>Budget Balance Carryforward transferred to the School Opening Fund (not to exceed the lesser of line 11 or the FY 2025 M&amp;O Fund ending cash balance)</t>
  </si>
  <si>
    <t>M&amp;O Fund cash balance as of June 30, 2025</t>
  </si>
  <si>
    <t>Impact Aid revenue transferred in FY 2026 to the M&amp;O Fund to provide cash for the TRCL/TSL difference calculated on line 3</t>
  </si>
  <si>
    <t>Budgeted M&amp;O expenditures (from FY 2025 latest revised Budget, page 1, line 30, Total Budget Year Column)</t>
  </si>
  <si>
    <t>District tax rates for FY 2025 should be the actual tax rates set by the County Board of Supervisors in August 2024. Tax rates for FY 2026 should be the district’s best estimate. Districts should include detailed secondary tax rates for M&amp;O,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</si>
  <si>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 xml:space="preserve">Districts should identify the appropriate fund type for the UCO Fund so planned carryforward amounts will pull to the appropriate column on the Fund balances tab.
</t>
  </si>
  <si>
    <t>Federal projects other than Impact Aid (from budget, page 6, Federal Projects, minus 378 [lines 18 and 20])</t>
  </si>
  <si>
    <t>In accordance with A.R.S. §15-905, districts that maintain a website must provide a link on their website to ADE’s website where the district’s proposed and adopted budget/summary can be viewed. Districts should paste a clickable link in the space provided on the Cover tab to their District web page where the link to the proposed and adopted budget/summary was placed.</t>
  </si>
  <si>
    <t>Added a line for districts to paste a clickable link to their web page where the link to the proposed and adopted budgets were placed. ADE no longer requires districts to send an email to School Finance with a clickable link to its website, if the link is provided in this space.</t>
  </si>
  <si>
    <t>Qualifying Tax Rate for elementary or secondary (CTEDs use 0.05) (February 14, 2025, JLBC TNT rate memorandum)</t>
  </si>
  <si>
    <t>Classroom Site Fund allocation (March 28, 2025, JLBC CSF estimates memorandum)</t>
  </si>
  <si>
    <t>Amount to be used for capital expenditures (from page 7, line 11)</t>
  </si>
  <si>
    <t>Actual Budget Balance Carryforward to be used in M&amp;O Fund (for GBL calculation on page 7, line 8.b)</t>
  </si>
  <si>
    <t>FY 2026 Amount available to be spent in the Impact Aid Fund  (on page 6, Federal Projects line 18)</t>
  </si>
  <si>
    <t>Section B</t>
  </si>
  <si>
    <t>Section B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</si>
  <si>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t>FY 2026 Classroom Site Fund Budget Limit (Sum of lines 12 through 17) (2)</t>
  </si>
  <si>
    <t>Unexpended Budget Balance (line 12 minus 13)</t>
  </si>
  <si>
    <t>(2) The amounts budgeted on line 11 cannot exceed the respective amounts on this line.</t>
  </si>
  <si>
    <t>Line 30 subtotals the FY 2026 M&amp;O Fund budgeted expenditures included in lines 1 through 29. Districts should report any amounts maintained for spending after FY 2026 (budgeted carryforward) in line 31.</t>
  </si>
  <si>
    <t>Report amounts the District estimates it will maintain for spending after FY 2026 (budgeted carryforward), including amounts reserved to manage cash flows in future budget years to cover such things as revenue shortfalls, emergencies, and/or other unforeseen circumstances for the M&amp;O Fund on Page 1, for the CSF on Page 3, and for the UCO Fund on Page 4. If the amount is zero, enter a 0.</t>
  </si>
  <si>
    <t>Provides transparency to budget form end users regarding amounts districts estimate they will maintain for spending after FY 2026 in the M&amp;O Fund, CSF, and UCO Fund.</t>
  </si>
  <si>
    <t>Line 10 subtotals the FY 2026 UCO Fund budgeted expenditures included in lines 1 through 9. Report amounts the District estimates it will maintain for spending after FY 2026 (carryforward) in line 11.</t>
  </si>
  <si>
    <t>Line 9 subtotals the FY 2026 CSF budgeted expenditures included in lines 1 through 8.  Districts should report any amounts maintained for spending after FY 2026 in line 10.</t>
  </si>
  <si>
    <t>Allows districts to identify its total FY 2026 CSF budget expenditures separately from budgeted carryforward.</t>
  </si>
  <si>
    <t>Allows districts to identify its FY 2026 M&amp;O Fund total budgeted expenditures separately from budgeted carryforward.</t>
  </si>
  <si>
    <t>Allows districts to identify its FY 2026  UCO Fund total budgeted expenditures separately from budgeted carryforward.</t>
  </si>
  <si>
    <t>Line 11</t>
  </si>
  <si>
    <t>FY 2026 Classroom Site Fund allocation, provided by ADE based on:</t>
  </si>
  <si>
    <t>A district authorized by ADE to continue participation in Dropout Prevention Programs for FY 2026 pursuant to Laws 1992, Ch. 305, §32 and Laws 2000, Ch. 398, §2, must budget the additional amount on this line.</t>
  </si>
  <si>
    <t>The amount budgeted in the M&amp;O Fund cannot exceed the General Budget Limit (GBL) on page 7, line 10. See A.R.S. §15-947(C) and calculation on page 7. ADE uses line 32 to calculate the Budgeted GBL for M&amp;O (lesser of page 1 or GBL) in the BUDG25 report.</t>
  </si>
  <si>
    <r>
      <t xml:space="preserve">Districts participating in the National School Lunch Program are required to budget a portion of their state revenues to support the operation of their food service program. Districts should budget in the M&amp;O Fund any amounts that will be expended during the 2026 school year for the operation of the food service program. Any questions related to the state matching requirements should be directed to ADE’s Health and Nutrition Services at (602) 542‑8700. 
</t>
    </r>
    <r>
      <rPr>
        <b/>
        <sz val="14"/>
        <rFont val="Times New Roman"/>
        <family val="1"/>
      </rPr>
      <t>Budget Revision</t>
    </r>
    <r>
      <rPr>
        <sz val="14"/>
        <rFont val="Times New Roman"/>
        <family val="1"/>
      </rPr>
      <t xml:space="preserve">
Districts that have not already budgeted for the state matching requirements, should include any amounts to be expended for their food service program in the M&amp;O Fund on this line before May 15. ADE’s Health and Nutrition Services will verify that amounts budgeted were spent when the annual financial reports are submitted.</t>
    </r>
  </si>
  <si>
    <t>The total amount budgeted on line 11 cannot exceed the CSFBL on line 18. The total amount budgeted in budget year will affect the next year’s CSFBL. Districts should budget up to the Classroom Site Fund Budget Limit (CSFBL) as calculated on lines 12 through 18. See A.R.S. §15-978 and the calculation below.</t>
  </si>
  <si>
    <t>In accordance with A.R.S.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budget year allocation for the district is multiplied by the district’s weighted student count (based on fundable students attending within the school district in the prior year). The budget year CSF actual payments detail reports will be available on ADE’s website at the link below beginning in August. 
ADE uses districts' prior year 100th day student count as reported in the district's prior year ADM20A and ADM30 reports.</t>
  </si>
  <si>
    <t>The amount budgeted in the UCO Fund cannot exceed the Unrestricted Capital Budget Limit (UCBL) on page 8, line 12. The amount budgeted in Fund 610 in FY 2026 will affect the next year’s UCBL. See A.R.S. §15-947(D) and calculation on page 8. ADE uses line 12 to calculate the Budgeted UNR Capital (lesser of page 4 or Budget Limit) in the BUDG25 report.</t>
  </si>
  <si>
    <t xml:space="preserve">Include expenditures for Fund 850—Student Activities on this line.
</t>
  </si>
  <si>
    <t>Do not include any overrides authorized to use excess Impact Aid cash on these lines.
Districts should use prior year ADM to calculate the RCL for overrides (A.R.S. §15-943). Districts may recalculate their RCL based on prior year ADM in a separate copy of this budget file. Do not submit this separate copy of the file to ADE. Alternatively, districts can get weighted student counts from page 2 of ADE's FY 2025 "BSA Equalization Report", BSA 55-1. ADE has also posted a link to an override calculation worksheet that may be used as a guide in estimating the override amount. The override calculation worksheet and instructions can be found at the link below.</t>
  </si>
  <si>
    <t>See Line 3 Instructions above.
If the voters in the override election authorize the district to exceed the RCL, and the increase is to be fully funded by revenues other than property taxes [A.R.S. §15‑481(F)], only revenues derived from the FY 2025 ending cash balance in the M&amp;O Fund [after the primary tax rate is reduced to zero as required by A.R.S. §15‑481(T)] may be used. A.R.S. §15‑481(P) Note: Districts will not be able to fund an override with Impact Aid monies in FY 2026, as Impact Aid monies are accounted for in the Impact Aid Fund.</t>
  </si>
  <si>
    <t>See Line 3 Instructions above.
If the voters in the override election authorize the district to exceed the Capital Outlay Revenue Limit or District Additional Assistance and the increase is to be fully funded by revenues other than property taxes [A.R.S. §15‑481(M)], only revenues derived from the FY 2025 ending cash balance in the M&amp;O and UCO Funds [after the primary tax rate is reduced to zero as required by A.R.S. §15‑481(T)] may be used. A.R.S. §15‑481(S) Note: Districts will not be able to fund an override with Impact Aid monies in FY 2026, as Impact Aid monies are accounted for in the Impact Aid Fund.
The maximum amount a district may request for a capital budget override is 10% of the RCL. A.R.S. §15‑481(AA)</t>
  </si>
  <si>
    <t>See Line 3 Instructions above.
A.R.S.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§15‑481(J)], the increase may only be budgeted and expended if sufficient monies are available in the M&amp;O Fund. A.R.S. §15‑481(Q) Note: Districts will not be able to fund an override with Impact Aid monies in FY 2026, as Impact Aid monies are accounted for in the Impact Aid Fund.</t>
  </si>
  <si>
    <r>
      <t xml:space="preserve">Districts with a student count of 125 or less in grades K‑8, or 100 or less in grades 9‑12 must include an amount on this line if they choose to make a small school adjustment to ensure that page 1, line 30 does not exceed the GBL for M&amp;O.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(2025 ADM). Districts should not include amounts on these lines for expenditures that are to be made from the Impact Aid Fund.
</t>
    </r>
    <r>
      <rPr>
        <b/>
        <sz val="14"/>
        <rFont val="Times New Roman"/>
        <family val="1"/>
      </rPr>
      <t>Budget Revision</t>
    </r>
    <r>
      <rPr>
        <sz val="14"/>
        <rFont val="Times New Roman"/>
        <family val="1"/>
      </rPr>
      <t xml:space="preserve">
If the district received approval from the county board of supervisors to revise its budget to include the cost of additional pupils that were not anticipated at budget adoption in accordance with A.R.S. §15-949(A)(2), include the revised amount on this line and notify ADE of any approved increase via the email address below.</t>
    </r>
  </si>
  <si>
    <r>
      <t xml:space="preserve">Include assistance received from the State for students whose parents are employed by certain State institutions as described in A.R.S. §15-976. Also, include amounts paid to the State Schools for the Deaf and school district through the special education voucher payment system such as payments for teaching students at the district instead of sending the student to the Arizona the Blind.
</t>
    </r>
    <r>
      <rPr>
        <b/>
        <sz val="14"/>
        <rFont val="Times New Roman"/>
        <family val="1"/>
      </rPr>
      <t>Budget Revision</t>
    </r>
    <r>
      <rPr>
        <sz val="14"/>
        <rFont val="Times New Roman"/>
        <family val="1"/>
      </rPr>
      <t xml:space="preserve">
Districts should use the work sheets provided by ADE to calculate the revised assistance to schools using the ADM reported on the FY 2026 ADM15. The work sheets are available on ADE’s website at the link below.</t>
    </r>
  </si>
  <si>
    <r>
      <t xml:space="preserve">Districts should not include amounts on this line for expenditures that are to be made from the Impact Aid Fund.
</t>
    </r>
    <r>
      <rPr>
        <b/>
        <sz val="14"/>
        <rFont val="Times New Roman"/>
        <family val="1"/>
      </rPr>
      <t>Budget Revision</t>
    </r>
    <r>
      <rPr>
        <sz val="14"/>
        <rFont val="Times New Roman"/>
        <family val="1"/>
      </rPr>
      <t xml:space="preserve">
If the June 30, 2025, actual cash balance for the M&amp;O Fund was incorrectly estimated, an accommodation school district must complete and submit a revised budget file, even if the amount recorded on line 7 of the adopted budget is not revised. If the June 30, 2025 actual cash balance for the M&amp;O Fund was accurate, accommodation schools may revise this file for other changes.
The Actual Budget Balance Carryforward displayed on Calculations tab, Calculation of M&amp;O Budget Balance Carryforward section, line 14.b should agree to the “Allowed Budget Balance Carry Forward” as reported on page 2 of the most recent FY 2025 BUDG75 Report. 
Record the district’s actual cash balance for the M&amp;O Fund at June 30, 2025,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r>
  </si>
  <si>
    <r>
      <t xml:space="preserve">Districts are required to use actual expenditures in calculating the budget balance carryforward. Districts that have overexpended in the FY 2025 M&amp;O Fund as authorized by the county board of supervisors, in accordance with A.R.S. §15‑907, cannot record a budget balance carryforward.
Districts should complete Data Entry page, Other Information section, lines 8 through 11. Districts may transfer an amount to the School Opening Fund, not to exceed the lesser of the FY 2025 M&amp;O Fund ending cash balance or the actual budget balance carryforward. The amount transferred will reduce the amount of the budget balance carryforward; therefore, the amount carried forward may not exceed the amount on Calculation page, Calculation of M&amp;O Fund Budget Balance Carryforward section, line 13.
</t>
    </r>
    <r>
      <rPr>
        <b/>
        <sz val="14"/>
        <rFont val="Times New Roman"/>
        <family val="1"/>
      </rPr>
      <t>Budget Revision</t>
    </r>
    <r>
      <rPr>
        <sz val="14"/>
        <rFont val="Times New Roman"/>
        <family val="1"/>
      </rPr>
      <t xml:space="preserve">
Districts should compare the amount on line 8(c) to the allowable amount on the FY 2025 BUDG75 Report to determine if revisions are necessary. The amounts on this line cannot exceed the amount reported on page 2 of the BUDG75 Report.</t>
    </r>
  </si>
  <si>
    <t>A district may budget an amount less than or equal to interest expense for registering warrants or for net interest expense (interest expense minus interest income) on tax anticipation notes outside the FY 2026 RCL, if both of the following conditions apply:
--The County Treasurer pooled all school district monies for investment during FY 2024 as provided in A.R.S. §15‑996.
--For those districts that received state aid in FY 2024, the districts applied for state aid apportionment before the date set as provided in A.R.S. §15‑973.</t>
  </si>
  <si>
    <t>Record the amount of any judgments expected to be paid in FY 2025 for an excessive property tax valuation judgment per A.R.S. §§42-16213 and 42-16214. This amount should also be included on page 1, line 4. Pre-approval by ADE is required. Contact ADE's School Finance payment team at the email address below.</t>
  </si>
  <si>
    <r>
      <rPr>
        <b/>
        <sz val="14"/>
        <rFont val="Times New Roman"/>
        <family val="1"/>
      </rPr>
      <t>Budget Revision</t>
    </r>
    <r>
      <rPr>
        <sz val="14"/>
        <rFont val="Times New Roman"/>
        <family val="1"/>
      </rPr>
      <t xml:space="preserve">
Line 2, if required, should agree to the most recent FY 2025 BUDG75 Report, page 2, “Add to FY26 Expenditure Budget for (UNR), page 8, line 2” This line will also include any positive or negative A.R.S. §15-915 adjustments as approved by ADE. Contact ADE's School Finance budget team with questions concerning the reconciliation of any differences at the email address below.</t>
    </r>
  </si>
  <si>
    <r>
      <rPr>
        <b/>
        <sz val="14"/>
        <rFont val="Times New Roman"/>
        <family val="1"/>
      </rPr>
      <t>Budget Revision</t>
    </r>
    <r>
      <rPr>
        <sz val="14"/>
        <rFont val="Times New Roman"/>
        <family val="1"/>
      </rPr>
      <t xml:space="preserve">
This line should reflect total actual UCO Fund 610 expenditures as reported on the district’s FY 2025 AFR, less expenditures approved under A.R.S. §15-907 that are in excess of the most recently revised adopted FY 2025 UCO budget (budget page 4, line 10).</t>
    </r>
  </si>
  <si>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</si>
  <si>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ELL Fund 071 is used to account for monies received from ADE to provide for the incremental cost of instruction to ELLs and must be used to supplement existing programs. In accordance  with A.R.S.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2026.</t>
  </si>
  <si>
    <t>In accordance with A.R.S.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2026, there were no new monies available for compensatory instruction programs. ADE will allow districts to use the remaining monies but will deduct those amounts from future funding requests for compensatory instruction programs.</t>
  </si>
  <si>
    <t>All districts must complete the Truth in Taxation Work Sheet to calculate the district’s truth in taxation base limit, to determine if a hearing is required, and to report the portion of the FY 2026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2026 expenditure budget forms and A.R.S. §15-905.01 for further requirements.</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</si>
  <si>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</si>
  <si>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should select the name of their current Student Information Systems (SIS) Vendor and Accounting Information System from the dropdown list, and manually complete the Bookstore Cash Receipting System information.</t>
  </si>
  <si>
    <t>Districts should identify where the UCO Fund is reported on the Fund balances tab. Use the dropdown menu to select either the General Fund or Capital Projects Funds.</t>
  </si>
  <si>
    <t>In accordance with A.R.S. §15-902.04, school districts electing to provide at least 200 days of instruction during FY 2026 must receive approval from ADE prior to June 1, 2025.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t>
  </si>
  <si>
    <t>A.R.S. §15-914.F allows districts to increase the BSL if financial and compliance audit costs will be incurred for the budget year. Enter the non-federal FY 2024 audit expenditures from all funds on line 6. Amount entered should agree to the district's FY 2024 AFR.
Do not include costs of consulting or other nonaudit services paid to audit firms (e.g., application fees paid for submission of district's reports to ASBO and GFOA for certification or for the preparation of the Meritorious Budget Award application to ASBO).</t>
  </si>
  <si>
    <t>Used to increase the transportation support level for the annual expenditure for bus tokens and passes for students who qualify as eligible students as defined by A.R.S. §15-901. Enter the FY 2024 annual expenditures for bus tokens and passes from the ADE report “Transportation Route Report,” TRAN55-1, available on ADE's website.</t>
  </si>
  <si>
    <r>
      <t xml:space="preserve">If the district enters amounts for capital transportation adjustment on lines 1.a through 1.c these amounts are included in the DAA Adjustment line on the BSA55 tab, page 4. 
</t>
    </r>
    <r>
      <rPr>
        <b/>
        <sz val="14"/>
        <rFont val="Times New Roman"/>
        <family val="1"/>
      </rPr>
      <t>Budget Revision</t>
    </r>
    <r>
      <rPr>
        <sz val="14"/>
        <rFont val="Times New Roman"/>
        <family val="1"/>
      </rPr>
      <t xml:space="preserve">
These amounts will cause a discrepancy between the DAA Adjustment shown on the BSA55 tab and the amount reported on the District’s actual BSA 55-1 report until the capital transportation amounts are manually loaded into the BSA system by ADE, which usually occurs in March. </t>
    </r>
  </si>
  <si>
    <r>
      <t xml:space="preserve">This line should be left blank for budget adoption. 
</t>
    </r>
    <r>
      <rPr>
        <b/>
        <sz val="14"/>
        <rFont val="Times New Roman"/>
        <family val="1"/>
      </rPr>
      <t>Budget Revision</t>
    </r>
    <r>
      <rPr>
        <sz val="14"/>
        <rFont val="Times New Roman"/>
        <family val="1"/>
      </rPr>
      <t xml:space="preserve">
Once the BUDG75 Report is available, districts may recalculate carryforward amounts for reconciliation to ADE’s BUDG75 Report by filling in amounts on these lines from that report and zero filling the unexpended budget lines 14(a) through 14(e) below.</t>
    </r>
  </si>
  <si>
    <r>
      <t xml:space="preserve">For budget adoption, M&amp;O actual expenditures should be based upon the FY 2025 actual expenditures to date plus estimated expenditures for the remainder of the fiscal year including encumbrances.
</t>
    </r>
    <r>
      <rPr>
        <b/>
        <sz val="14"/>
        <rFont val="Times New Roman"/>
        <family val="1"/>
      </rPr>
      <t>Budget Revision</t>
    </r>
    <r>
      <rPr>
        <sz val="14"/>
        <rFont val="Times New Roman"/>
        <family val="1"/>
      </rPr>
      <t xml:space="preserve">
Enter actual total M&amp;O Fund expenditures, as reported on the district’s FY 2025 AFR.</t>
    </r>
  </si>
  <si>
    <t>In accordance with A.R.S. §15-920, districts may budget any unexpended budget balance in the M&amp;O section attributable to the Performance Pay component in its salary schedule from FY 2025 for use in that component in FY 2026. The Performance Pay budget amount is the portion of FY 2025 M&amp;O expenditures budgeted for a performance pay component of the salary schedule shown on the FY 2025 Budget, page 2. Additionally, the amount calculated on this line, is specifically exempt from the RCL and should be entered on the Budget, page 7, line 8(f).</t>
  </si>
  <si>
    <r>
      <rPr>
        <b/>
        <sz val="14"/>
        <rFont val="Times New Roman"/>
        <family val="1"/>
      </rPr>
      <t>Districts receiving Impact Aid revenues only:</t>
    </r>
    <r>
      <rPr>
        <sz val="14"/>
        <rFont val="Times New Roman"/>
        <family val="1"/>
      </rPr>
      <t xml:space="preserve">
Include the amount from the most recent FY 2025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 2025 encumbrance period and recorded in FY 2026 revenues. </t>
    </r>
  </si>
  <si>
    <t>A district authorized by ADE to continue participation in the Dropout Prevention Programs, in accordance with Laws 1992, Ch. 305, §32 and Laws 2000, Ch. 398, §2, for FY 2026 may record on this line an amount not to exceed the amount budgeted for the Dropout Prevention Programs in FY 1991. Districts should not include amounts on this line for expenditures that are to be made from the Impact Aid Fund.</t>
  </si>
  <si>
    <t>Removed the line for the FY 2025 onetime FRPL Group B weight supplement provided by Laws 2022, Ch. 313, §128, as amended by Laws 2024, Ch. 209, §4.</t>
  </si>
  <si>
    <t>Removed the line for the FY 2025 onetime DAA supplement provided by Laws 2022, Ch. 313, §128, as amended by Laws 2024, Ch. 209, §4.</t>
  </si>
  <si>
    <r>
      <rPr>
        <b/>
        <sz val="14"/>
        <rFont val="Times New Roman"/>
        <family val="1"/>
      </rPr>
      <t>Districts operating under a small school adjustment only:</t>
    </r>
    <r>
      <rPr>
        <sz val="14"/>
        <rFont val="Times New Roman"/>
        <family val="1"/>
      </rPr>
      <t xml:space="preserve">
This section applies to any district that operated under the provisions of the small school adjustment, in accordance with A.R.S. §15-949(A), and exceeded the allowable student counts in the current year. Districts may hold an override election as provided in A.R.S.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2026 student count is the 2025 ADM. Districts that activate this checkbox must also complete line 22 below.</t>
    </r>
  </si>
  <si>
    <t>(1)   Amounts in the Unrestricted Capital Outlay Override line 1 above must be included in the appropriate individual line items for Fund 610 and in the budget year total column.</t>
  </si>
  <si>
    <t>(2)   Detail by object code:</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</si>
  <si>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 Accountability Services Division, or ADE, School Finance.
Select the link below for more information.</t>
    </r>
  </si>
  <si>
    <t>Proposed</t>
  </si>
  <si>
    <t>Nathan Dettmar</t>
  </si>
  <si>
    <t>Linda M. Cordova</t>
  </si>
  <si>
    <t>602-353-5058</t>
  </si>
  <si>
    <t>lcordova@msdaz.org</t>
  </si>
  <si>
    <t>Murphy Elementary School District #21</t>
  </si>
  <si>
    <t>Maricopa</t>
  </si>
  <si>
    <t>070421000</t>
  </si>
  <si>
    <t>MESD has been facing a steady decline in enrollment. If this trend continues, we will need to utilize our budget balance carryforward. To avoid exceeding our budget capacity, we plan to implement annual cuts. However, our carryforward will help us maintain one-time stipends and salary increases for all staff in FY26, as well as support all positions that were funded through the ESSER fund.</t>
  </si>
  <si>
    <t>Murphy Elementary School</t>
  </si>
  <si>
    <t>21</t>
  </si>
  <si>
    <t>Other Employee Medical Insurance</t>
  </si>
  <si>
    <t>910 Catering</t>
  </si>
  <si>
    <t>https://www.msdaz.org/apps/pages/index.jsp?uREC_ID=3223185&amp;type=d&amp;pREC_ID=2362638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</si>
</sst>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lt;=9999999]###\-####;\(###\)\ ###\-####"/>
    <numFmt numFmtId="181" formatCode="&quot;$&quot;#,##0.00"/>
    <numFmt numFmtId="182" formatCode="0.0000_);[Red]\(0.0000\)"/>
    <numFmt numFmtId="183" formatCode="_(* #,##0_);_(* \(#,##0\);_(* &quot;-&quot;??_);_(@_)"/>
    <numFmt numFmtId="184" formatCode="_(&quot;$&quot;* #,##0.00_);_(&quot;$&quot;* \(#,##0.00\);_(&quot;$&quot;* &quot;-&quot;?????_);_(@_)"/>
    <numFmt numFmtId="185" formatCode="_(* #,##0.000000_);_(* \(#,##0.000000\);_(* &quot;-&quot;??_);_(@_)"/>
    <numFmt numFmtId="186" formatCode="0.0000000000%"/>
    <numFmt numFmtId="187" formatCode="#,##0.0000000000_);\(#,##0.0000000000\)"/>
    <numFmt numFmtId="188" formatCode="0.0000_);\(0.0000\)"/>
  </numFmts>
  <fonts count="117">
    <font>
      <sz val="12"/>
      <name val="Arial"/>
      <family val="2"/>
    </font>
    <font>
      <sz val="10"/>
      <name val="Arial"/>
      <family val="2"/>
    </font>
    <font>
      <sz val="11"/>
      <color theme="1"/>
      <name val="Calibri"/>
      <family val="2"/>
      <scheme val="minor"/>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b/>
      <sz val="8"/>
      <color rgb="FFFF0000"/>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sz val="11"/>
      <color rgb="FFFF0000"/>
      <name val="Times New Roman"/>
      <family val="1"/>
    </font>
    <font>
      <sz val="11"/>
      <color rgb="FFFF0000"/>
      <name val="Arial"/>
      <family val="2"/>
    </font>
    <font>
      <sz val="12"/>
      <color rgb="FFFF0000"/>
      <name val="Times New Roman"/>
      <family val="1"/>
    </font>
    <font>
      <u/>
      <sz val="10"/>
      <color indexed="12"/>
      <name val="Arial"/>
      <family val="2"/>
    </font>
    <font>
      <u/>
      <sz val="10"/>
      <color theme="10"/>
      <name val="Arial"/>
      <family val="2"/>
    </font>
    <font>
      <sz val="9"/>
      <color rgb="FF0000FF"/>
      <name val="Times New Roman"/>
      <family val="1"/>
    </font>
    <font>
      <strike/>
      <sz val="9"/>
      <color rgb="FFFF0000"/>
      <name val="Arial"/>
      <family val="2"/>
    </font>
    <font>
      <sz val="12"/>
      <name val="Arial"/>
      <family val="2"/>
    </font>
  </fonts>
  <fills count="21">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9" tint="0.79989013336588644"/>
        <bgColor indexed="64"/>
      </patternFill>
    </fill>
    <fill>
      <patternFill patternType="solid">
        <fgColor rgb="FFCCFFFF"/>
        <bgColor indexed="64"/>
      </patternFill>
    </fill>
    <fill>
      <patternFill patternType="solid">
        <fgColor theme="0"/>
        <bgColor indexed="64"/>
      </patternFill>
    </fill>
    <fill>
      <patternFill patternType="solid">
        <fgColor indexed="55"/>
        <bgColor indexed="64"/>
      </patternFill>
    </fill>
    <fill>
      <patternFill patternType="solid">
        <fgColor rgb="FF969696"/>
        <bgColor indexed="64"/>
      </patternFill>
    </fill>
    <fill>
      <patternFill patternType="solid">
        <fgColor rgb="FFFFFFCC"/>
        <bgColor indexed="64"/>
      </patternFill>
    </fill>
    <fill>
      <patternFill patternType="solid">
        <fgColor theme="0" tint="-0.49983214819788202"/>
        <bgColor indexed="64"/>
      </patternFill>
    </fill>
    <fill>
      <patternFill patternType="solid">
        <fgColor theme="0" tint="-0.1498458815271462"/>
        <bgColor indexed="64"/>
      </patternFill>
    </fill>
    <fill>
      <patternFill patternType="solid">
        <fgColor rgb="FFFDE9D9"/>
        <bgColor indexed="64"/>
      </patternFill>
    </fill>
    <fill>
      <patternFill patternType="solid">
        <fgColor theme="9" tint="0.79992065187536243"/>
        <bgColor indexed="64"/>
      </patternFill>
    </fill>
    <fill>
      <patternFill patternType="solid">
        <fgColor theme="0" tint="-0.14993743705557422"/>
        <bgColor indexed="64"/>
      </patternFill>
    </fill>
    <fill>
      <patternFill patternType="solid">
        <fgColor theme="0" tint="-0.49995422223578601"/>
        <bgColor indexed="64"/>
      </patternFill>
    </fill>
    <fill>
      <patternFill patternType="solid">
        <fgColor theme="1" tint="0.49995422223578601"/>
        <bgColor indexed="64"/>
      </patternFill>
    </fill>
    <fill>
      <patternFill patternType="solid">
        <fgColor rgb="FFD9D9D9"/>
        <bgColor indexed="64"/>
      </patternFill>
    </fill>
    <fill>
      <patternFill patternType="solid">
        <fgColor theme="0" tint="-0.1498764000366222"/>
        <bgColor indexed="64"/>
      </patternFill>
    </fill>
    <fill>
      <patternFill patternType="solid">
        <fgColor theme="5" tint="0.79985961485641044"/>
        <bgColor indexed="64"/>
      </patternFill>
    </fill>
    <fill>
      <patternFill patternType="solid">
        <fgColor theme="0" tint="-0.14990691854609822"/>
        <bgColor indexed="64"/>
      </patternFill>
    </fill>
  </fills>
  <borders count="113">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style="thin">
        <color indexed="8"/>
      </right>
      <top/>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theme="1"/>
      </left>
      <right style="thin">
        <color indexed="8"/>
      </right>
      <top style="thin">
        <color indexed="8"/>
      </top>
      <bottom style="thin">
        <color indexed="8"/>
      </bottom>
      <diagonal/>
    </border>
    <border>
      <left/>
      <right/>
      <top style="thin">
        <color indexed="8"/>
      </top>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right/>
      <top/>
      <bottom style="thin">
        <color theme="1"/>
      </bottom>
      <diagonal/>
    </border>
    <border>
      <left/>
      <right style="thin">
        <color auto="1"/>
      </right>
      <top/>
      <bottom style="thin">
        <color indexed="8"/>
      </bottom>
      <diagonal/>
    </border>
    <border>
      <left style="thin">
        <color indexed="8"/>
      </left>
      <right style="thin">
        <color indexed="8"/>
      </right>
      <top style="thin">
        <color auto="1"/>
      </top>
      <bottom/>
      <diagonal/>
    </border>
    <border>
      <left/>
      <right style="thin">
        <color auto="1"/>
      </right>
      <top/>
      <bottom/>
      <diagonal/>
    </border>
    <border>
      <left style="thin">
        <color indexed="8"/>
      </left>
      <right style="thin">
        <color auto="1"/>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bottom/>
      <diagonal/>
    </border>
    <border>
      <left style="thin">
        <color auto="1"/>
      </left>
      <right style="thin">
        <color auto="1"/>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indexed="8"/>
      </left>
      <right style="thin">
        <color auto="1"/>
      </right>
      <top/>
      <bottom style="thin">
        <color auto="1"/>
      </bottom>
      <diagonal/>
    </border>
    <border>
      <left/>
      <right style="thin">
        <color indexed="8"/>
      </right>
      <top/>
      <bottom style="thin">
        <color auto="1"/>
      </bottom>
      <diagonal/>
    </border>
    <border>
      <left style="thin">
        <color auto="1"/>
      </left>
      <right style="thin">
        <color auto="1"/>
      </right>
      <top style="thin">
        <color auto="1"/>
      </top>
      <bottom style="double">
        <color auto="1"/>
      </bottom>
      <diagonal/>
    </border>
    <border>
      <left style="thin">
        <color indexed="8"/>
      </left>
      <right style="thin">
        <color auto="1"/>
      </right>
      <top/>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right/>
      <top style="thin">
        <color auto="1"/>
      </top>
      <bottom style="double">
        <color auto="1"/>
      </bottom>
      <diagonal/>
    </border>
    <border>
      <left style="thin">
        <color theme="1"/>
      </left>
      <right style="thin">
        <color theme="1"/>
      </right>
      <top style="thin">
        <color theme="1"/>
      </top>
      <bottom style="thin">
        <color theme="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style="thin">
        <color indexed="8"/>
      </left>
      <right/>
      <top/>
      <bottom style="double">
        <color auto="1"/>
      </bottom>
      <diagonal/>
    </border>
    <border>
      <left style="thin">
        <color indexed="8"/>
      </left>
      <right/>
      <top style="thin">
        <color indexed="8"/>
      </top>
      <bottom style="thin">
        <color auto="1"/>
      </bottom>
      <diagonal/>
    </border>
    <border>
      <left/>
      <right style="thin">
        <color indexed="8"/>
      </right>
      <top style="thin">
        <color indexed="8"/>
      </top>
      <bottom style="thin">
        <color auto="1"/>
      </bottom>
      <diagonal/>
    </border>
    <border>
      <left style="thin">
        <color indexed="8"/>
      </left>
      <right/>
      <top/>
      <bottom style="medium">
        <color indexed="8"/>
      </bottom>
      <diagonal/>
    </border>
    <border>
      <left/>
      <right style="thin">
        <color indexed="8"/>
      </right>
      <top/>
      <bottom style="medium">
        <color indexed="8"/>
      </bottom>
      <diagonal/>
    </border>
    <border>
      <left style="thin">
        <color indexed="8"/>
      </left>
      <right/>
      <top/>
      <bottom style="thin">
        <color auto="1"/>
      </bottom>
      <diagonal/>
    </border>
    <border>
      <left style="thin">
        <color indexed="8"/>
      </left>
      <right style="thin">
        <color indexed="8"/>
      </right>
      <top style="thin">
        <color indexed="8"/>
      </top>
      <bottom style="thin">
        <color auto="1"/>
      </bottom>
      <diagonal/>
    </border>
    <border>
      <left style="thin">
        <color indexed="8"/>
      </left>
      <right/>
      <top style="thin">
        <color auto="1"/>
      </top>
      <bottom/>
      <diagonal/>
    </border>
    <border>
      <left/>
      <right style="thin">
        <color auto="1"/>
      </right>
      <top/>
      <bottom style="double">
        <color auto="1"/>
      </bottom>
      <diagonal/>
    </border>
    <border>
      <left style="thin">
        <color auto="1"/>
      </left>
      <right/>
      <top style="thin">
        <color auto="1"/>
      </top>
      <bottom style="thin">
        <color indexed="8"/>
      </bottom>
      <diagonal/>
    </border>
    <border>
      <left/>
      <right/>
      <top style="thin">
        <color theme="1"/>
      </top>
      <bottom/>
      <diagonal/>
    </border>
    <border>
      <left style="thin">
        <color indexed="8"/>
      </left>
      <right/>
      <top style="thin">
        <color auto="1"/>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style="thin">
        <color auto="1"/>
      </right>
      <top/>
      <bottom style="double">
        <color auto="1"/>
      </bottom>
      <diagonal/>
    </border>
    <border>
      <left style="thin">
        <color auto="1"/>
      </left>
      <right style="thin">
        <color indexed="8"/>
      </right>
      <top/>
      <bottom style="double">
        <color auto="1"/>
      </bottom>
      <diagonal/>
    </border>
    <border>
      <left style="thin">
        <color indexed="8"/>
      </left>
      <right style="thin">
        <color auto="1"/>
      </right>
      <top/>
      <bottom style="medium">
        <color indexed="8"/>
      </bottom>
      <diagonal/>
    </border>
    <border>
      <left style="thin">
        <color auto="1"/>
      </left>
      <right style="thin">
        <color indexed="8"/>
      </right>
      <top/>
      <bottom style="medium">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s>
  <cellStyleXfs count="30">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6" fillId="0" borderId="0" applyNumberFormat="0" applyFill="0" applyBorder="0">
      <protection locked="0"/>
    </xf>
    <xf numFmtId="0" fontId="116" fillId="0" borderId="0" applyNumberFormat="0" applyFill="0" applyBorder="0">
      <protection locked="0"/>
    </xf>
    <xf numFmtId="0" fontId="27" fillId="0" borderId="0" applyNumberFormat="0" applyFill="0" applyBorder="0">
      <protection locked="0"/>
    </xf>
    <xf numFmtId="0" fontId="116" fillId="0" borderId="0" applyNumberFormat="0" applyFill="0" applyBorder="0">
      <protection locked="0"/>
    </xf>
    <xf numFmtId="0" fontId="116" fillId="0" borderId="0" applyNumberFormat="0" applyFill="0" applyBorder="0">
      <protection locked="0"/>
    </xf>
    <xf numFmtId="0" fontId="116" fillId="0" borderId="0" applyFont="0" applyBorder="0"/>
    <xf numFmtId="177" fontId="19" fillId="2" borderId="0"/>
    <xf numFmtId="0" fontId="18" fillId="2" borderId="0"/>
    <xf numFmtId="0" fontId="20" fillId="2" borderId="0"/>
    <xf numFmtId="0" fontId="20" fillId="2" borderId="0"/>
    <xf numFmtId="0" fontId="35" fillId="2" borderId="0"/>
    <xf numFmtId="0" fontId="35" fillId="2" borderId="0"/>
    <xf numFmtId="0" fontId="35" fillId="2" borderId="0"/>
    <xf numFmtId="0" fontId="18" fillId="2" borderId="0"/>
    <xf numFmtId="0" fontId="35" fillId="2" borderId="0"/>
    <xf numFmtId="0" fontId="35" fillId="2" borderId="0"/>
    <xf numFmtId="0" fontId="1" fillId="0" borderId="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12" fillId="0" borderId="0" applyNumberFormat="0" applyFill="0" applyBorder="0">
      <protection locked="0"/>
    </xf>
    <xf numFmtId="0" fontId="113" fillId="0" borderId="0" applyNumberFormat="0" applyFill="0" applyBorder="0" applyAlignment="0" applyProtection="0"/>
    <xf numFmtId="0" fontId="2" fillId="0" borderId="0"/>
    <xf numFmtId="0" fontId="1" fillId="0" borderId="0"/>
  </cellStyleXfs>
  <cellXfs count="1925">
    <xf numFmtId="0" fontId="0" fillId="0" borderId="0" xfId="0"/>
    <xf numFmtId="0" fontId="8" fillId="0" borderId="25" xfId="0" applyFont="1" applyBorder="1" applyAlignment="1">
      <alignment horizontal="center"/>
    </xf>
    <xf numFmtId="0" fontId="8" fillId="0" borderId="10" xfId="0" applyFont="1" applyBorder="1" applyAlignment="1">
      <alignment horizontal="center"/>
    </xf>
    <xf numFmtId="0" fontId="8" fillId="0" borderId="0" xfId="0" applyFont="1" applyAlignment="1">
      <alignment horizontal="center"/>
    </xf>
    <xf numFmtId="37" fontId="8" fillId="0" borderId="1" xfId="0" applyNumberFormat="1" applyFont="1" applyBorder="1" applyAlignment="1" applyProtection="1">
      <alignment horizontal="right"/>
      <protection locked="0"/>
    </xf>
    <xf numFmtId="37" fontId="12" fillId="2" borderId="2" xfId="13" applyNumberFormat="1" applyFont="1" applyBorder="1" applyProtection="1">
      <protection locked="0"/>
    </xf>
    <xf numFmtId="37" fontId="8" fillId="2" borderId="2" xfId="13" applyNumberFormat="1" applyFont="1" applyBorder="1" applyProtection="1">
      <protection locked="0"/>
    </xf>
    <xf numFmtId="3" fontId="8" fillId="0" borderId="3" xfId="0" applyNumberFormat="1" applyFont="1" applyBorder="1" applyProtection="1">
      <protection locked="0"/>
    </xf>
    <xf numFmtId="3" fontId="8" fillId="0" borderId="1" xfId="0" applyNumberFormat="1" applyFont="1" applyBorder="1" applyProtection="1">
      <protection locked="0"/>
    </xf>
    <xf numFmtId="37" fontId="12" fillId="0" borderId="4" xfId="0" applyNumberFormat="1" applyFont="1" applyBorder="1" applyProtection="1">
      <protection locked="0"/>
    </xf>
    <xf numFmtId="37" fontId="8" fillId="0" borderId="1" xfId="0" applyNumberFormat="1" applyFont="1" applyBorder="1" applyProtection="1">
      <protection locked="0"/>
    </xf>
    <xf numFmtId="37" fontId="8" fillId="0" borderId="3" xfId="0" applyNumberFormat="1" applyFont="1" applyBorder="1" applyProtection="1">
      <protection locked="0"/>
    </xf>
    <xf numFmtId="4" fontId="8" fillId="0" borderId="1" xfId="0" applyNumberFormat="1" applyFont="1" applyBorder="1" applyAlignment="1" applyProtection="1">
      <alignment horizontal="right"/>
      <protection locked="0"/>
    </xf>
    <xf numFmtId="0" fontId="8" fillId="0" borderId="0" xfId="0" applyFont="1" applyProtection="1">
      <protection locked="0"/>
    </xf>
    <xf numFmtId="38" fontId="8" fillId="0" borderId="2" xfId="0" applyNumberFormat="1" applyFont="1" applyBorder="1" applyProtection="1">
      <protection locked="0"/>
    </xf>
    <xf numFmtId="174" fontId="8" fillId="0" borderId="3" xfId="0" applyNumberFormat="1" applyFont="1" applyBorder="1" applyProtection="1">
      <protection locked="0"/>
    </xf>
    <xf numFmtId="174" fontId="8" fillId="0" borderId="1" xfId="0" applyNumberFormat="1" applyFont="1" applyBorder="1" applyProtection="1">
      <protection locked="0"/>
    </xf>
    <xf numFmtId="37" fontId="8" fillId="0" borderId="5" xfId="4" applyNumberFormat="1" applyFont="1" applyBorder="1" applyProtection="1">
      <protection locked="0"/>
    </xf>
    <xf numFmtId="49" fontId="8" fillId="0" borderId="0" xfId="0" applyNumberFormat="1" applyFont="1" applyAlignment="1" applyProtection="1">
      <alignment horizontal="left"/>
      <protection locked="0"/>
    </xf>
    <xf numFmtId="37" fontId="8" fillId="0" borderId="5" xfId="0" applyNumberFormat="1" applyFont="1" applyBorder="1" applyProtection="1">
      <protection locked="0"/>
    </xf>
    <xf numFmtId="37" fontId="6" fillId="0" borderId="6" xfId="0" applyNumberFormat="1" applyFont="1" applyBorder="1" applyAlignment="1" applyProtection="1">
      <alignment horizontal="right"/>
      <protection locked="0"/>
    </xf>
    <xf numFmtId="37" fontId="6" fillId="0" borderId="7" xfId="0" applyNumberFormat="1" applyFont="1" applyBorder="1" applyAlignment="1" applyProtection="1">
      <alignment horizontal="right"/>
      <protection locked="0"/>
    </xf>
    <xf numFmtId="37" fontId="4" fillId="0" borderId="8" xfId="0" applyNumberFormat="1" applyFont="1" applyBorder="1" applyProtection="1">
      <protection locked="0"/>
    </xf>
    <xf numFmtId="37" fontId="8" fillId="0" borderId="5" xfId="2" applyNumberFormat="1" applyFont="1" applyBorder="1" applyProtection="1">
      <protection locked="0"/>
    </xf>
    <xf numFmtId="49" fontId="4" fillId="0" borderId="2" xfId="0" applyNumberFormat="1" applyFont="1" applyBorder="1" applyAlignment="1" applyProtection="1">
      <alignment horizontal="center"/>
      <protection locked="0"/>
    </xf>
    <xf numFmtId="37" fontId="6" fillId="0" borderId="9" xfId="0" applyNumberFormat="1" applyFont="1" applyBorder="1" applyAlignment="1" applyProtection="1">
      <alignment horizontal="right"/>
      <protection locked="0"/>
    </xf>
    <xf numFmtId="42" fontId="8" fillId="0" borderId="5" xfId="2" applyNumberFormat="1" applyFont="1" applyBorder="1" applyProtection="1">
      <protection locked="0"/>
    </xf>
    <xf numFmtId="42" fontId="8" fillId="0" borderId="8" xfId="2" applyNumberFormat="1" applyFont="1" applyBorder="1" applyProtection="1">
      <protection locked="0"/>
    </xf>
    <xf numFmtId="42" fontId="4" fillId="0" borderId="2" xfId="0" applyNumberFormat="1" applyFont="1" applyBorder="1" applyProtection="1">
      <protection locked="0"/>
    </xf>
    <xf numFmtId="42" fontId="24" fillId="0" borderId="2" xfId="0" applyNumberFormat="1" applyFont="1" applyBorder="1" applyAlignment="1" applyProtection="1">
      <alignment horizontal="right"/>
      <protection locked="0"/>
    </xf>
    <xf numFmtId="37" fontId="8" fillId="0" borderId="8" xfId="4" applyNumberFormat="1" applyFont="1" applyBorder="1" applyProtection="1">
      <protection locked="0"/>
    </xf>
    <xf numFmtId="0" fontId="15" fillId="0" borderId="8" xfId="0" applyFont="1" applyBorder="1" applyProtection="1">
      <protection locked="0"/>
    </xf>
    <xf numFmtId="42" fontId="8" fillId="0" borderId="8" xfId="0" applyNumberFormat="1" applyFont="1" applyBorder="1" applyAlignment="1" applyProtection="1">
      <alignment horizontal="right"/>
      <protection locked="0"/>
    </xf>
    <xf numFmtId="37" fontId="8" fillId="0" borderId="10" xfId="0" applyNumberFormat="1" applyFont="1" applyBorder="1" applyProtection="1">
      <protection locked="0"/>
    </xf>
    <xf numFmtId="37" fontId="8" fillId="0" borderId="11" xfId="0" applyNumberFormat="1" applyFont="1" applyBorder="1" applyProtection="1">
      <protection locked="0"/>
    </xf>
    <xf numFmtId="4" fontId="8" fillId="0" borderId="3" xfId="0" applyNumberFormat="1" applyFont="1" applyBorder="1" applyProtection="1">
      <protection locked="0"/>
    </xf>
    <xf numFmtId="37" fontId="8" fillId="0" borderId="3" xfId="0" applyNumberFormat="1" applyFont="1" applyBorder="1" applyAlignment="1" applyProtection="1">
      <alignment horizontal="right"/>
      <protection locked="0"/>
    </xf>
    <xf numFmtId="37" fontId="8" fillId="0" borderId="12" xfId="0" applyNumberFormat="1" applyFont="1" applyBorder="1" applyAlignment="1" applyProtection="1">
      <alignment horizontal="right"/>
      <protection locked="0"/>
    </xf>
    <xf numFmtId="37" fontId="8" fillId="0" borderId="12" xfId="0" applyNumberFormat="1" applyFont="1" applyBorder="1" applyProtection="1">
      <protection locked="0"/>
    </xf>
    <xf numFmtId="37" fontId="6" fillId="0" borderId="3" xfId="11" applyNumberFormat="1" applyFont="1" applyBorder="1" applyAlignment="1" applyProtection="1">
      <alignment horizontal="right"/>
      <protection locked="0"/>
    </xf>
    <xf numFmtId="37" fontId="6" fillId="0" borderId="1" xfId="11" applyNumberFormat="1" applyFont="1" applyBorder="1" applyAlignment="1" applyProtection="1">
      <alignment horizontal="right"/>
      <protection locked="0"/>
    </xf>
    <xf numFmtId="37" fontId="4" fillId="0" borderId="13" xfId="0" applyNumberFormat="1" applyFont="1" applyBorder="1" applyAlignment="1" applyProtection="1">
      <alignment horizontal="right"/>
      <protection locked="0"/>
    </xf>
    <xf numFmtId="37" fontId="8" fillId="2" borderId="5" xfId="13" applyNumberFormat="1" applyFont="1" applyBorder="1" applyProtection="1">
      <protection locked="0"/>
    </xf>
    <xf numFmtId="37" fontId="6" fillId="0" borderId="14" xfId="11" applyNumberFormat="1" applyFont="1" applyBorder="1" applyAlignment="1" applyProtection="1">
      <alignment horizontal="right"/>
      <protection locked="0"/>
    </xf>
    <xf numFmtId="3" fontId="8" fillId="0" borderId="15" xfId="0" applyNumberFormat="1" applyFont="1" applyBorder="1" applyProtection="1">
      <protection locked="0"/>
    </xf>
    <xf numFmtId="37" fontId="8" fillId="0" borderId="8" xfId="0" applyNumberFormat="1" applyFont="1" applyBorder="1" applyProtection="1">
      <protection locked="0"/>
    </xf>
    <xf numFmtId="37" fontId="12" fillId="0" borderId="5" xfId="13" quotePrefix="1" applyNumberFormat="1" applyFont="1" applyFill="1" applyBorder="1" applyProtection="1">
      <protection locked="0"/>
    </xf>
    <xf numFmtId="37" fontId="4" fillId="0" borderId="5" xfId="0" applyNumberFormat="1" applyFont="1" applyBorder="1" applyProtection="1">
      <protection locked="0"/>
    </xf>
    <xf numFmtId="37" fontId="6" fillId="0" borderId="16" xfId="0" applyNumberFormat="1" applyFont="1" applyBorder="1" applyAlignment="1" applyProtection="1">
      <alignment horizontal="right"/>
      <protection locked="0"/>
    </xf>
    <xf numFmtId="37" fontId="6" fillId="0" borderId="6" xfId="0" applyNumberFormat="1" applyFont="1" applyBorder="1" applyProtection="1">
      <protection locked="0"/>
    </xf>
    <xf numFmtId="38" fontId="4" fillId="0" borderId="17" xfId="0" applyNumberFormat="1" applyFont="1" applyBorder="1" applyAlignment="1" applyProtection="1">
      <alignment vertical="top"/>
      <protection locked="0"/>
    </xf>
    <xf numFmtId="38" fontId="24" fillId="0" borderId="1" xfId="0" applyNumberFormat="1" applyFont="1" applyBorder="1" applyProtection="1">
      <protection locked="0"/>
    </xf>
    <xf numFmtId="38" fontId="24" fillId="0" borderId="14" xfId="0" applyNumberFormat="1" applyFont="1" applyBorder="1" applyProtection="1">
      <protection locked="0"/>
    </xf>
    <xf numFmtId="37" fontId="6" fillId="0" borderId="18" xfId="0" applyNumberFormat="1" applyFont="1" applyBorder="1" applyProtection="1">
      <protection locked="0"/>
    </xf>
    <xf numFmtId="179" fontId="8" fillId="0" borderId="8" xfId="2" applyNumberFormat="1" applyFont="1" applyBorder="1" applyAlignment="1" applyProtection="1">
      <alignment horizontal="left"/>
      <protection locked="0"/>
    </xf>
    <xf numFmtId="37" fontId="12" fillId="0" borderId="8" xfId="13" quotePrefix="1" applyNumberFormat="1" applyFont="1" applyFill="1" applyBorder="1" applyProtection="1">
      <protection locked="0"/>
    </xf>
    <xf numFmtId="37" fontId="8" fillId="0" borderId="19" xfId="0" applyNumberFormat="1" applyFont="1" applyBorder="1" applyProtection="1">
      <protection locked="0"/>
    </xf>
    <xf numFmtId="0" fontId="8" fillId="0" borderId="20" xfId="0" applyFont="1" applyBorder="1" applyProtection="1">
      <protection locked="0"/>
    </xf>
    <xf numFmtId="0" fontId="6" fillId="0" borderId="20" xfId="0" applyFont="1" applyBorder="1" applyProtection="1">
      <protection locked="0"/>
    </xf>
    <xf numFmtId="39" fontId="8" fillId="0" borderId="7" xfId="0" applyNumberFormat="1" applyFont="1" applyBorder="1" applyProtection="1">
      <protection locked="0"/>
    </xf>
    <xf numFmtId="166" fontId="8" fillId="3" borderId="7" xfId="0" applyNumberFormat="1" applyFont="1" applyFill="1" applyBorder="1" applyProtection="1">
      <protection locked="0"/>
    </xf>
    <xf numFmtId="39" fontId="8" fillId="3" borderId="7" xfId="0" applyNumberFormat="1" applyFont="1" applyFill="1" applyBorder="1" applyProtection="1">
      <protection locked="0"/>
    </xf>
    <xf numFmtId="174" fontId="8" fillId="3" borderId="7" xfId="0" applyNumberFormat="1" applyFont="1" applyFill="1" applyBorder="1" applyProtection="1">
      <protection locked="0"/>
    </xf>
    <xf numFmtId="7" fontId="8" fillId="3" borderId="7" xfId="0" applyNumberFormat="1" applyFont="1" applyFill="1" applyBorder="1" applyProtection="1">
      <protection locked="0"/>
    </xf>
    <xf numFmtId="7" fontId="8" fillId="0" borderId="7" xfId="0" applyNumberFormat="1" applyFont="1" applyBorder="1" applyProtection="1">
      <protection locked="0"/>
    </xf>
    <xf numFmtId="7" fontId="8" fillId="3" borderId="16" xfId="0" applyNumberFormat="1" applyFont="1" applyFill="1" applyBorder="1" applyProtection="1">
      <protection locked="0"/>
    </xf>
    <xf numFmtId="7" fontId="8" fillId="0" borderId="16" xfId="0" applyNumberFormat="1" applyFont="1" applyBorder="1" applyProtection="1">
      <protection locked="0"/>
    </xf>
    <xf numFmtId="37" fontId="14" fillId="0" borderId="1" xfId="15" applyNumberFormat="1" applyFont="1" applyFill="1" applyBorder="1" applyAlignment="1" applyProtection="1">
      <alignment horizontal="right"/>
      <protection locked="0"/>
    </xf>
    <xf numFmtId="37" fontId="14" fillId="0" borderId="3" xfId="15" applyNumberFormat="1" applyFont="1" applyFill="1" applyBorder="1" applyAlignment="1" applyProtection="1">
      <alignment horizontal="right"/>
      <protection locked="0"/>
    </xf>
    <xf numFmtId="37" fontId="14" fillId="0" borderId="7" xfId="15" applyNumberFormat="1" applyFont="1" applyFill="1" applyBorder="1" applyAlignment="1" applyProtection="1">
      <alignment horizontal="right"/>
      <protection locked="0"/>
    </xf>
    <xf numFmtId="37" fontId="14" fillId="0" borderId="21" xfId="15" applyNumberFormat="1" applyFont="1" applyFill="1" applyBorder="1" applyAlignment="1" applyProtection="1">
      <alignment horizontal="right"/>
      <protection locked="0"/>
    </xf>
    <xf numFmtId="0" fontId="6" fillId="0" borderId="7" xfId="0" applyFont="1" applyBorder="1" applyAlignment="1" applyProtection="1">
      <alignment horizontal="center"/>
      <protection locked="0"/>
    </xf>
    <xf numFmtId="37" fontId="8" fillId="0" borderId="14" xfId="0" applyNumberFormat="1" applyFont="1" applyBorder="1" applyProtection="1">
      <protection locked="0"/>
    </xf>
    <xf numFmtId="37" fontId="8" fillId="0" borderId="22" xfId="0" applyNumberFormat="1" applyFont="1" applyBorder="1" applyProtection="1">
      <protection locked="0"/>
    </xf>
    <xf numFmtId="168" fontId="8" fillId="0" borderId="7" xfId="0" applyNumberFormat="1" applyFont="1" applyBorder="1" applyProtection="1">
      <protection locked="0"/>
    </xf>
    <xf numFmtId="168" fontId="8" fillId="0" borderId="7" xfId="0" applyNumberFormat="1" applyFont="1" applyBorder="1" applyAlignment="1" applyProtection="1">
      <alignment horizontal="right"/>
      <protection locked="0"/>
    </xf>
    <xf numFmtId="166" fontId="8" fillId="0" borderId="7" xfId="0" applyNumberFormat="1" applyFont="1" applyBorder="1" applyProtection="1">
      <protection locked="0"/>
    </xf>
    <xf numFmtId="7" fontId="8" fillId="3" borderId="23" xfId="0" applyNumberFormat="1" applyFont="1" applyFill="1" applyBorder="1" applyProtection="1">
      <protection locked="0"/>
    </xf>
    <xf numFmtId="38" fontId="65" fillId="0" borderId="24" xfId="0" applyNumberFormat="1" applyFont="1" applyBorder="1" applyProtection="1">
      <protection locked="0"/>
    </xf>
    <xf numFmtId="174" fontId="8" fillId="0" borderId="7" xfId="0" applyNumberFormat="1" applyFont="1" applyBorder="1" applyAlignment="1" applyProtection="1">
      <alignment horizontal="right"/>
      <protection locked="0"/>
    </xf>
    <xf numFmtId="174" fontId="8" fillId="0" borderId="7" xfId="0" applyNumberFormat="1" applyFont="1" applyBorder="1" applyProtection="1">
      <protection locked="0"/>
    </xf>
    <xf numFmtId="174" fontId="8" fillId="0" borderId="21" xfId="0" applyNumberFormat="1" applyFont="1" applyBorder="1" applyProtection="1">
      <protection locked="0"/>
    </xf>
    <xf numFmtId="174" fontId="8" fillId="0" borderId="7" xfId="0" applyNumberFormat="1" applyFont="1" applyBorder="1" applyAlignment="1" applyProtection="1">
      <alignment horizontal="right" vertical="top"/>
      <protection locked="0"/>
    </xf>
    <xf numFmtId="174" fontId="8" fillId="0" borderId="7" xfId="0" applyNumberFormat="1" applyFont="1" applyBorder="1" applyAlignment="1" applyProtection="1">
      <alignment vertical="top"/>
      <protection locked="0"/>
    </xf>
    <xf numFmtId="174" fontId="64" fillId="3" borderId="7" xfId="0" applyNumberFormat="1" applyFont="1" applyFill="1" applyBorder="1" applyProtection="1">
      <protection locked="0"/>
    </xf>
    <xf numFmtId="5" fontId="8" fillId="3" borderId="7" xfId="0" applyNumberFormat="1" applyFont="1" applyFill="1" applyBorder="1" applyProtection="1">
      <protection locked="0"/>
    </xf>
    <xf numFmtId="5" fontId="8" fillId="0" borderId="7" xfId="0" applyNumberFormat="1" applyFont="1" applyBorder="1" applyProtection="1">
      <protection locked="0"/>
    </xf>
    <xf numFmtId="37" fontId="8" fillId="0" borderId="15" xfId="0" applyNumberFormat="1" applyFont="1" applyBorder="1" applyProtection="1">
      <protection locked="0"/>
    </xf>
    <xf numFmtId="49" fontId="15" fillId="0" borderId="8" xfId="14" applyNumberFormat="1" applyFont="1" applyFill="1" applyBorder="1" applyAlignment="1" applyProtection="1">
      <alignment horizontal="center"/>
      <protection locked="0"/>
    </xf>
    <xf numFmtId="37" fontId="8" fillId="0" borderId="0" xfId="0" applyNumberFormat="1" applyFont="1" applyProtection="1">
      <protection locked="0"/>
    </xf>
    <xf numFmtId="37" fontId="8" fillId="2" borderId="0" xfId="13" applyNumberFormat="1" applyFont="1" applyProtection="1">
      <protection locked="0"/>
    </xf>
    <xf numFmtId="37" fontId="8" fillId="0" borderId="2" xfId="0" applyNumberFormat="1" applyFont="1" applyBorder="1" applyProtection="1">
      <protection locked="0"/>
    </xf>
    <xf numFmtId="37" fontId="4" fillId="0" borderId="8" xfId="0" applyNumberFormat="1" applyFont="1" applyBorder="1" applyAlignment="1" applyProtection="1">
      <alignment horizontal="right"/>
      <protection locked="0"/>
    </xf>
    <xf numFmtId="37" fontId="6" fillId="2" borderId="3" xfId="11" applyNumberFormat="1" applyFont="1" applyFill="1" applyBorder="1" applyAlignment="1" applyProtection="1">
      <alignment horizontal="right"/>
      <protection locked="0"/>
    </xf>
    <xf numFmtId="44" fontId="8" fillId="0" borderId="7" xfId="2" applyFont="1" applyBorder="1" applyProtection="1"/>
    <xf numFmtId="174" fontId="8" fillId="4" borderId="7" xfId="0" applyNumberFormat="1" applyFont="1" applyFill="1" applyBorder="1" applyProtection="1">
      <protection locked="0"/>
    </xf>
    <xf numFmtId="0" fontId="8" fillId="0" borderId="0" xfId="0" applyFont="1"/>
    <xf numFmtId="0" fontId="3" fillId="0" borderId="0" xfId="0" applyFont="1"/>
    <xf numFmtId="49" fontId="4" fillId="0" borderId="2" xfId="0" applyNumberFormat="1" applyFont="1" applyBorder="1" applyAlignment="1">
      <alignment horizontal="center"/>
    </xf>
    <xf numFmtId="0" fontId="8" fillId="0" borderId="25" xfId="0" applyFont="1" applyBorder="1"/>
    <xf numFmtId="0" fontId="34" fillId="0" borderId="0" xfId="0" applyFont="1"/>
    <xf numFmtId="0" fontId="8" fillId="0" borderId="0" xfId="0" applyFont="1" applyAlignment="1">
      <alignment horizontal="left"/>
    </xf>
    <xf numFmtId="0" fontId="8" fillId="0" borderId="26" xfId="0" applyFont="1" applyBorder="1"/>
    <xf numFmtId="38" fontId="8" fillId="0" borderId="2" xfId="0" applyNumberFormat="1" applyFont="1" applyBorder="1"/>
    <xf numFmtId="0" fontId="8" fillId="0" borderId="0" xfId="0" applyFont="1" applyAlignment="1">
      <alignment horizontal="centerContinuous"/>
    </xf>
    <xf numFmtId="38" fontId="8" fillId="0" borderId="27" xfId="0" applyNumberFormat="1" applyFont="1" applyBorder="1"/>
    <xf numFmtId="0" fontId="36" fillId="5" borderId="0" xfId="8" applyFont="1" applyFill="1" applyProtection="1"/>
    <xf numFmtId="0" fontId="27" fillId="5" borderId="0" xfId="8" applyFill="1" applyProtection="1"/>
    <xf numFmtId="0" fontId="70" fillId="0" borderId="0" xfId="0" applyFont="1"/>
    <xf numFmtId="174" fontId="8" fillId="0" borderId="0" xfId="0" applyNumberFormat="1" applyFont="1"/>
    <xf numFmtId="173" fontId="8" fillId="0" borderId="0" xfId="0" applyNumberFormat="1" applyFont="1" applyAlignment="1">
      <alignment horizontal="center"/>
    </xf>
    <xf numFmtId="173" fontId="8" fillId="0" borderId="0" xfId="0" applyNumberFormat="1" applyFont="1"/>
    <xf numFmtId="0" fontId="68" fillId="0" borderId="0" xfId="0" applyFont="1"/>
    <xf numFmtId="0" fontId="31" fillId="0" borderId="0" xfId="8" applyFont="1" applyAlignment="1" applyProtection="1">
      <alignment wrapText="1"/>
    </xf>
    <xf numFmtId="0" fontId="8" fillId="0" borderId="10" xfId="0" applyFont="1" applyBorder="1" applyAlignment="1">
      <alignment wrapText="1"/>
    </xf>
    <xf numFmtId="0" fontId="31" fillId="0" borderId="0" xfId="8" applyFont="1" applyFill="1" applyProtection="1"/>
    <xf numFmtId="174" fontId="8" fillId="0" borderId="28" xfId="0" applyNumberFormat="1" applyFont="1" applyBorder="1"/>
    <xf numFmtId="0" fontId="10" fillId="0" borderId="0" xfId="0" applyFont="1"/>
    <xf numFmtId="0" fontId="49" fillId="0" borderId="0" xfId="0" applyFont="1" applyAlignment="1">
      <alignment horizontal="center"/>
    </xf>
    <xf numFmtId="0" fontId="63" fillId="0" borderId="0" xfId="0" applyFont="1"/>
    <xf numFmtId="0" fontId="8" fillId="0" borderId="0" xfId="0" applyFont="1" applyAlignment="1">
      <alignment vertical="top"/>
    </xf>
    <xf numFmtId="0" fontId="8" fillId="0" borderId="0" xfId="0" quotePrefix="1" applyFont="1" applyAlignment="1">
      <alignment horizontal="right"/>
    </xf>
    <xf numFmtId="14" fontId="8" fillId="0" borderId="0" xfId="0" applyNumberFormat="1" applyFont="1" applyAlignment="1">
      <alignment horizontal="left"/>
    </xf>
    <xf numFmtId="14" fontId="8" fillId="0" borderId="10" xfId="0" applyNumberFormat="1" applyFont="1" applyBorder="1" applyAlignment="1">
      <alignment horizontal="center"/>
    </xf>
    <xf numFmtId="165" fontId="8" fillId="0" borderId="0" xfId="0" applyNumberFormat="1" applyFont="1"/>
    <xf numFmtId="0" fontId="8" fillId="0" borderId="0" xfId="0" applyFont="1" applyAlignment="1">
      <alignment horizontal="justify" wrapText="1"/>
    </xf>
    <xf numFmtId="0" fontId="68" fillId="0" borderId="0" xfId="0" quotePrefix="1" applyFont="1"/>
    <xf numFmtId="0" fontId="61" fillId="0" borderId="0" xfId="0" applyFont="1"/>
    <xf numFmtId="37" fontId="8" fillId="0" borderId="2" xfId="0" applyNumberFormat="1" applyFont="1" applyBorder="1"/>
    <xf numFmtId="0" fontId="8" fillId="0" borderId="0" xfId="0" applyFont="1" applyBorder="1" applyAlignment="1">
      <alignment vertical="top"/>
    </xf>
    <xf numFmtId="9" fontId="8" fillId="0" borderId="0" xfId="1" applyFont="1" applyFill="1" applyBorder="1" applyProtection="1"/>
    <xf numFmtId="0" fontId="4" fillId="0" borderId="26" xfId="0" applyFont="1" applyBorder="1"/>
    <xf numFmtId="0" fontId="3" fillId="0" borderId="29" xfId="0" applyFont="1" applyBorder="1"/>
    <xf numFmtId="0" fontId="4" fillId="0" borderId="30" xfId="0" applyFont="1" applyBorder="1"/>
    <xf numFmtId="0" fontId="24" fillId="0" borderId="29" xfId="0" applyFont="1" applyBorder="1"/>
    <xf numFmtId="0" fontId="1" fillId="0" borderId="0" xfId="0" applyFont="1"/>
    <xf numFmtId="0" fontId="24" fillId="0" borderId="0" xfId="0" applyFont="1"/>
    <xf numFmtId="38" fontId="64" fillId="0" borderId="0" xfId="0" applyNumberFormat="1" applyFont="1" applyBorder="1"/>
    <xf numFmtId="0" fontId="55" fillId="0" borderId="0" xfId="0" applyFont="1"/>
    <xf numFmtId="0" fontId="4"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5" fillId="0" borderId="0" xfId="0" applyFont="1" applyAlignment="1">
      <alignment horizontal="justify" vertical="top"/>
    </xf>
    <xf numFmtId="0" fontId="3" fillId="0" borderId="0" xfId="0" applyFont="1" applyBorder="1"/>
    <xf numFmtId="176" fontId="25" fillId="0" borderId="0" xfId="0" applyNumberFormat="1" applyFont="1" applyAlignment="1">
      <alignment horizontal="justify" vertical="top"/>
    </xf>
    <xf numFmtId="0" fontId="34" fillId="0" borderId="0" xfId="0" applyFont="1" applyProtection="1">
      <protection hidden="1"/>
    </xf>
    <xf numFmtId="0" fontId="4" fillId="0" borderId="0" xfId="0" applyFont="1" applyAlignment="1">
      <alignment horizontal="center"/>
    </xf>
    <xf numFmtId="0" fontId="69" fillId="0" borderId="0" xfId="0" applyFont="1"/>
    <xf numFmtId="0" fontId="26" fillId="0" borderId="0" xfId="0" applyFont="1"/>
    <xf numFmtId="0" fontId="5" fillId="0" borderId="0" xfId="0" applyFont="1"/>
    <xf numFmtId="0" fontId="5" fillId="0" borderId="0" xfId="0" applyFont="1" applyAlignment="1">
      <alignment vertical="center"/>
    </xf>
    <xf numFmtId="0" fontId="79" fillId="0" borderId="0" xfId="0" applyFont="1"/>
    <xf numFmtId="0" fontId="5" fillId="0" borderId="0" xfId="0" applyFont="1" applyBorder="1" applyAlignment="1">
      <alignment horizontal="left"/>
    </xf>
    <xf numFmtId="0" fontId="5" fillId="0" borderId="0" xfId="0" applyFont="1" applyBorder="1"/>
    <xf numFmtId="0" fontId="7" fillId="0" borderId="2" xfId="0" applyFont="1" applyBorder="1"/>
    <xf numFmtId="0" fontId="3" fillId="0" borderId="0" xfId="0" applyFont="1" applyAlignment="1">
      <alignment horizontal="centerContinuous"/>
    </xf>
    <xf numFmtId="0" fontId="3" fillId="0" borderId="0" xfId="0" applyFont="1" applyAlignment="1">
      <alignment horizontal="left"/>
    </xf>
    <xf numFmtId="0" fontId="8" fillId="0" borderId="31" xfId="0" applyFont="1" applyBorder="1"/>
    <xf numFmtId="0" fontId="8" fillId="0" borderId="26" xfId="0" applyFont="1" applyBorder="1" applyAlignment="1">
      <alignment horizontal="centerContinuous"/>
    </xf>
    <xf numFmtId="0" fontId="8" fillId="0" borderId="32" xfId="0" applyFont="1" applyBorder="1" applyAlignment="1">
      <alignment horizontal="center"/>
    </xf>
    <xf numFmtId="0" fontId="8" fillId="0" borderId="2" xfId="0" applyFont="1" applyBorder="1" applyAlignment="1">
      <alignment horizontal="centerContinuous"/>
    </xf>
    <xf numFmtId="0" fontId="8" fillId="0" borderId="14" xfId="0" applyFont="1" applyBorder="1"/>
    <xf numFmtId="0" fontId="8" fillId="0" borderId="15" xfId="0" applyFont="1" applyBorder="1" applyAlignment="1">
      <alignment horizontal="centerContinuous"/>
    </xf>
    <xf numFmtId="0" fontId="8" fillId="0" borderId="26" xfId="0" applyFont="1" applyBorder="1" applyAlignment="1">
      <alignment horizontal="center"/>
    </xf>
    <xf numFmtId="0" fontId="8" fillId="0" borderId="32" xfId="0" applyFont="1" applyBorder="1"/>
    <xf numFmtId="0" fontId="3" fillId="0" borderId="15" xfId="0" applyFont="1" applyBorder="1"/>
    <xf numFmtId="0" fontId="3" fillId="0" borderId="2" xfId="0" applyFont="1" applyBorder="1"/>
    <xf numFmtId="0" fontId="8" fillId="0" borderId="2" xfId="0" applyFont="1" applyBorder="1"/>
    <xf numFmtId="0" fontId="8" fillId="0" borderId="3" xfId="0" applyFont="1" applyBorder="1" applyAlignment="1">
      <alignment horizontal="center"/>
    </xf>
    <xf numFmtId="0" fontId="8" fillId="0" borderId="2" xfId="0" applyFont="1" applyBorder="1" applyAlignment="1">
      <alignment horizontal="center"/>
    </xf>
    <xf numFmtId="0" fontId="8" fillId="0" borderId="15" xfId="0" applyFont="1" applyBorder="1" applyAlignment="1">
      <alignment horizontal="center"/>
    </xf>
    <xf numFmtId="4" fontId="8" fillId="0" borderId="14" xfId="0" applyNumberFormat="1" applyFont="1" applyBorder="1"/>
    <xf numFmtId="3" fontId="8" fillId="0" borderId="14" xfId="0" applyNumberFormat="1" applyFont="1" applyBorder="1"/>
    <xf numFmtId="49" fontId="8" fillId="0" borderId="0" xfId="0" applyNumberFormat="1" applyFont="1" applyAlignment="1">
      <alignment horizontal="right"/>
    </xf>
    <xf numFmtId="3" fontId="8" fillId="0" borderId="3" xfId="0" applyNumberFormat="1" applyFont="1" applyBorder="1"/>
    <xf numFmtId="49" fontId="8" fillId="0" borderId="0" xfId="0" applyNumberFormat="1" applyFont="1" applyAlignment="1">
      <alignment horizontal="left"/>
    </xf>
    <xf numFmtId="3" fontId="8" fillId="2" borderId="1" xfId="0" applyNumberFormat="1" applyFont="1" applyFill="1" applyBorder="1"/>
    <xf numFmtId="165" fontId="8" fillId="2" borderId="1" xfId="0" applyNumberFormat="1" applyFont="1" applyFill="1" applyBorder="1"/>
    <xf numFmtId="49" fontId="36" fillId="5" borderId="0" xfId="8" applyNumberFormat="1" applyFont="1" applyFill="1" applyAlignment="1" applyProtection="1">
      <alignment horizontal="right"/>
    </xf>
    <xf numFmtId="49" fontId="8" fillId="0" borderId="10" xfId="0" applyNumberFormat="1" applyFont="1" applyBorder="1" applyAlignment="1">
      <alignment horizontal="right"/>
    </xf>
    <xf numFmtId="49" fontId="8" fillId="0" borderId="10" xfId="0" quotePrefix="1" applyNumberFormat="1" applyFont="1" applyBorder="1" applyAlignment="1">
      <alignment horizontal="right"/>
    </xf>
    <xf numFmtId="0" fontId="64" fillId="0" borderId="10" xfId="0" quotePrefix="1" applyFont="1" applyBorder="1" applyAlignment="1">
      <alignment horizontal="right"/>
    </xf>
    <xf numFmtId="49" fontId="8" fillId="0" borderId="0" xfId="0" quotePrefix="1" applyNumberFormat="1" applyFont="1" applyAlignment="1">
      <alignment horizontal="left"/>
    </xf>
    <xf numFmtId="0" fontId="8" fillId="0" borderId="26" xfId="0" applyFont="1" applyBorder="1" applyAlignment="1">
      <alignment horizontal="left"/>
    </xf>
    <xf numFmtId="0" fontId="64" fillId="0" borderId="10" xfId="0" applyFont="1" applyBorder="1" applyAlignment="1">
      <alignment horizontal="right"/>
    </xf>
    <xf numFmtId="4" fontId="8" fillId="0" borderId="1" xfId="0" applyNumberFormat="1" applyFont="1" applyBorder="1" applyAlignment="1">
      <alignment horizontal="right"/>
    </xf>
    <xf numFmtId="0" fontId="8" fillId="0" borderId="15" xfId="0" applyFont="1" applyBorder="1"/>
    <xf numFmtId="49" fontId="8" fillId="0" borderId="2" xfId="0" applyNumberFormat="1" applyFont="1" applyBorder="1" applyAlignment="1">
      <alignment horizontal="right"/>
    </xf>
    <xf numFmtId="4" fontId="8" fillId="2" borderId="1" xfId="0" applyNumberFormat="1" applyFont="1" applyFill="1" applyBorder="1" applyAlignment="1">
      <alignment horizontal="right"/>
    </xf>
    <xf numFmtId="3" fontId="8" fillId="0" borderId="1" xfId="0" applyNumberFormat="1" applyFont="1" applyBorder="1" applyAlignment="1">
      <alignment horizontal="right"/>
    </xf>
    <xf numFmtId="0" fontId="8" fillId="6" borderId="26" xfId="0" applyFont="1" applyFill="1" applyBorder="1"/>
    <xf numFmtId="0" fontId="64" fillId="0" borderId="0" xfId="0" applyFont="1" applyAlignment="1">
      <alignment horizontal="right"/>
    </xf>
    <xf numFmtId="49" fontId="8" fillId="0" borderId="33" xfId="0" applyNumberFormat="1" applyFont="1" applyBorder="1" applyAlignment="1">
      <alignment horizontal="right"/>
    </xf>
    <xf numFmtId="165" fontId="8" fillId="2" borderId="14" xfId="0" applyNumberFormat="1" applyFont="1" applyFill="1" applyBorder="1" applyAlignment="1">
      <alignment horizontal="right"/>
    </xf>
    <xf numFmtId="0" fontId="36" fillId="5" borderId="22" xfId="8" quotePrefix="1" applyFont="1" applyFill="1" applyBorder="1" applyAlignment="1" applyProtection="1">
      <alignment horizontal="right" vertical="center"/>
    </xf>
    <xf numFmtId="0" fontId="36" fillId="5" borderId="34" xfId="8" quotePrefix="1" applyFont="1" applyFill="1" applyBorder="1" applyAlignment="1" applyProtection="1">
      <alignment horizontal="right" vertical="center"/>
    </xf>
    <xf numFmtId="0" fontId="4" fillId="0" borderId="0" xfId="0" applyFont="1" applyAlignment="1">
      <alignment horizontal="centerContinuous"/>
    </xf>
    <xf numFmtId="0" fontId="75"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6"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5" fillId="0" borderId="0" xfId="0" applyFont="1"/>
    <xf numFmtId="0" fontId="36" fillId="0" borderId="0" xfId="8" quotePrefix="1" applyFont="1" applyFill="1" applyAlignment="1" applyProtection="1">
      <alignment horizontal="right"/>
    </xf>
    <xf numFmtId="0" fontId="8" fillId="0" borderId="0" xfId="0" applyFont="1" applyBorder="1"/>
    <xf numFmtId="0" fontId="8" fillId="0" borderId="0" xfId="0" quotePrefix="1" applyFont="1"/>
    <xf numFmtId="0" fontId="3" fillId="0" borderId="0" xfId="0" applyFont="1" applyAlignment="1">
      <alignment horizontal="right"/>
    </xf>
    <xf numFmtId="0" fontId="9" fillId="0" borderId="0" xfId="0" applyFont="1" applyAlignment="1">
      <alignment horizontal="centerContinuous"/>
    </xf>
    <xf numFmtId="0" fontId="10" fillId="0" borderId="0" xfId="0" applyFont="1" applyAlignment="1">
      <alignment horizontal="center"/>
    </xf>
    <xf numFmtId="0" fontId="67" fillId="5" borderId="0" xfId="8" applyFont="1" applyFill="1" applyProtection="1"/>
    <xf numFmtId="38" fontId="4" fillId="0" borderId="0" xfId="0" applyNumberFormat="1" applyFont="1"/>
    <xf numFmtId="49" fontId="4" fillId="0" borderId="0" xfId="0" applyNumberFormat="1" applyFont="1" applyAlignment="1">
      <alignment horizontal="left"/>
    </xf>
    <xf numFmtId="0" fontId="11" fillId="5" borderId="0" xfId="8" quotePrefix="1" applyFont="1" applyFill="1" applyAlignment="1" applyProtection="1">
      <alignment horizontal="right"/>
    </xf>
    <xf numFmtId="0" fontId="4" fillId="0" borderId="0" xfId="0" applyFont="1" applyAlignment="1">
      <alignment vertical="top"/>
    </xf>
    <xf numFmtId="38" fontId="4" fillId="0" borderId="10" xfId="0" applyNumberFormat="1" applyFont="1" applyBorder="1" applyAlignment="1">
      <alignment vertical="top"/>
    </xf>
    <xf numFmtId="38" fontId="4" fillId="0" borderId="17" xfId="0" applyNumberFormat="1" applyFont="1" applyBorder="1" applyAlignment="1">
      <alignment vertical="top"/>
    </xf>
    <xf numFmtId="164" fontId="4" fillId="0" borderId="0" xfId="0" quotePrefix="1" applyNumberFormat="1" applyFont="1" applyAlignment="1">
      <alignment horizontal="left"/>
    </xf>
    <xf numFmtId="49" fontId="4" fillId="0" borderId="0" xfId="0" applyNumberFormat="1" applyFont="1" applyAlignment="1">
      <alignment horizontal="right"/>
    </xf>
    <xf numFmtId="0" fontId="37" fillId="5" borderId="0" xfId="8" applyFont="1" applyFill="1" applyAlignment="1" applyProtection="1">
      <alignment horizontal="left"/>
    </xf>
    <xf numFmtId="0" fontId="27" fillId="5"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4" fillId="0" borderId="0" xfId="0" quotePrefix="1" applyNumberFormat="1" applyFont="1" applyAlignment="1">
      <alignment horizontal="right"/>
    </xf>
    <xf numFmtId="38" fontId="24" fillId="0" borderId="10" xfId="0" applyNumberFormat="1" applyFont="1" applyBorder="1" applyAlignment="1">
      <alignment vertical="top"/>
    </xf>
    <xf numFmtId="38" fontId="24" fillId="0" borderId="1" xfId="0" applyNumberFormat="1" applyFont="1" applyBorder="1" applyAlignment="1">
      <alignment vertical="top"/>
    </xf>
    <xf numFmtId="0" fontId="9" fillId="0" borderId="0" xfId="0" applyFont="1" applyAlignment="1">
      <alignment horizontal="center"/>
    </xf>
    <xf numFmtId="0" fontId="42" fillId="0" borderId="0" xfId="0" applyFont="1" applyAlignment="1">
      <alignment horizontal="center"/>
    </xf>
    <xf numFmtId="164" fontId="11" fillId="5" borderId="0" xfId="8" quotePrefix="1" applyNumberFormat="1" applyFont="1" applyFill="1" applyAlignment="1" applyProtection="1">
      <alignment horizontal="right"/>
    </xf>
    <xf numFmtId="0" fontId="4" fillId="0" borderId="0" xfId="0" quotePrefix="1" applyFont="1"/>
    <xf numFmtId="49" fontId="4" fillId="0" borderId="0" xfId="0" quotePrefix="1" applyNumberFormat="1" applyFont="1" applyAlignment="1">
      <alignment horizontal="right"/>
    </xf>
    <xf numFmtId="38" fontId="24" fillId="0" borderId="14" xfId="0" applyNumberFormat="1" applyFont="1" applyBorder="1" applyAlignment="1">
      <alignment vertical="top"/>
    </xf>
    <xf numFmtId="49" fontId="4" fillId="0" borderId="0" xfId="0" quotePrefix="1" applyNumberFormat="1" applyFont="1"/>
    <xf numFmtId="0" fontId="4" fillId="6" borderId="0" xfId="0" applyFont="1" applyFill="1"/>
    <xf numFmtId="38" fontId="24" fillId="6" borderId="10" xfId="0" applyNumberFormat="1" applyFont="1" applyFill="1" applyBorder="1" applyAlignment="1">
      <alignment vertical="top"/>
    </xf>
    <xf numFmtId="42" fontId="4" fillId="0" borderId="0" xfId="0" applyNumberFormat="1" applyFont="1"/>
    <xf numFmtId="0" fontId="65" fillId="0" borderId="0" xfId="0" quotePrefix="1" applyFont="1" applyAlignment="1">
      <alignment horizontal="right"/>
    </xf>
    <xf numFmtId="168" fontId="4" fillId="0" borderId="0" xfId="0" applyNumberFormat="1" applyFont="1" applyAlignment="1">
      <alignment horizontal="left"/>
    </xf>
    <xf numFmtId="164" fontId="9" fillId="0" borderId="0" xfId="0" applyNumberFormat="1" applyFont="1" applyAlignment="1">
      <alignment horizontal="center"/>
    </xf>
    <xf numFmtId="164" fontId="4" fillId="0" borderId="0" xfId="0" applyNumberFormat="1" applyFont="1" applyAlignment="1">
      <alignment horizontal="right"/>
    </xf>
    <xf numFmtId="49" fontId="4" fillId="0" borderId="0" xfId="0" quotePrefix="1" applyNumberFormat="1" applyFont="1" applyAlignment="1">
      <alignment horizontal="left"/>
    </xf>
    <xf numFmtId="0" fontId="65" fillId="0" borderId="0" xfId="0" applyFont="1"/>
    <xf numFmtId="0" fontId="86" fillId="0" borderId="0" xfId="0" applyFont="1"/>
    <xf numFmtId="0" fontId="33" fillId="0" borderId="0" xfId="0" applyFont="1"/>
    <xf numFmtId="38" fontId="65" fillId="0" borderId="24" xfId="0" applyNumberFormat="1" applyFont="1" applyBorder="1"/>
    <xf numFmtId="49" fontId="65" fillId="0" borderId="0" xfId="0" quotePrefix="1" applyNumberFormat="1" applyFont="1" applyAlignment="1">
      <alignment horizontal="left"/>
    </xf>
    <xf numFmtId="0" fontId="24" fillId="0" borderId="0" xfId="0" applyFont="1" applyAlignment="1">
      <alignment horizontal="left"/>
    </xf>
    <xf numFmtId="0" fontId="24" fillId="0" borderId="0" xfId="0" applyFont="1" applyAlignment="1">
      <alignment horizontal="right" wrapText="1"/>
    </xf>
    <xf numFmtId="0" fontId="17" fillId="0" borderId="0" xfId="0" applyFont="1"/>
    <xf numFmtId="0" fontId="3" fillId="0" borderId="0" xfId="0" quotePrefix="1" applyFont="1"/>
    <xf numFmtId="0" fontId="4" fillId="0" borderId="0" xfId="0" applyFont="1" applyAlignment="1">
      <alignment horizontal="left" vertical="top"/>
    </xf>
    <xf numFmtId="37" fontId="4" fillId="0" borderId="2" xfId="0" applyNumberFormat="1" applyFont="1" applyBorder="1" applyAlignment="1">
      <alignment horizontal="left"/>
    </xf>
    <xf numFmtId="172" fontId="4" fillId="0" borderId="0" xfId="0" applyNumberFormat="1" applyFont="1"/>
    <xf numFmtId="164" fontId="4" fillId="0" borderId="2" xfId="0" applyNumberFormat="1" applyFont="1" applyBorder="1" applyAlignment="1">
      <alignment horizontal="left"/>
    </xf>
    <xf numFmtId="0" fontId="4" fillId="6" borderId="0" xfId="2" applyNumberFormat="1" applyFont="1" applyFill="1" applyAlignment="1" applyProtection="1">
      <alignment horizontal="right"/>
    </xf>
    <xf numFmtId="42" fontId="4" fillId="6" borderId="0" xfId="2" applyNumberFormat="1" applyFont="1" applyFill="1" applyAlignment="1" applyProtection="1">
      <alignment horizontal="right"/>
    </xf>
    <xf numFmtId="0" fontId="5" fillId="6" borderId="0" xfId="0" applyFont="1" applyFill="1" applyAlignment="1">
      <alignment horizontal="right" wrapText="1"/>
    </xf>
    <xf numFmtId="0" fontId="3" fillId="6" borderId="0" xfId="0" applyFont="1" applyFill="1"/>
    <xf numFmtId="0" fontId="3" fillId="0" borderId="0" xfId="0" quotePrefix="1" applyFont="1" applyAlignment="1">
      <alignment horizontal="right"/>
    </xf>
    <xf numFmtId="0" fontId="11" fillId="6" borderId="0" xfId="8" quotePrefix="1" applyFont="1" applyFill="1" applyAlignment="1" applyProtection="1">
      <alignment horizontal="right"/>
    </xf>
    <xf numFmtId="2" fontId="24" fillId="6" borderId="0" xfId="0" applyNumberFormat="1" applyFont="1" applyFill="1" applyAlignment="1">
      <alignment horizontal="right"/>
    </xf>
    <xf numFmtId="37" fontId="24" fillId="6" borderId="0" xfId="0" applyNumberFormat="1" applyFont="1" applyFill="1" applyAlignment="1">
      <alignment horizontal="left"/>
    </xf>
    <xf numFmtId="37" fontId="30" fillId="6" borderId="0" xfId="0" applyNumberFormat="1" applyFont="1" applyFill="1" applyAlignment="1">
      <alignment horizontal="center"/>
    </xf>
    <xf numFmtId="37" fontId="24" fillId="6" borderId="0" xfId="0" applyNumberFormat="1" applyFont="1" applyFill="1" applyAlignment="1">
      <alignment horizontal="right"/>
    </xf>
    <xf numFmtId="170" fontId="24" fillId="6" borderId="0" xfId="0" applyNumberFormat="1" applyFont="1" applyFill="1" applyAlignment="1">
      <alignment horizontal="right"/>
    </xf>
    <xf numFmtId="0" fontId="4" fillId="6" borderId="0" xfId="0" applyFont="1" applyFill="1" applyAlignment="1">
      <alignment horizontal="right"/>
    </xf>
    <xf numFmtId="164" fontId="4" fillId="0" borderId="0" xfId="0" applyNumberFormat="1" applyFont="1" applyAlignment="1">
      <alignment horizontal="center"/>
    </xf>
    <xf numFmtId="0" fontId="4" fillId="6" borderId="0" xfId="0" quotePrefix="1" applyFont="1" applyFill="1" applyAlignment="1">
      <alignment horizontal="right"/>
    </xf>
    <xf numFmtId="0" fontId="4" fillId="0" borderId="0" xfId="0" applyFont="1" applyAlignment="1">
      <alignment horizontal="right" wrapText="1"/>
    </xf>
    <xf numFmtId="0" fontId="6" fillId="0" borderId="0" xfId="0" applyFont="1"/>
    <xf numFmtId="181" fontId="24" fillId="0" borderId="0" xfId="0" applyNumberFormat="1" applyFont="1" applyAlignment="1">
      <alignment horizontal="right"/>
    </xf>
    <xf numFmtId="37" fontId="6" fillId="0" borderId="0" xfId="0" applyNumberFormat="1" applyFont="1"/>
    <xf numFmtId="49" fontId="4" fillId="0" borderId="8" xfId="0" applyNumberFormat="1" applyFont="1" applyBorder="1" applyAlignment="1">
      <alignment horizontal="left"/>
    </xf>
    <xf numFmtId="0" fontId="4" fillId="0" borderId="8" xfId="0" applyFont="1" applyBorder="1" applyAlignment="1">
      <alignment horizontal="left"/>
    </xf>
    <xf numFmtId="0" fontId="4" fillId="0" borderId="8" xfId="0" applyFont="1" applyBorder="1"/>
    <xf numFmtId="0" fontId="9" fillId="0" borderId="8" xfId="0" applyFont="1" applyBorder="1" applyAlignment="1">
      <alignment horizontal="center"/>
    </xf>
    <xf numFmtId="0" fontId="6" fillId="0" borderId="35" xfId="0" applyFont="1" applyBorder="1"/>
    <xf numFmtId="0" fontId="6" fillId="0" borderId="19" xfId="0" applyFont="1" applyBorder="1"/>
    <xf numFmtId="49" fontId="6" fillId="0" borderId="36" xfId="0" applyNumberFormat="1" applyFont="1" applyBorder="1"/>
    <xf numFmtId="49" fontId="6" fillId="0" borderId="19" xfId="0" applyNumberFormat="1" applyFont="1" applyBorder="1" applyAlignment="1">
      <alignment horizontal="centerContinuous"/>
    </xf>
    <xf numFmtId="0" fontId="6" fillId="0" borderId="23" xfId="0" applyFont="1" applyBorder="1" applyAlignment="1">
      <alignment horizontal="centerContinuous"/>
    </xf>
    <xf numFmtId="0" fontId="6" fillId="0" borderId="23" xfId="0" applyFont="1" applyBorder="1" applyAlignment="1">
      <alignment horizontal="center" wrapText="1"/>
    </xf>
    <xf numFmtId="49" fontId="6" fillId="0" borderId="19" xfId="0" applyNumberFormat="1" applyFont="1" applyBorder="1" applyAlignment="1">
      <alignment horizontal="center"/>
    </xf>
    <xf numFmtId="0" fontId="6" fillId="0" borderId="23" xfId="0" applyFont="1" applyBorder="1" applyAlignment="1">
      <alignment horizontal="center"/>
    </xf>
    <xf numFmtId="0" fontId="6" fillId="0" borderId="0" xfId="0" applyFont="1" applyAlignment="1">
      <alignment horizontal="center"/>
    </xf>
    <xf numFmtId="0" fontId="6" fillId="0" borderId="34" xfId="0" applyFont="1" applyBorder="1" applyAlignment="1">
      <alignment horizontal="center"/>
    </xf>
    <xf numFmtId="0" fontId="6" fillId="0" borderId="26" xfId="0" applyFont="1" applyBorder="1"/>
    <xf numFmtId="37" fontId="6" fillId="0" borderId="10" xfId="0" applyNumberFormat="1" applyFont="1" applyBorder="1" applyAlignment="1">
      <alignment horizontal="right"/>
    </xf>
    <xf numFmtId="37" fontId="6" fillId="0" borderId="7" xfId="0" applyNumberFormat="1" applyFont="1" applyBorder="1" applyAlignment="1">
      <alignment horizontal="right"/>
    </xf>
    <xf numFmtId="49" fontId="38" fillId="0" borderId="0" xfId="8" applyNumberFormat="1" applyFont="1" applyAlignment="1" applyProtection="1">
      <alignment horizontal="right"/>
    </xf>
    <xf numFmtId="49" fontId="6" fillId="0" borderId="0" xfId="0" applyNumberFormat="1" applyFont="1" applyAlignment="1">
      <alignment horizontal="left"/>
    </xf>
    <xf numFmtId="0" fontId="0" fillId="0" borderId="0" xfId="0" applyAlignment="1">
      <alignment horizontal="left"/>
    </xf>
    <xf numFmtId="37" fontId="6" fillId="0" borderId="1" xfId="0" applyNumberFormat="1" applyFont="1" applyBorder="1" applyAlignment="1">
      <alignment horizontal="right"/>
    </xf>
    <xf numFmtId="49" fontId="75" fillId="0" borderId="0" xfId="0" applyNumberFormat="1" applyFont="1" applyAlignment="1">
      <alignment horizontal="left"/>
    </xf>
    <xf numFmtId="0" fontId="6" fillId="0" borderId="8" xfId="0" applyFont="1" applyBorder="1"/>
    <xf numFmtId="0" fontId="15" fillId="0" borderId="0" xfId="0" applyFont="1" applyAlignment="1">
      <alignment vertical="top" wrapText="1"/>
    </xf>
    <xf numFmtId="0" fontId="8" fillId="2" borderId="0" xfId="13" applyFont="1"/>
    <xf numFmtId="37" fontId="6" fillId="0" borderId="18" xfId="0" applyNumberFormat="1" applyFont="1" applyBorder="1" applyAlignment="1">
      <alignment horizontal="right"/>
    </xf>
    <xf numFmtId="0" fontId="82" fillId="0" borderId="0" xfId="0" applyFont="1"/>
    <xf numFmtId="0" fontId="83" fillId="0" borderId="0" xfId="0" applyFont="1"/>
    <xf numFmtId="0" fontId="83" fillId="0" borderId="0" xfId="0" applyFont="1" applyAlignment="1">
      <alignment horizontal="right"/>
    </xf>
    <xf numFmtId="37" fontId="83" fillId="0" borderId="0" xfId="0" applyNumberFormat="1" applyFont="1" applyAlignment="1">
      <alignment horizontal="right"/>
    </xf>
    <xf numFmtId="0" fontId="83" fillId="2" borderId="0" xfId="13" applyFont="1"/>
    <xf numFmtId="0" fontId="6" fillId="0" borderId="0" xfId="0" applyFont="1" applyBorder="1"/>
    <xf numFmtId="0" fontId="18" fillId="2" borderId="0" xfId="13"/>
    <xf numFmtId="0" fontId="8" fillId="0" borderId="0" xfId="13" quotePrefix="1" applyFont="1" applyFill="1" applyAlignment="1">
      <alignment horizontal="justify"/>
    </xf>
    <xf numFmtId="0" fontId="6" fillId="0" borderId="0" xfId="0" quotePrefix="1" applyFont="1"/>
    <xf numFmtId="0" fontId="3" fillId="0" borderId="0" xfId="0" applyFont="1" applyAlignment="1">
      <alignment wrapText="1"/>
    </xf>
    <xf numFmtId="0" fontId="0" fillId="0" borderId="0" xfId="0" applyBorder="1" applyAlignment="1">
      <alignment horizontal="left"/>
    </xf>
    <xf numFmtId="0" fontId="4" fillId="0" borderId="8" xfId="0" applyFont="1" applyBorder="1" applyAlignment="1">
      <alignment horizontal="center"/>
    </xf>
    <xf numFmtId="0" fontId="78" fillId="0" borderId="0" xfId="0" applyFont="1"/>
    <xf numFmtId="0" fontId="7" fillId="0" borderId="0" xfId="0" applyFont="1"/>
    <xf numFmtId="0" fontId="8" fillId="0" borderId="37" xfId="0" applyFont="1" applyBorder="1" applyAlignment="1">
      <alignment horizontal="center"/>
    </xf>
    <xf numFmtId="0" fontId="8" fillId="0" borderId="38" xfId="0" applyFont="1" applyBorder="1" applyAlignment="1">
      <alignment horizontal="centerContinuous"/>
    </xf>
    <xf numFmtId="0" fontId="12" fillId="2" borderId="38" xfId="0" applyFont="1" applyFill="1" applyBorder="1" applyAlignment="1">
      <alignment horizontal="centerContinuous"/>
    </xf>
    <xf numFmtId="0" fontId="4" fillId="0" borderId="14" xfId="0" applyFont="1" applyBorder="1" applyAlignment="1">
      <alignment horizontal="center"/>
    </xf>
    <xf numFmtId="0" fontId="8" fillId="0" borderId="3" xfId="0" applyFont="1" applyBorder="1" applyAlignment="1">
      <alignment horizontal="center" wrapText="1"/>
    </xf>
    <xf numFmtId="0" fontId="8" fillId="0" borderId="12" xfId="0" applyFont="1" applyBorder="1" applyAlignment="1">
      <alignment horizontal="center"/>
    </xf>
    <xf numFmtId="0" fontId="9" fillId="0" borderId="39" xfId="0" applyFont="1" applyBorder="1" applyAlignment="1">
      <alignment vertical="center"/>
    </xf>
    <xf numFmtId="0" fontId="9" fillId="0" borderId="38" xfId="0" applyFont="1" applyBorder="1"/>
    <xf numFmtId="49" fontId="8" fillId="0" borderId="2" xfId="0" quotePrefix="1" applyNumberFormat="1" applyFont="1" applyBorder="1" applyAlignment="1">
      <alignment horizontal="right"/>
    </xf>
    <xf numFmtId="37" fontId="8" fillId="0" borderId="1" xfId="0" applyNumberFormat="1" applyFont="1" applyBorder="1" applyAlignment="1">
      <alignment horizontal="right"/>
    </xf>
    <xf numFmtId="37" fontId="8" fillId="0" borderId="14" xfId="0" applyNumberFormat="1" applyFont="1" applyBorder="1" applyAlignment="1">
      <alignment horizontal="right"/>
    </xf>
    <xf numFmtId="49" fontId="8" fillId="0" borderId="26" xfId="0" quotePrefix="1" applyNumberFormat="1" applyFont="1" applyBorder="1" applyAlignment="1">
      <alignment horizontal="left"/>
    </xf>
    <xf numFmtId="0" fontId="9" fillId="0" borderId="26" xfId="0" applyFont="1" applyBorder="1" applyAlignment="1">
      <alignment vertical="center"/>
    </xf>
    <xf numFmtId="49" fontId="8" fillId="0" borderId="0" xfId="0" applyNumberFormat="1" applyFont="1"/>
    <xf numFmtId="37" fontId="8" fillId="0" borderId="14" xfId="0" applyNumberFormat="1" applyFont="1" applyBorder="1"/>
    <xf numFmtId="37" fontId="8" fillId="2" borderId="40" xfId="0" applyNumberFormat="1" applyFont="1" applyFill="1" applyBorder="1"/>
    <xf numFmtId="49" fontId="8" fillId="0" borderId="26" xfId="0" applyNumberFormat="1" applyFont="1" applyBorder="1" applyAlignment="1">
      <alignment horizontal="left"/>
    </xf>
    <xf numFmtId="49" fontId="8" fillId="0" borderId="0" xfId="0" quotePrefix="1" applyNumberFormat="1" applyFont="1" applyAlignment="1">
      <alignment horizontal="right"/>
    </xf>
    <xf numFmtId="37" fontId="8" fillId="0" borderId="31" xfId="0" applyNumberFormat="1" applyFont="1" applyBorder="1"/>
    <xf numFmtId="37" fontId="8" fillId="0" borderId="40" xfId="0" applyNumberFormat="1" applyFont="1" applyBorder="1"/>
    <xf numFmtId="37" fontId="8" fillId="0" borderId="3" xfId="0" applyNumberFormat="1" applyFont="1" applyBorder="1"/>
    <xf numFmtId="37" fontId="8" fillId="7" borderId="1" xfId="0" applyNumberFormat="1" applyFont="1" applyFill="1" applyBorder="1" applyAlignment="1">
      <alignment horizontal="right"/>
    </xf>
    <xf numFmtId="37" fontId="8" fillId="2" borderId="1" xfId="0" applyNumberFormat="1" applyFont="1" applyFill="1" applyBorder="1" applyAlignment="1">
      <alignment horizontal="right"/>
    </xf>
    <xf numFmtId="0" fontId="8" fillId="0" borderId="8" xfId="0" applyFont="1" applyBorder="1"/>
    <xf numFmtId="49" fontId="36" fillId="0" borderId="0" xfId="8" quotePrefix="1" applyNumberFormat="1" applyFont="1" applyAlignment="1" applyProtection="1">
      <alignment horizontal="right"/>
    </xf>
    <xf numFmtId="1" fontId="8" fillId="0" borderId="0" xfId="2" applyNumberFormat="1" applyFont="1" applyProtection="1"/>
    <xf numFmtId="42" fontId="8" fillId="0" borderId="0" xfId="2" applyNumberFormat="1" applyFont="1" applyProtection="1"/>
    <xf numFmtId="37" fontId="8" fillId="0" borderId="5" xfId="2" applyNumberFormat="1" applyFont="1" applyBorder="1" applyProtection="1"/>
    <xf numFmtId="0" fontId="75" fillId="0" borderId="0" xfId="0" applyFont="1" applyAlignment="1">
      <alignment vertical="top" wrapText="1"/>
    </xf>
    <xf numFmtId="42" fontId="8" fillId="0" borderId="0" xfId="0" applyNumberFormat="1" applyFont="1" applyBorder="1" applyAlignment="1">
      <alignment vertical="top" wrapText="1"/>
    </xf>
    <xf numFmtId="49" fontId="8" fillId="0" borderId="0" xfId="0" applyNumberFormat="1" applyFont="1" applyAlignment="1">
      <alignment horizontal="left" vertical="top"/>
    </xf>
    <xf numFmtId="37" fontId="8" fillId="0" borderId="0" xfId="4" applyNumberFormat="1" applyFont="1" applyAlignment="1" applyProtection="1">
      <alignment horizontal="left" vertical="top"/>
    </xf>
    <xf numFmtId="0" fontId="0" fillId="0" borderId="0" xfId="0" applyAlignment="1">
      <alignment horizontal="left" vertical="top"/>
    </xf>
    <xf numFmtId="37" fontId="8" fillId="0" borderId="0" xfId="0" applyNumberFormat="1" applyFont="1" applyAlignment="1">
      <alignment horizontal="left"/>
    </xf>
    <xf numFmtId="0" fontId="15" fillId="0" borderId="0" xfId="11" applyFont="1" applyAlignment="1">
      <alignment horizontal="centerContinuous"/>
    </xf>
    <xf numFmtId="37" fontId="13" fillId="2" borderId="0" xfId="11" applyNumberFormat="1" applyFont="1" applyFill="1" applyAlignment="1">
      <alignment horizontal="centerContinuous"/>
    </xf>
    <xf numFmtId="177" fontId="15" fillId="2" borderId="0" xfId="11" applyNumberFormat="1" applyFont="1" applyFill="1"/>
    <xf numFmtId="0" fontId="36" fillId="0" borderId="0" xfId="8" applyFont="1" applyAlignment="1" applyProtection="1">
      <alignment horizontal="center"/>
    </xf>
    <xf numFmtId="37" fontId="6" fillId="0" borderId="31" xfId="11" applyNumberFormat="1" applyFont="1" applyBorder="1"/>
    <xf numFmtId="37" fontId="6" fillId="0" borderId="25" xfId="11" applyNumberFormat="1" applyFont="1" applyBorder="1"/>
    <xf numFmtId="37" fontId="6" fillId="0" borderId="33" xfId="11" applyNumberFormat="1" applyFont="1" applyBorder="1"/>
    <xf numFmtId="49" fontId="8" fillId="0" borderId="0" xfId="0" applyNumberFormat="1" applyFont="1" applyAlignment="1">
      <alignment horizontal="center"/>
    </xf>
    <xf numFmtId="37" fontId="15" fillId="0" borderId="26" xfId="11" applyNumberFormat="1" applyFont="1" applyBorder="1" applyAlignment="1">
      <alignment horizontal="left"/>
    </xf>
    <xf numFmtId="37" fontId="15" fillId="0" borderId="0" xfId="11" applyNumberFormat="1" applyFont="1" applyAlignment="1">
      <alignment horizontal="left"/>
    </xf>
    <xf numFmtId="37" fontId="15" fillId="0" borderId="10" xfId="11" applyNumberFormat="1" applyFont="1" applyBorder="1" applyAlignment="1">
      <alignment horizontal="left"/>
    </xf>
    <xf numFmtId="37" fontId="6" fillId="0" borderId="15" xfId="11" applyNumberFormat="1" applyFont="1" applyBorder="1"/>
    <xf numFmtId="37" fontId="6" fillId="0" borderId="2" xfId="11" applyNumberFormat="1" applyFont="1" applyBorder="1"/>
    <xf numFmtId="37" fontId="6" fillId="0" borderId="34" xfId="11" applyNumberFormat="1" applyFont="1" applyBorder="1"/>
    <xf numFmtId="0" fontId="6" fillId="0" borderId="3" xfId="11" applyFont="1" applyBorder="1" applyAlignment="1">
      <alignment horizontal="center"/>
    </xf>
    <xf numFmtId="0" fontId="6" fillId="0" borderId="41" xfId="0" applyFont="1" applyBorder="1" applyAlignment="1">
      <alignment horizontal="center"/>
    </xf>
    <xf numFmtId="0" fontId="6" fillId="0" borderId="7" xfId="0" applyFont="1" applyBorder="1" applyAlignment="1">
      <alignment horizontal="center"/>
    </xf>
    <xf numFmtId="37" fontId="15" fillId="0" borderId="39" xfId="11" applyNumberFormat="1" applyFont="1" applyBorder="1"/>
    <xf numFmtId="37" fontId="6" fillId="0" borderId="38" xfId="11" applyNumberFormat="1" applyFont="1" applyBorder="1"/>
    <xf numFmtId="37" fontId="6" fillId="0" borderId="33" xfId="11" applyNumberFormat="1" applyFont="1" applyBorder="1" applyAlignment="1">
      <alignment horizontal="right"/>
    </xf>
    <xf numFmtId="37" fontId="6" fillId="0" borderId="34" xfId="11" applyNumberFormat="1" applyFont="1" applyBorder="1" applyAlignment="1">
      <alignment horizontal="right"/>
    </xf>
    <xf numFmtId="37" fontId="6" fillId="0" borderId="3" xfId="11" applyNumberFormat="1" applyFont="1" applyBorder="1" applyAlignment="1">
      <alignment horizontal="right"/>
    </xf>
    <xf numFmtId="37" fontId="6" fillId="0" borderId="41" xfId="11" applyNumberFormat="1" applyFont="1" applyBorder="1"/>
    <xf numFmtId="177" fontId="6" fillId="2" borderId="0" xfId="11" applyNumberFormat="1" applyFont="1" applyFill="1"/>
    <xf numFmtId="37" fontId="44" fillId="5" borderId="31" xfId="8" applyNumberFormat="1" applyFont="1" applyFill="1" applyBorder="1" applyProtection="1"/>
    <xf numFmtId="37" fontId="6" fillId="0" borderId="32" xfId="11" applyNumberFormat="1" applyFont="1" applyBorder="1" applyAlignment="1">
      <alignment horizontal="right"/>
    </xf>
    <xf numFmtId="37" fontId="6" fillId="2" borderId="32" xfId="11" applyNumberFormat="1" applyFont="1" applyFill="1" applyBorder="1" applyAlignment="1">
      <alignment horizontal="right"/>
    </xf>
    <xf numFmtId="177" fontId="6" fillId="0" borderId="42" xfId="11" applyNumberFormat="1" applyFont="1" applyBorder="1"/>
    <xf numFmtId="0" fontId="6" fillId="0" borderId="36" xfId="0" applyFont="1" applyBorder="1"/>
    <xf numFmtId="37" fontId="6" fillId="0" borderId="26" xfId="11" applyNumberFormat="1" applyFont="1" applyBorder="1"/>
    <xf numFmtId="37" fontId="6" fillId="0" borderId="10" xfId="11" quotePrefix="1" applyNumberFormat="1" applyFont="1" applyBorder="1" applyAlignment="1">
      <alignment horizontal="right"/>
    </xf>
    <xf numFmtId="37" fontId="6" fillId="0" borderId="22" xfId="11" applyNumberFormat="1" applyFont="1" applyBorder="1" applyAlignment="1">
      <alignment horizontal="right"/>
    </xf>
    <xf numFmtId="0" fontId="6" fillId="0" borderId="26" xfId="11" quotePrefix="1" applyFont="1" applyBorder="1"/>
    <xf numFmtId="37" fontId="62" fillId="0" borderId="26" xfId="11" applyNumberFormat="1" applyFont="1" applyBorder="1"/>
    <xf numFmtId="37" fontId="6" fillId="0" borderId="0" xfId="11" applyNumberFormat="1" applyFont="1"/>
    <xf numFmtId="37" fontId="6" fillId="0" borderId="14" xfId="11" applyNumberFormat="1" applyFont="1" applyBorder="1" applyAlignment="1">
      <alignment horizontal="right"/>
    </xf>
    <xf numFmtId="37" fontId="6" fillId="0" borderId="0" xfId="11" quotePrefix="1" applyNumberFormat="1" applyFont="1" applyAlignment="1">
      <alignment horizontal="right"/>
    </xf>
    <xf numFmtId="37" fontId="6" fillId="0" borderId="2" xfId="11" applyNumberFormat="1" applyFont="1" applyBorder="1" applyAlignment="1">
      <alignment horizontal="right"/>
    </xf>
    <xf numFmtId="37" fontId="6" fillId="0" borderId="0" xfId="11" applyNumberFormat="1" applyFont="1" applyAlignment="1">
      <alignment horizontal="right"/>
    </xf>
    <xf numFmtId="37" fontId="6" fillId="0" borderId="43" xfId="11" applyNumberFormat="1" applyFont="1" applyBorder="1" applyAlignment="1">
      <alignment horizontal="right"/>
    </xf>
    <xf numFmtId="0" fontId="6" fillId="0" borderId="18" xfId="0" applyFont="1" applyBorder="1"/>
    <xf numFmtId="37" fontId="6" fillId="8" borderId="1" xfId="11" applyNumberFormat="1" applyFont="1" applyFill="1" applyBorder="1" applyAlignment="1">
      <alignment horizontal="right"/>
    </xf>
    <xf numFmtId="3" fontId="8" fillId="6" borderId="0" xfId="11" applyNumberFormat="1" applyFont="1" applyFill="1" applyAlignment="1">
      <alignment horizontal="right"/>
    </xf>
    <xf numFmtId="3" fontId="98" fillId="6" borderId="0" xfId="11" applyNumberFormat="1" applyFont="1" applyFill="1" applyAlignment="1">
      <alignment horizontal="right"/>
    </xf>
    <xf numFmtId="3" fontId="98" fillId="0" borderId="0" xfId="11" applyNumberFormat="1" applyFont="1" applyAlignment="1">
      <alignment horizontal="right"/>
    </xf>
    <xf numFmtId="3" fontId="10" fillId="0" borderId="0" xfId="0" applyNumberFormat="1" applyFont="1" applyAlignment="1">
      <alignment horizontal="left"/>
    </xf>
    <xf numFmtId="0" fontId="12" fillId="0" borderId="0" xfId="0" applyFont="1" applyAlignment="1">
      <alignment horizontal="centerContinuous"/>
    </xf>
    <xf numFmtId="0" fontId="22" fillId="0" borderId="0" xfId="0" applyFont="1" applyAlignment="1">
      <alignment horizontal="centerContinuous"/>
    </xf>
    <xf numFmtId="0" fontId="12" fillId="0" borderId="31" xfId="0" applyFont="1" applyBorder="1"/>
    <xf numFmtId="0" fontId="12" fillId="0" borderId="31" xfId="0" applyFont="1" applyBorder="1" applyAlignment="1">
      <alignment horizontal="centerContinuous"/>
    </xf>
    <xf numFmtId="0" fontId="12" fillId="0" borderId="33" xfId="0" applyFont="1" applyBorder="1" applyAlignment="1">
      <alignment horizontal="centerContinuous"/>
    </xf>
    <xf numFmtId="164" fontId="12" fillId="0" borderId="0" xfId="0" applyNumberFormat="1" applyFont="1"/>
    <xf numFmtId="164" fontId="22" fillId="0" borderId="0" xfId="0" applyNumberFormat="1" applyFont="1" applyAlignment="1">
      <alignment horizontal="centerContinuous"/>
    </xf>
    <xf numFmtId="164" fontId="12" fillId="0" borderId="0" xfId="0" applyNumberFormat="1" applyFont="1" applyAlignment="1">
      <alignment horizontal="centerContinuous"/>
    </xf>
    <xf numFmtId="0" fontId="12" fillId="0" borderId="26" xfId="0" applyFont="1" applyBorder="1"/>
    <xf numFmtId="0" fontId="12" fillId="0" borderId="0" xfId="0" applyFont="1" applyAlignment="1">
      <alignment horizontal="center"/>
    </xf>
    <xf numFmtId="0" fontId="12" fillId="0" borderId="10" xfId="0" applyFont="1" applyBorder="1" applyAlignment="1">
      <alignment horizontal="center"/>
    </xf>
    <xf numFmtId="0" fontId="12" fillId="0" borderId="26" xfId="0" applyFont="1" applyBorder="1" applyAlignment="1">
      <alignment horizontal="centerContinuous"/>
    </xf>
    <xf numFmtId="0" fontId="12" fillId="0" borderId="10" xfId="0" applyFont="1" applyBorder="1" applyAlignment="1">
      <alignment horizontal="centerContinuous"/>
    </xf>
    <xf numFmtId="0" fontId="12" fillId="0" borderId="0" xfId="0" applyFont="1"/>
    <xf numFmtId="0" fontId="12" fillId="0" borderId="0" xfId="0" applyFont="1" applyAlignment="1">
      <alignment horizontal="right"/>
    </xf>
    <xf numFmtId="37" fontId="8" fillId="0" borderId="39" xfId="0" applyNumberFormat="1" applyFont="1" applyBorder="1" applyAlignment="1">
      <alignment horizontal="right"/>
    </xf>
    <xf numFmtId="37" fontId="8" fillId="0" borderId="1" xfId="0" applyNumberFormat="1" applyFont="1" applyBorder="1"/>
    <xf numFmtId="0" fontId="12" fillId="0" borderId="0" xfId="0" applyFont="1" applyAlignment="1">
      <alignment horizontal="left"/>
    </xf>
    <xf numFmtId="0" fontId="22" fillId="0" borderId="0" xfId="0" applyFont="1"/>
    <xf numFmtId="0" fontId="36" fillId="5" borderId="0" xfId="8" applyFont="1" applyFill="1" applyAlignment="1" applyProtection="1">
      <alignment horizontal="right"/>
    </xf>
    <xf numFmtId="0" fontId="36" fillId="5" borderId="0" xfId="8" quotePrefix="1" applyFont="1" applyFill="1" applyAlignment="1" applyProtection="1">
      <alignment horizontal="right"/>
    </xf>
    <xf numFmtId="0" fontId="12" fillId="0" borderId="0" xfId="0" quotePrefix="1" applyFont="1" applyAlignment="1">
      <alignment horizontal="left"/>
    </xf>
    <xf numFmtId="0" fontId="12" fillId="0" borderId="0" xfId="0" quotePrefix="1" applyFont="1" applyAlignment="1">
      <alignment horizontal="right"/>
    </xf>
    <xf numFmtId="164" fontId="8" fillId="0" borderId="0" xfId="0" applyNumberFormat="1" applyFont="1" applyAlignment="1">
      <alignment horizontal="right"/>
    </xf>
    <xf numFmtId="0" fontId="8" fillId="0" borderId="0" xfId="0" quotePrefix="1" applyFont="1" applyAlignment="1">
      <alignment horizontal="left"/>
    </xf>
    <xf numFmtId="37" fontId="12" fillId="0" borderId="28" xfId="0" applyNumberFormat="1" applyFont="1" applyBorder="1" applyAlignment="1">
      <alignment horizontal="right"/>
    </xf>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6" fillId="5" borderId="0" xfId="8" quotePrefix="1" applyNumberFormat="1" applyFont="1" applyFill="1" applyAlignment="1" applyProtection="1">
      <alignment horizontal="right"/>
    </xf>
    <xf numFmtId="49" fontId="64" fillId="0" borderId="0" xfId="0" quotePrefix="1" applyNumberFormat="1" applyFont="1" applyAlignment="1">
      <alignment horizontal="right"/>
    </xf>
    <xf numFmtId="4" fontId="12" fillId="0" borderId="28" xfId="0" applyNumberFormat="1" applyFont="1" applyBorder="1" applyAlignment="1">
      <alignment horizontal="right"/>
    </xf>
    <xf numFmtId="37" fontId="12" fillId="0" borderId="44" xfId="0" applyNumberFormat="1" applyFont="1" applyBorder="1" applyAlignment="1">
      <alignment horizontal="right"/>
    </xf>
    <xf numFmtId="0" fontId="64" fillId="0" borderId="0" xfId="0" quotePrefix="1" applyFont="1" applyAlignment="1">
      <alignment horizontal="left"/>
    </xf>
    <xf numFmtId="37" fontId="12" fillId="0" borderId="0" xfId="0" applyNumberFormat="1" applyFont="1" applyAlignment="1">
      <alignment horizontal="right"/>
    </xf>
    <xf numFmtId="49" fontId="12" fillId="0" borderId="0" xfId="0" applyNumberFormat="1" applyFont="1" applyAlignment="1">
      <alignment horizontal="left"/>
    </xf>
    <xf numFmtId="42" fontId="8" fillId="0" borderId="0" xfId="0" applyNumberFormat="1" applyFont="1" applyAlignment="1">
      <alignment horizontal="right"/>
    </xf>
    <xf numFmtId="0" fontId="36" fillId="0" borderId="0" xfId="8" applyFont="1" applyAlignment="1" applyProtection="1">
      <alignment horizontal="right"/>
    </xf>
    <xf numFmtId="37" fontId="22" fillId="2" borderId="0" xfId="13" applyNumberFormat="1" applyFont="1" applyAlignment="1">
      <alignment horizontal="left"/>
    </xf>
    <xf numFmtId="37" fontId="22" fillId="2" borderId="0" xfId="13" applyNumberFormat="1" applyFont="1" applyAlignment="1">
      <alignment horizontal="center"/>
    </xf>
    <xf numFmtId="37" fontId="22" fillId="2" borderId="0" xfId="13" applyNumberFormat="1" applyFont="1" applyAlignment="1">
      <alignment horizontal="right"/>
    </xf>
    <xf numFmtId="37" fontId="12" fillId="2" borderId="2" xfId="13" applyNumberFormat="1" applyFont="1" applyBorder="1" applyAlignment="1">
      <alignment horizontal="center"/>
    </xf>
    <xf numFmtId="0" fontId="12" fillId="2" borderId="0" xfId="13" applyFont="1"/>
    <xf numFmtId="37" fontId="12" fillId="0" borderId="11" xfId="13" applyNumberFormat="1" applyFont="1" applyFill="1" applyBorder="1" applyAlignment="1">
      <alignment horizontal="center"/>
    </xf>
    <xf numFmtId="37" fontId="22" fillId="2" borderId="0" xfId="13" applyNumberFormat="1" applyFont="1" applyAlignment="1">
      <alignment horizontal="centerContinuous" vertical="top"/>
    </xf>
    <xf numFmtId="37" fontId="12" fillId="2" borderId="0" xfId="13" applyNumberFormat="1" applyFont="1" applyAlignment="1">
      <alignment horizontal="centerContinuous"/>
    </xf>
    <xf numFmtId="37" fontId="12" fillId="0" borderId="0" xfId="13" applyNumberFormat="1" applyFont="1" applyFill="1" applyAlignment="1">
      <alignment horizontal="centerContinuous"/>
    </xf>
    <xf numFmtId="0" fontId="8" fillId="2" borderId="0" xfId="13" applyFont="1" applyAlignment="1">
      <alignment horizontal="centerContinuous"/>
    </xf>
    <xf numFmtId="37" fontId="22" fillId="2" borderId="0" xfId="13" applyNumberFormat="1" applyFont="1" applyAlignment="1">
      <alignment vertical="top"/>
    </xf>
    <xf numFmtId="37" fontId="13" fillId="2" borderId="0" xfId="13" applyNumberFormat="1" applyFont="1" applyAlignment="1">
      <alignment horizontal="center"/>
    </xf>
    <xf numFmtId="0" fontId="13" fillId="2" borderId="0" xfId="13" applyFont="1" applyAlignment="1">
      <alignment horizontal="center"/>
    </xf>
    <xf numFmtId="37" fontId="22" fillId="2" borderId="0" xfId="13" applyNumberFormat="1" applyFont="1" applyAlignment="1">
      <alignment horizontal="centerContinuous"/>
    </xf>
    <xf numFmtId="37" fontId="23" fillId="2" borderId="0" xfId="13" applyNumberFormat="1" applyFont="1" applyAlignment="1">
      <alignment horizontal="center"/>
    </xf>
    <xf numFmtId="37" fontId="13" fillId="2" borderId="2" xfId="13" applyNumberFormat="1" applyFont="1" applyBorder="1" applyAlignment="1">
      <alignment horizontal="center"/>
    </xf>
    <xf numFmtId="0" fontId="13" fillId="2" borderId="2" xfId="13" applyFont="1" applyBorder="1" applyAlignment="1">
      <alignment horizontal="center"/>
    </xf>
    <xf numFmtId="0" fontId="18" fillId="0" borderId="0" xfId="13" applyFill="1"/>
    <xf numFmtId="37" fontId="64" fillId="0" borderId="0" xfId="13" applyNumberFormat="1" applyFont="1" applyFill="1" applyAlignment="1">
      <alignment horizontal="left"/>
    </xf>
    <xf numFmtId="37" fontId="12" fillId="0" borderId="0" xfId="13" applyNumberFormat="1" applyFont="1" applyFill="1"/>
    <xf numFmtId="8" fontId="12" fillId="2" borderId="0" xfId="13" applyNumberFormat="1" applyFont="1" applyAlignment="1">
      <alignment horizontal="right"/>
    </xf>
    <xf numFmtId="37" fontId="12" fillId="2" borderId="0" xfId="13" applyNumberFormat="1" applyFont="1" applyAlignment="1">
      <alignment horizontal="right"/>
    </xf>
    <xf numFmtId="37" fontId="12" fillId="2" borderId="2" xfId="13" applyNumberFormat="1" applyFont="1" applyBorder="1"/>
    <xf numFmtId="37" fontId="8" fillId="2" borderId="0" xfId="13" applyNumberFormat="1" applyFont="1"/>
    <xf numFmtId="37" fontId="8" fillId="2" borderId="2" xfId="13" applyNumberFormat="1" applyFont="1" applyBorder="1" applyAlignment="1">
      <alignment horizontal="right"/>
    </xf>
    <xf numFmtId="1" fontId="12" fillId="2" borderId="0" xfId="13" applyNumberFormat="1" applyFont="1" applyAlignment="1">
      <alignment horizontal="right"/>
    </xf>
    <xf numFmtId="37" fontId="36" fillId="0" borderId="0" xfId="8" applyNumberFormat="1" applyFont="1" applyAlignment="1" applyProtection="1">
      <alignment horizontal="left" vertical="top"/>
    </xf>
    <xf numFmtId="37" fontId="12" fillId="2" borderId="0" xfId="13" applyNumberFormat="1" applyFont="1" applyAlignment="1">
      <alignment horizontal="left"/>
    </xf>
    <xf numFmtId="37" fontId="12" fillId="2" borderId="25" xfId="13" applyNumberFormat="1" applyFont="1" applyBorder="1"/>
    <xf numFmtId="1" fontId="12" fillId="2" borderId="0" xfId="13" applyNumberFormat="1" applyFont="1" applyAlignment="1">
      <alignment horizontal="right" vertical="top"/>
    </xf>
    <xf numFmtId="1" fontId="12" fillId="2" borderId="0" xfId="13" applyNumberFormat="1" applyFont="1" applyAlignment="1">
      <alignment horizontal="left"/>
    </xf>
    <xf numFmtId="0" fontId="8" fillId="2" borderId="0" xfId="13" quotePrefix="1" applyFont="1"/>
    <xf numFmtId="49" fontId="36" fillId="5" borderId="0" xfId="8" applyNumberFormat="1" applyFont="1" applyFill="1" applyAlignment="1" applyProtection="1">
      <alignment horizontal="right" vertical="top"/>
    </xf>
    <xf numFmtId="37" fontId="36" fillId="5" borderId="0" xfId="8" applyNumberFormat="1" applyFont="1" applyFill="1" applyAlignment="1" applyProtection="1">
      <alignment horizontal="left" vertical="top"/>
    </xf>
    <xf numFmtId="0" fontId="36" fillId="0" borderId="0" xfId="0" applyFont="1"/>
    <xf numFmtId="37" fontId="12" fillId="0" borderId="25" xfId="13" applyNumberFormat="1" applyFont="1" applyFill="1" applyBorder="1"/>
    <xf numFmtId="37" fontId="36" fillId="5" borderId="0" xfId="8" applyNumberFormat="1" applyFont="1" applyFill="1" applyAlignment="1" applyProtection="1">
      <alignment horizontal="left"/>
    </xf>
    <xf numFmtId="37" fontId="12" fillId="0" borderId="2" xfId="13" applyNumberFormat="1" applyFont="1" applyFill="1" applyBorder="1"/>
    <xf numFmtId="37" fontId="12" fillId="2" borderId="8" xfId="13" applyNumberFormat="1" applyFont="1" applyBorder="1" applyAlignment="1">
      <alignment horizontal="right"/>
    </xf>
    <xf numFmtId="1" fontId="36" fillId="5" borderId="0" xfId="8" applyNumberFormat="1" applyFont="1" applyFill="1" applyAlignment="1" applyProtection="1">
      <alignment horizontal="right" vertical="top"/>
    </xf>
    <xf numFmtId="37" fontId="36" fillId="5" borderId="0" xfId="8" applyNumberFormat="1" applyFont="1" applyFill="1" applyProtection="1"/>
    <xf numFmtId="37" fontId="8" fillId="2" borderId="25" xfId="13" applyNumberFormat="1" applyFont="1" applyBorder="1"/>
    <xf numFmtId="1" fontId="36" fillId="5" borderId="0" xfId="8" applyNumberFormat="1" applyFont="1" applyFill="1" applyAlignment="1" applyProtection="1">
      <alignment horizontal="right"/>
    </xf>
    <xf numFmtId="37" fontId="12" fillId="2" borderId="0" xfId="13" applyNumberFormat="1" applyFont="1" applyAlignment="1">
      <alignment vertical="top"/>
    </xf>
    <xf numFmtId="37" fontId="8" fillId="2" borderId="0" xfId="13" applyNumberFormat="1" applyFont="1" applyAlignment="1">
      <alignment vertical="top"/>
    </xf>
    <xf numFmtId="0" fontId="18" fillId="2" borderId="0" xfId="13" applyAlignment="1">
      <alignment vertical="top"/>
    </xf>
    <xf numFmtId="1" fontId="12" fillId="2" borderId="0" xfId="13" applyNumberFormat="1" applyFont="1"/>
    <xf numFmtId="37" fontId="64" fillId="0" borderId="0" xfId="13" applyNumberFormat="1" applyFont="1" applyFill="1"/>
    <xf numFmtId="37" fontId="12" fillId="0" borderId="0" xfId="13" applyNumberFormat="1" applyFont="1" applyFill="1" applyAlignment="1">
      <alignment horizontal="left"/>
    </xf>
    <xf numFmtId="0" fontId="10" fillId="0" borderId="0" xfId="13" applyFont="1" applyFill="1"/>
    <xf numFmtId="37" fontId="12" fillId="0" borderId="0" xfId="13" applyNumberFormat="1" applyFont="1" applyFill="1" applyAlignment="1">
      <alignment horizontal="right"/>
    </xf>
    <xf numFmtId="37" fontId="8" fillId="2" borderId="19" xfId="13" applyNumberFormat="1" applyFont="1" applyBorder="1"/>
    <xf numFmtId="37" fontId="12" fillId="0" borderId="0" xfId="13" applyNumberFormat="1" applyFont="1" applyFill="1" applyAlignment="1">
      <alignment vertical="top"/>
    </xf>
    <xf numFmtId="0" fontId="8" fillId="0" borderId="0" xfId="13" quotePrefix="1" applyFont="1" applyFill="1" applyAlignment="1">
      <alignment wrapText="1"/>
    </xf>
    <xf numFmtId="37" fontId="12"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2" fillId="0" borderId="0" xfId="13" applyNumberFormat="1" applyFont="1" applyFill="1" applyAlignment="1">
      <alignment horizontal="right" vertical="top"/>
    </xf>
    <xf numFmtId="37" fontId="8" fillId="0" borderId="0" xfId="13" applyNumberFormat="1" applyFont="1" applyFill="1"/>
    <xf numFmtId="1" fontId="12" fillId="0" borderId="0" xfId="13" applyNumberFormat="1" applyFont="1" applyFill="1" applyAlignment="1">
      <alignment horizontal="right"/>
    </xf>
    <xf numFmtId="49" fontId="36" fillId="5" borderId="0" xfId="8" quotePrefix="1" applyNumberFormat="1" applyFont="1" applyFill="1" applyAlignment="1" applyProtection="1">
      <alignment horizontal="right" vertical="top"/>
    </xf>
    <xf numFmtId="37" fontId="12" fillId="0" borderId="19" xfId="13" quotePrefix="1" applyNumberFormat="1" applyFont="1" applyFill="1" applyBorder="1"/>
    <xf numFmtId="49" fontId="36" fillId="0" borderId="0" xfId="8" quotePrefix="1" applyNumberFormat="1" applyFont="1" applyAlignment="1" applyProtection="1">
      <alignment horizontal="right" vertical="top"/>
    </xf>
    <xf numFmtId="0" fontId="8" fillId="0" borderId="0" xfId="21" applyFont="1" applyFill="1" applyAlignment="1">
      <alignment vertical="top" wrapText="1"/>
    </xf>
    <xf numFmtId="37" fontId="12" fillId="0" borderId="0" xfId="13" quotePrefix="1" applyNumberFormat="1" applyFont="1" applyFill="1"/>
    <xf numFmtId="37" fontId="8" fillId="0" borderId="8" xfId="0" applyNumberFormat="1" applyFont="1" applyBorder="1"/>
    <xf numFmtId="0" fontId="8" fillId="0" borderId="0" xfId="21" quotePrefix="1" applyFont="1" applyFill="1" applyAlignment="1">
      <alignment horizontal="left" vertical="top" wrapText="1"/>
    </xf>
    <xf numFmtId="37" fontId="8" fillId="0" borderId="19" xfId="0" applyNumberFormat="1" applyFont="1" applyBorder="1"/>
    <xf numFmtId="0" fontId="64" fillId="0" borderId="0" xfId="0" applyFont="1" applyAlignment="1">
      <alignment vertical="top"/>
    </xf>
    <xf numFmtId="0" fontId="10" fillId="0" borderId="0" xfId="13" applyFont="1" applyFill="1" applyAlignment="1">
      <alignment wrapText="1"/>
    </xf>
    <xf numFmtId="37" fontId="8" fillId="0" borderId="0" xfId="13" applyNumberFormat="1" applyFont="1" applyFill="1" applyAlignment="1">
      <alignment horizontal="right"/>
    </xf>
    <xf numFmtId="0" fontId="25" fillId="0" borderId="0" xfId="0" applyFont="1" applyAlignment="1">
      <alignment wrapText="1"/>
    </xf>
    <xf numFmtId="1" fontId="12" fillId="2" borderId="0" xfId="13" quotePrefix="1" applyNumberFormat="1" applyFont="1" applyAlignment="1">
      <alignment horizontal="right" vertical="top"/>
    </xf>
    <xf numFmtId="37" fontId="3" fillId="0" borderId="0" xfId="0" applyNumberFormat="1" applyFont="1"/>
    <xf numFmtId="1" fontId="12" fillId="2" borderId="0" xfId="13" quotePrefix="1" applyNumberFormat="1" applyFont="1" applyAlignment="1">
      <alignment horizontal="right"/>
    </xf>
    <xf numFmtId="0" fontId="8" fillId="2" borderId="0" xfId="13" applyFont="1" applyAlignment="1">
      <alignment horizontal="right"/>
    </xf>
    <xf numFmtId="1" fontId="12" fillId="0" borderId="0" xfId="13" applyNumberFormat="1" applyFont="1" applyFill="1" applyAlignment="1">
      <alignment horizontal="left"/>
    </xf>
    <xf numFmtId="0" fontId="8" fillId="0" borderId="0" xfId="0" quotePrefix="1" applyFont="1" applyAlignment="1">
      <alignment wrapText="1"/>
    </xf>
    <xf numFmtId="49" fontId="8" fillId="2" borderId="0" xfId="13" quotePrefix="1" applyNumberFormat="1" applyFont="1" applyAlignment="1">
      <alignment horizontal="left"/>
    </xf>
    <xf numFmtId="0" fontId="10" fillId="0" borderId="0" xfId="13" applyFont="1" applyFill="1" applyAlignment="1">
      <alignment horizontal="right"/>
    </xf>
    <xf numFmtId="37" fontId="10" fillId="0" borderId="0" xfId="0" applyNumberFormat="1" applyFont="1" applyAlignment="1">
      <alignment horizontal="right"/>
    </xf>
    <xf numFmtId="1" fontId="12" fillId="0" borderId="0" xfId="13" quotePrefix="1" applyNumberFormat="1" applyFont="1" applyFill="1" applyAlignment="1">
      <alignment horizontal="left"/>
    </xf>
    <xf numFmtId="37" fontId="12" fillId="0" borderId="0" xfId="13" applyNumberFormat="1" applyFont="1" applyFill="1" applyAlignment="1">
      <alignment horizontal="justify" vertical="top" wrapText="1"/>
    </xf>
    <xf numFmtId="49" fontId="12" fillId="0" borderId="0" xfId="13" quotePrefix="1" applyNumberFormat="1" applyFont="1" applyFill="1" applyAlignment="1">
      <alignment horizontal="left" vertical="top"/>
    </xf>
    <xf numFmtId="1" fontId="12" fillId="0" borderId="0" xfId="13" quotePrefix="1" applyNumberFormat="1" applyFont="1" applyFill="1" applyAlignment="1">
      <alignment horizontal="left" vertical="top"/>
    </xf>
    <xf numFmtId="1" fontId="22" fillId="2" borderId="0" xfId="13" applyNumberFormat="1" applyFont="1"/>
    <xf numFmtId="49" fontId="8" fillId="6" borderId="0" xfId="13" applyNumberFormat="1" applyFont="1" applyFill="1" applyAlignment="1">
      <alignment horizontal="left" vertical="top"/>
    </xf>
    <xf numFmtId="37" fontId="12" fillId="0" borderId="0" xfId="13" applyNumberFormat="1" applyFont="1" applyFill="1" applyAlignment="1">
      <alignment vertical="top" wrapText="1"/>
    </xf>
    <xf numFmtId="37" fontId="12" fillId="0" borderId="0" xfId="13" quotePrefix="1" applyNumberFormat="1" applyFont="1" applyFill="1" applyAlignment="1">
      <alignment horizontal="left" vertical="top"/>
    </xf>
    <xf numFmtId="49" fontId="8" fillId="0" borderId="0" xfId="13" applyNumberFormat="1" applyFont="1" applyFill="1" applyAlignment="1">
      <alignment horizontal="left" vertical="top"/>
    </xf>
    <xf numFmtId="37" fontId="23" fillId="0" borderId="0" xfId="13" applyNumberFormat="1" applyFont="1" applyFill="1"/>
    <xf numFmtId="37" fontId="24" fillId="2" borderId="2" xfId="13" applyNumberFormat="1" applyFont="1" applyBorder="1" applyAlignment="1">
      <alignment horizontal="left"/>
    </xf>
    <xf numFmtId="37" fontId="24" fillId="2" borderId="2" xfId="13" applyNumberFormat="1" applyFont="1" applyBorder="1" applyAlignment="1">
      <alignment horizontal="center"/>
    </xf>
    <xf numFmtId="0" fontId="24" fillId="2" borderId="0" xfId="13" applyFont="1" applyAlignment="1">
      <alignment horizontal="left"/>
    </xf>
    <xf numFmtId="0" fontId="24" fillId="2" borderId="0" xfId="13" applyFont="1"/>
    <xf numFmtId="0" fontId="4" fillId="0" borderId="11" xfId="0" applyFont="1" applyBorder="1" applyAlignment="1">
      <alignment horizontal="center"/>
    </xf>
    <xf numFmtId="0" fontId="30" fillId="2" borderId="0" xfId="13" applyFont="1" applyAlignment="1">
      <alignment horizontal="centerContinuous"/>
    </xf>
    <xf numFmtId="0" fontId="24" fillId="2" borderId="0" xfId="13" applyFont="1" applyAlignment="1">
      <alignment horizontal="centerContinuous"/>
    </xf>
    <xf numFmtId="0" fontId="30" fillId="2" borderId="0" xfId="13" applyFont="1" applyAlignment="1">
      <alignment horizontal="centerContinuous" vertical="top"/>
    </xf>
    <xf numFmtId="0" fontId="9" fillId="2" borderId="0" xfId="13" applyFont="1" applyAlignment="1">
      <alignment horizontal="centerContinuous" vertical="top"/>
    </xf>
    <xf numFmtId="0" fontId="9" fillId="0" borderId="0" xfId="0" applyFont="1" applyAlignment="1">
      <alignment horizontal="centerContinuous" vertical="top"/>
    </xf>
    <xf numFmtId="0" fontId="4" fillId="0" borderId="0" xfId="0" applyFont="1" applyAlignment="1">
      <alignment horizontal="centerContinuous" vertical="top"/>
    </xf>
    <xf numFmtId="0" fontId="85" fillId="2" borderId="0" xfId="13" applyFont="1" applyAlignment="1">
      <alignment horizontal="right"/>
    </xf>
    <xf numFmtId="49" fontId="24" fillId="2" borderId="0" xfId="13" applyNumberFormat="1" applyFont="1" applyAlignment="1">
      <alignment horizontal="right"/>
    </xf>
    <xf numFmtId="0" fontId="4" fillId="0" borderId="0" xfId="13" applyFont="1" applyFill="1"/>
    <xf numFmtId="49" fontId="11" fillId="5" borderId="0" xfId="8" applyNumberFormat="1" applyFont="1" applyFill="1" applyAlignment="1" applyProtection="1">
      <alignment horizontal="right"/>
    </xf>
    <xf numFmtId="0" fontId="4" fillId="2" borderId="0" xfId="13" applyFont="1"/>
    <xf numFmtId="37" fontId="4" fillId="0" borderId="19" xfId="0" applyNumberFormat="1" applyFont="1" applyBorder="1"/>
    <xf numFmtId="37" fontId="4" fillId="0" borderId="8" xfId="0" applyNumberFormat="1" applyFont="1" applyBorder="1"/>
    <xf numFmtId="37" fontId="4" fillId="0" borderId="5" xfId="0" applyNumberFormat="1" applyFont="1" applyBorder="1"/>
    <xf numFmtId="37" fontId="4" fillId="0" borderId="5" xfId="0" applyNumberFormat="1" applyFont="1" applyBorder="1" applyAlignment="1">
      <alignment horizontal="right"/>
    </xf>
    <xf numFmtId="49" fontId="11" fillId="5" borderId="0" xfId="8" quotePrefix="1" applyNumberFormat="1" applyFont="1" applyFill="1" applyAlignment="1" applyProtection="1">
      <alignment horizontal="right"/>
    </xf>
    <xf numFmtId="0" fontId="1" fillId="0" borderId="0" xfId="0" applyFont="1" applyAlignment="1">
      <alignment wrapText="1"/>
    </xf>
    <xf numFmtId="49" fontId="30"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1" fillId="0" borderId="0" xfId="8" quotePrefix="1" applyNumberFormat="1" applyFont="1" applyAlignment="1" applyProtection="1">
      <alignment horizontal="right"/>
    </xf>
    <xf numFmtId="0" fontId="4"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4" fillId="0" borderId="0" xfId="13" applyNumberFormat="1" applyFont="1" applyFill="1" applyAlignment="1">
      <alignment horizontal="right"/>
    </xf>
    <xf numFmtId="37" fontId="4" fillId="0" borderId="0" xfId="0" applyNumberFormat="1" applyFont="1"/>
    <xf numFmtId="0" fontId="24" fillId="0" borderId="0" xfId="13" applyFont="1" applyFill="1" applyAlignment="1">
      <alignment horizontal="right"/>
    </xf>
    <xf numFmtId="49" fontId="4" fillId="0" borderId="0" xfId="13" quotePrefix="1" applyNumberFormat="1" applyFont="1" applyFill="1" applyAlignment="1">
      <alignment horizontal="right"/>
    </xf>
    <xf numFmtId="37" fontId="4" fillId="0" borderId="45"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4" fillId="0" borderId="0" xfId="13" applyNumberFormat="1" applyFont="1" applyFill="1" applyAlignment="1">
      <alignment horizontal="right"/>
    </xf>
    <xf numFmtId="0" fontId="84" fillId="0" borderId="0" xfId="0" quotePrefix="1" applyFont="1" applyAlignment="1">
      <alignment vertical="top"/>
    </xf>
    <xf numFmtId="0" fontId="84" fillId="0" borderId="0" xfId="0" applyFont="1" applyAlignment="1">
      <alignment vertical="top"/>
    </xf>
    <xf numFmtId="49" fontId="24" fillId="2" borderId="0" xfId="13" applyNumberFormat="1" applyFont="1" applyAlignment="1">
      <alignment horizontal="right" vertical="top"/>
    </xf>
    <xf numFmtId="49" fontId="24" fillId="0" borderId="0" xfId="13" applyNumberFormat="1" applyFont="1" applyFill="1" applyAlignment="1">
      <alignment horizontal="right" vertical="top"/>
    </xf>
    <xf numFmtId="0" fontId="4" fillId="0" borderId="0" xfId="13" applyFont="1" applyFill="1" applyAlignment="1">
      <alignment vertical="top"/>
    </xf>
    <xf numFmtId="0" fontId="0" fillId="0" borderId="0" xfId="0" applyAlignment="1">
      <alignment vertical="top"/>
    </xf>
    <xf numFmtId="0" fontId="5" fillId="0" borderId="0" xfId="0" applyFont="1" applyAlignment="1">
      <alignment horizontal="center"/>
    </xf>
    <xf numFmtId="0" fontId="16" fillId="0" borderId="0" xfId="0" applyFont="1"/>
    <xf numFmtId="0" fontId="3" fillId="0" borderId="31" xfId="0" applyFont="1" applyBorder="1"/>
    <xf numFmtId="0" fontId="3" fillId="0" borderId="25" xfId="0" applyFont="1" applyBorder="1"/>
    <xf numFmtId="0" fontId="8" fillId="0" borderId="31" xfId="0" applyFont="1" applyBorder="1" applyAlignment="1">
      <alignment horizontal="centerContinuous"/>
    </xf>
    <xf numFmtId="0" fontId="0" fillId="0" borderId="33" xfId="0" applyBorder="1" applyAlignment="1">
      <alignment horizontal="centerContinuous"/>
    </xf>
    <xf numFmtId="0" fontId="8" fillId="0" borderId="31" xfId="0" applyFont="1" applyBorder="1" applyAlignment="1">
      <alignment horizontal="center"/>
    </xf>
    <xf numFmtId="0" fontId="0" fillId="0" borderId="34" xfId="0" applyBorder="1" applyAlignment="1">
      <alignment horizontal="centerContinuous"/>
    </xf>
    <xf numFmtId="0" fontId="3" fillId="0" borderId="26" xfId="0" applyFont="1" applyBorder="1"/>
    <xf numFmtId="0" fontId="10" fillId="0" borderId="26" xfId="0" applyFont="1" applyBorder="1"/>
    <xf numFmtId="49" fontId="3" fillId="0" borderId="0" xfId="0" applyNumberFormat="1" applyFont="1"/>
    <xf numFmtId="49" fontId="3" fillId="0" borderId="0" xfId="0" applyNumberFormat="1" applyFont="1" applyAlignment="1">
      <alignment horizontal="left"/>
    </xf>
    <xf numFmtId="3" fontId="8" fillId="7" borderId="1" xfId="0" applyNumberFormat="1" applyFont="1" applyFill="1" applyBorder="1"/>
    <xf numFmtId="0" fontId="10" fillId="0" borderId="39" xfId="0" applyFont="1" applyBorder="1"/>
    <xf numFmtId="0" fontId="8" fillId="0" borderId="38" xfId="0" applyFont="1" applyBorder="1"/>
    <xf numFmtId="49" fontId="8" fillId="0" borderId="38" xfId="0" applyNumberFormat="1" applyFont="1" applyBorder="1" applyAlignment="1">
      <alignment horizontal="right"/>
    </xf>
    <xf numFmtId="3" fontId="8" fillId="7" borderId="1" xfId="0" applyNumberFormat="1" applyFont="1" applyFill="1" applyBorder="1" applyAlignment="1">
      <alignment horizontal="right"/>
    </xf>
    <xf numFmtId="49" fontId="3" fillId="0" borderId="33" xfId="0" applyNumberFormat="1" applyFont="1" applyBorder="1"/>
    <xf numFmtId="37" fontId="13" fillId="2" borderId="0" xfId="14" applyNumberFormat="1" applyFont="1" applyAlignment="1">
      <alignment horizontal="centerContinuous"/>
    </xf>
    <xf numFmtId="49" fontId="6" fillId="0" borderId="46" xfId="0" applyNumberFormat="1" applyFont="1" applyBorder="1" applyAlignment="1">
      <alignment horizontal="center"/>
    </xf>
    <xf numFmtId="37" fontId="21" fillId="2" borderId="0" xfId="14" applyNumberFormat="1" applyFont="1" applyAlignment="1">
      <alignment horizontal="centerContinuous"/>
    </xf>
    <xf numFmtId="0" fontId="74" fillId="0" borderId="0" xfId="0" applyFont="1"/>
    <xf numFmtId="0" fontId="20" fillId="2" borderId="0" xfId="14"/>
    <xf numFmtId="0" fontId="6" fillId="0" borderId="11" xfId="0" applyFont="1" applyBorder="1" applyAlignment="1">
      <alignment horizontal="center" wrapText="1"/>
    </xf>
    <xf numFmtId="0" fontId="15" fillId="2" borderId="0" xfId="14" applyFont="1" applyAlignment="1">
      <alignment horizontal="left"/>
    </xf>
    <xf numFmtId="0" fontId="15" fillId="2" borderId="0" xfId="14" applyFont="1" applyAlignment="1">
      <alignment horizontal="center"/>
    </xf>
    <xf numFmtId="0" fontId="74" fillId="2" borderId="0" xfId="13" applyFont="1"/>
    <xf numFmtId="0" fontId="88" fillId="2" borderId="0" xfId="13" applyFont="1"/>
    <xf numFmtId="0" fontId="6" fillId="2" borderId="0" xfId="14" applyFont="1"/>
    <xf numFmtId="37" fontId="14" fillId="2" borderId="0" xfId="14" applyNumberFormat="1" applyFont="1"/>
    <xf numFmtId="0" fontId="80" fillId="2" borderId="0" xfId="13" applyFont="1" applyAlignment="1">
      <alignment wrapText="1"/>
    </xf>
    <xf numFmtId="37" fontId="13" fillId="2" borderId="0" xfId="14" applyNumberFormat="1" applyFont="1"/>
    <xf numFmtId="0" fontId="44" fillId="5" borderId="35" xfId="8" applyFont="1" applyFill="1" applyBorder="1" applyProtection="1"/>
    <xf numFmtId="0" fontId="20" fillId="0" borderId="19" xfId="14" applyFill="1" applyBorder="1"/>
    <xf numFmtId="37" fontId="13" fillId="0" borderId="35" xfId="14" applyNumberFormat="1" applyFont="1" applyFill="1" applyBorder="1" applyAlignment="1">
      <alignment horizontal="left"/>
    </xf>
    <xf numFmtId="0" fontId="8" fillId="0" borderId="19" xfId="0" applyFont="1" applyBorder="1" applyAlignment="1">
      <alignment horizontal="left"/>
    </xf>
    <xf numFmtId="0" fontId="8" fillId="0" borderId="19" xfId="0" applyFont="1" applyBorder="1"/>
    <xf numFmtId="0" fontId="8" fillId="0" borderId="36" xfId="0" applyFont="1" applyBorder="1"/>
    <xf numFmtId="37" fontId="13" fillId="2" borderId="29" xfId="14" applyNumberFormat="1" applyFont="1" applyBorder="1"/>
    <xf numFmtId="0" fontId="20" fillId="0" borderId="0" xfId="14" applyFill="1"/>
    <xf numFmtId="0" fontId="6" fillId="0" borderId="0" xfId="0" applyFont="1" applyAlignment="1">
      <alignment horizontal="right"/>
    </xf>
    <xf numFmtId="38" fontId="6" fillId="0" borderId="47" xfId="0" applyNumberFormat="1" applyFont="1" applyBorder="1"/>
    <xf numFmtId="172" fontId="14" fillId="0" borderId="48" xfId="14" applyNumberFormat="1" applyFont="1" applyFill="1" applyBorder="1"/>
    <xf numFmtId="0" fontId="6" fillId="2" borderId="40" xfId="14" applyFont="1" applyBorder="1"/>
    <xf numFmtId="176" fontId="8" fillId="0" borderId="0" xfId="0" applyNumberFormat="1" applyFont="1" applyBorder="1"/>
    <xf numFmtId="37" fontId="14" fillId="0" borderId="29" xfId="14" applyNumberFormat="1" applyFont="1" applyFill="1" applyBorder="1" applyAlignment="1">
      <alignment horizontal="left"/>
    </xf>
    <xf numFmtId="37" fontId="6" fillId="0" borderId="47" xfId="0" applyNumberFormat="1" applyFont="1" applyBorder="1"/>
    <xf numFmtId="37" fontId="13" fillId="2" borderId="35" xfId="14" applyNumberFormat="1" applyFont="1" applyBorder="1"/>
    <xf numFmtId="0" fontId="20" fillId="2" borderId="19" xfId="14" applyBorder="1"/>
    <xf numFmtId="9" fontId="6" fillId="0" borderId="47" xfId="1" applyFont="1" applyFill="1" applyBorder="1" applyProtection="1"/>
    <xf numFmtId="0" fontId="20" fillId="2" borderId="49" xfId="14" applyBorder="1"/>
    <xf numFmtId="0" fontId="6" fillId="2" borderId="0" xfId="14" applyFont="1" applyAlignment="1">
      <alignment horizontal="left"/>
    </xf>
    <xf numFmtId="0" fontId="15" fillId="2" borderId="29" xfId="14" applyFont="1" applyBorder="1"/>
    <xf numFmtId="37" fontId="14" fillId="2" borderId="14" xfId="14" applyNumberFormat="1" applyFont="1" applyBorder="1"/>
    <xf numFmtId="37" fontId="14" fillId="2" borderId="50" xfId="14" applyNumberFormat="1" applyFont="1" applyBorder="1"/>
    <xf numFmtId="37" fontId="62" fillId="2" borderId="7" xfId="15" applyNumberFormat="1" applyFont="1" applyBorder="1"/>
    <xf numFmtId="37" fontId="62" fillId="2" borderId="40" xfId="14" applyNumberFormat="1" applyFont="1" applyBorder="1"/>
    <xf numFmtId="37" fontId="14" fillId="2" borderId="7" xfId="14" applyNumberFormat="1" applyFont="1" applyBorder="1"/>
    <xf numFmtId="37" fontId="28" fillId="2" borderId="0" xfId="14" applyNumberFormat="1" applyFont="1" applyAlignment="1">
      <alignment horizontal="left" vertical="center"/>
    </xf>
    <xf numFmtId="0" fontId="0" fillId="0" borderId="8" xfId="0" applyBorder="1" applyAlignment="1">
      <alignment horizontal="left" vertical="center" wrapText="1"/>
    </xf>
    <xf numFmtId="37" fontId="28" fillId="2" borderId="8" xfId="14" applyNumberFormat="1" applyFont="1" applyBorder="1" applyAlignment="1">
      <alignment horizontal="left" vertical="center"/>
    </xf>
    <xf numFmtId="0" fontId="0" fillId="0" borderId="8" xfId="0" applyBorder="1"/>
    <xf numFmtId="37" fontId="13" fillId="2" borderId="10" xfId="14" applyNumberFormat="1" applyFont="1" applyBorder="1"/>
    <xf numFmtId="37" fontId="13" fillId="2" borderId="31" xfId="14" applyNumberFormat="1" applyFont="1" applyBorder="1"/>
    <xf numFmtId="37" fontId="13" fillId="2" borderId="25" xfId="14" applyNumberFormat="1" applyFont="1" applyBorder="1"/>
    <xf numFmtId="0" fontId="6" fillId="2" borderId="35" xfId="13" applyFont="1" applyBorder="1"/>
    <xf numFmtId="37" fontId="13" fillId="2" borderId="36" xfId="14" applyNumberFormat="1" applyFont="1" applyBorder="1" applyAlignment="1">
      <alignment horizontal="centerContinuous"/>
    </xf>
    <xf numFmtId="37" fontId="13" fillId="2" borderId="25" xfId="14" applyNumberFormat="1" applyFont="1" applyBorder="1" applyAlignment="1">
      <alignment horizontal="centerContinuous"/>
    </xf>
    <xf numFmtId="37" fontId="13" fillId="2" borderId="33" xfId="14" applyNumberFormat="1" applyFont="1" applyBorder="1" applyAlignment="1">
      <alignment horizontal="centerContinuous"/>
    </xf>
    <xf numFmtId="37" fontId="13" fillId="2" borderId="14" xfId="14" applyNumberFormat="1" applyFont="1" applyBorder="1" applyAlignment="1">
      <alignment horizontal="center"/>
    </xf>
    <xf numFmtId="37" fontId="13" fillId="2" borderId="15" xfId="14" applyNumberFormat="1" applyFont="1" applyBorder="1" applyAlignment="1">
      <alignment horizontal="centerContinuous"/>
    </xf>
    <xf numFmtId="37" fontId="13" fillId="2" borderId="2" xfId="14" applyNumberFormat="1" applyFont="1" applyBorder="1" applyAlignment="1">
      <alignment horizontal="centerContinuous"/>
    </xf>
    <xf numFmtId="37" fontId="13" fillId="2" borderId="51" xfId="14" applyNumberFormat="1" applyFont="1" applyBorder="1" applyAlignment="1">
      <alignment horizontal="centerContinuous"/>
    </xf>
    <xf numFmtId="37" fontId="13" fillId="2" borderId="52" xfId="14" applyNumberFormat="1" applyFont="1" applyBorder="1" applyAlignment="1">
      <alignment horizontal="centerContinuous"/>
    </xf>
    <xf numFmtId="37" fontId="13" fillId="2" borderId="34" xfId="14" applyNumberFormat="1" applyFont="1" applyBorder="1" applyAlignment="1">
      <alignment horizontal="centerContinuous"/>
    </xf>
    <xf numFmtId="37" fontId="13" fillId="2" borderId="32" xfId="14" applyNumberFormat="1" applyFont="1" applyBorder="1" applyAlignment="1">
      <alignment horizontal="center"/>
    </xf>
    <xf numFmtId="37" fontId="14" fillId="0" borderId="14" xfId="14" applyNumberFormat="1" applyFont="1" applyFill="1" applyBorder="1"/>
    <xf numFmtId="37" fontId="13" fillId="2" borderId="0" xfId="14" applyNumberFormat="1" applyFont="1" applyAlignment="1">
      <alignment horizontal="left"/>
    </xf>
    <xf numFmtId="0" fontId="15" fillId="0" borderId="29" xfId="13" applyFont="1" applyFill="1" applyBorder="1"/>
    <xf numFmtId="37" fontId="14" fillId="2" borderId="1" xfId="14" applyNumberFormat="1" applyFont="1" applyBorder="1"/>
    <xf numFmtId="37" fontId="14" fillId="2" borderId="3" xfId="14" applyNumberFormat="1" applyFont="1" applyBorder="1"/>
    <xf numFmtId="165" fontId="14" fillId="2" borderId="1" xfId="14" applyNumberFormat="1" applyFont="1" applyBorder="1" applyAlignment="1">
      <alignment horizontal="right"/>
    </xf>
    <xf numFmtId="37" fontId="13" fillId="0" borderId="0" xfId="14" applyNumberFormat="1" applyFont="1" applyFill="1"/>
    <xf numFmtId="37" fontId="13" fillId="0" borderId="0" xfId="14" applyNumberFormat="1" applyFont="1" applyFill="1" applyAlignment="1">
      <alignment horizontal="left"/>
    </xf>
    <xf numFmtId="37" fontId="14" fillId="0" borderId="3" xfId="14" applyNumberFormat="1" applyFont="1" applyFill="1" applyBorder="1"/>
    <xf numFmtId="37" fontId="14" fillId="0" borderId="1" xfId="14" applyNumberFormat="1" applyFont="1" applyFill="1" applyBorder="1"/>
    <xf numFmtId="0" fontId="15" fillId="2" borderId="29" xfId="13" applyFont="1" applyBorder="1" applyAlignment="1">
      <alignment horizontal="left"/>
    </xf>
    <xf numFmtId="37" fontId="6" fillId="2" borderId="1" xfId="14" applyNumberFormat="1" applyFont="1" applyBorder="1"/>
    <xf numFmtId="0" fontId="15" fillId="2" borderId="0" xfId="14" applyFont="1"/>
    <xf numFmtId="0" fontId="15" fillId="0" borderId="0" xfId="14" applyFont="1" applyFill="1"/>
    <xf numFmtId="37" fontId="6" fillId="0" borderId="1" xfId="14" applyNumberFormat="1" applyFont="1" applyFill="1" applyBorder="1"/>
    <xf numFmtId="165" fontId="14" fillId="0" borderId="1" xfId="14" applyNumberFormat="1" applyFont="1" applyFill="1" applyBorder="1" applyAlignment="1">
      <alignment horizontal="right"/>
    </xf>
    <xf numFmtId="37" fontId="6" fillId="0" borderId="3" xfId="14" applyNumberFormat="1" applyFont="1" applyFill="1" applyBorder="1"/>
    <xf numFmtId="165" fontId="14" fillId="0" borderId="3" xfId="14" applyNumberFormat="1" applyFont="1" applyFill="1" applyBorder="1" applyAlignment="1">
      <alignment horizontal="right"/>
    </xf>
    <xf numFmtId="0" fontId="6" fillId="2" borderId="0" xfId="14" applyFont="1" applyAlignment="1">
      <alignment horizontal="centerContinuous"/>
    </xf>
    <xf numFmtId="37" fontId="14" fillId="2" borderId="0" xfId="14" applyNumberFormat="1" applyFont="1" applyAlignment="1">
      <alignment horizontal="right"/>
    </xf>
    <xf numFmtId="37" fontId="14" fillId="2" borderId="0" xfId="15" applyNumberFormat="1" applyFont="1" applyAlignment="1">
      <alignment horizontal="centerContinuous"/>
    </xf>
    <xf numFmtId="0" fontId="20" fillId="2" borderId="0" xfId="15"/>
    <xf numFmtId="0" fontId="6" fillId="2" borderId="33" xfId="15" applyFont="1" applyBorder="1"/>
    <xf numFmtId="37" fontId="13" fillId="2" borderId="31" xfId="15" applyNumberFormat="1" applyFont="1" applyBorder="1" applyAlignment="1">
      <alignment horizontal="center"/>
    </xf>
    <xf numFmtId="37" fontId="13" fillId="2" borderId="53" xfId="15" applyNumberFormat="1" applyFont="1" applyBorder="1" applyAlignment="1">
      <alignment horizontal="center"/>
    </xf>
    <xf numFmtId="49" fontId="6" fillId="2" borderId="0" xfId="15" applyNumberFormat="1" applyFont="1" applyAlignment="1">
      <alignment horizontal="center"/>
    </xf>
    <xf numFmtId="37" fontId="13" fillId="2" borderId="26" xfId="15" applyNumberFormat="1" applyFont="1" applyBorder="1" applyAlignment="1">
      <alignment horizontal="center"/>
    </xf>
    <xf numFmtId="37" fontId="13" fillId="2" borderId="54" xfId="15" applyNumberFormat="1" applyFont="1" applyBorder="1" applyAlignment="1">
      <alignment horizontal="center"/>
    </xf>
    <xf numFmtId="0" fontId="15" fillId="0" borderId="23" xfId="0" applyFont="1" applyBorder="1"/>
    <xf numFmtId="0" fontId="15" fillId="0" borderId="18" xfId="0" applyFont="1" applyBorder="1" applyAlignment="1">
      <alignment horizontal="center"/>
    </xf>
    <xf numFmtId="0" fontId="15" fillId="0" borderId="7" xfId="0" applyFont="1" applyBorder="1" applyAlignment="1">
      <alignment horizontal="center"/>
    </xf>
    <xf numFmtId="37" fontId="13" fillId="2" borderId="15" xfId="15" applyNumberFormat="1" applyFont="1" applyBorder="1"/>
    <xf numFmtId="0" fontId="6" fillId="2" borderId="34" xfId="15" applyFont="1" applyBorder="1"/>
    <xf numFmtId="37" fontId="13" fillId="2" borderId="15" xfId="15" applyNumberFormat="1" applyFont="1" applyBorder="1" applyAlignment="1">
      <alignment horizontal="center"/>
    </xf>
    <xf numFmtId="37" fontId="13" fillId="2" borderId="3" xfId="15" applyNumberFormat="1" applyFont="1" applyBorder="1" applyAlignment="1">
      <alignment horizontal="center"/>
    </xf>
    <xf numFmtId="37" fontId="13" fillId="2" borderId="55" xfId="15" applyNumberFormat="1" applyFont="1" applyBorder="1" applyAlignment="1">
      <alignment horizontal="center"/>
    </xf>
    <xf numFmtId="0" fontId="6" fillId="0" borderId="56" xfId="0" applyFont="1" applyBorder="1"/>
    <xf numFmtId="3" fontId="6" fillId="2" borderId="18" xfId="15" applyNumberFormat="1" applyFont="1" applyBorder="1"/>
    <xf numFmtId="3" fontId="6" fillId="2" borderId="7" xfId="15" applyNumberFormat="1" applyFont="1" applyBorder="1"/>
    <xf numFmtId="0" fontId="6" fillId="0" borderId="0" xfId="15" applyFont="1" applyFill="1"/>
    <xf numFmtId="37" fontId="14" fillId="0" borderId="31" xfId="15" applyNumberFormat="1" applyFont="1" applyFill="1" applyBorder="1"/>
    <xf numFmtId="165" fontId="14" fillId="0" borderId="6" xfId="15" applyNumberFormat="1" applyFont="1" applyFill="1" applyBorder="1"/>
    <xf numFmtId="37" fontId="14" fillId="0" borderId="29" xfId="15" applyNumberFormat="1" applyFont="1" applyFill="1" applyBorder="1"/>
    <xf numFmtId="37" fontId="14" fillId="0" borderId="7" xfId="15" applyNumberFormat="1" applyFont="1" applyFill="1" applyBorder="1"/>
    <xf numFmtId="37" fontId="14" fillId="6" borderId="29" xfId="15" applyNumberFormat="1" applyFont="1" applyFill="1" applyBorder="1"/>
    <xf numFmtId="0" fontId="6" fillId="6" borderId="0" xfId="15" applyFont="1" applyFill="1"/>
    <xf numFmtId="37" fontId="14" fillId="2" borderId="57" xfId="15" applyNumberFormat="1" applyFont="1" applyBorder="1"/>
    <xf numFmtId="165" fontId="14" fillId="2" borderId="6" xfId="15" applyNumberFormat="1" applyFont="1" applyBorder="1"/>
    <xf numFmtId="0" fontId="66" fillId="0" borderId="49" xfId="15" applyFont="1" applyFill="1" applyBorder="1" applyAlignment="1">
      <alignment horizontal="center" vertical="center" wrapText="1"/>
    </xf>
    <xf numFmtId="0" fontId="6" fillId="0" borderId="29" xfId="0" applyFont="1" applyBorder="1"/>
    <xf numFmtId="0" fontId="6" fillId="0" borderId="49" xfId="0" applyFont="1" applyBorder="1"/>
    <xf numFmtId="0" fontId="62" fillId="0" borderId="56" xfId="0" applyFont="1" applyBorder="1"/>
    <xf numFmtId="37" fontId="14" fillId="2" borderId="32" xfId="15" applyNumberFormat="1" applyFont="1" applyBorder="1"/>
    <xf numFmtId="0" fontId="6" fillId="2" borderId="0" xfId="15" applyFont="1"/>
    <xf numFmtId="165" fontId="14" fillId="2" borderId="58" xfId="15" applyNumberFormat="1" applyFont="1" applyBorder="1"/>
    <xf numFmtId="0" fontId="6" fillId="0" borderId="56" xfId="0" applyFont="1" applyBorder="1" applyAlignment="1">
      <alignment horizontal="left"/>
    </xf>
    <xf numFmtId="38" fontId="14" fillId="2" borderId="32" xfId="15" applyNumberFormat="1" applyFont="1" applyBorder="1"/>
    <xf numFmtId="0" fontId="6" fillId="0" borderId="10" xfId="0" applyFont="1" applyBorder="1"/>
    <xf numFmtId="0" fontId="6" fillId="0" borderId="3" xfId="15" applyFont="1" applyFill="1" applyBorder="1"/>
    <xf numFmtId="165" fontId="14" fillId="0" borderId="58" xfId="15" applyNumberFormat="1" applyFont="1" applyFill="1" applyBorder="1"/>
    <xf numFmtId="37" fontId="13" fillId="2" borderId="0" xfId="15" applyNumberFormat="1" applyFont="1"/>
    <xf numFmtId="37" fontId="14" fillId="0" borderId="26" xfId="15" applyNumberFormat="1" applyFont="1" applyFill="1" applyBorder="1" applyAlignment="1">
      <alignment horizontal="left"/>
    </xf>
    <xf numFmtId="37" fontId="14" fillId="0" borderId="0" xfId="15" applyNumberFormat="1" applyFont="1" applyFill="1"/>
    <xf numFmtId="37" fontId="14" fillId="0" borderId="59" xfId="15" applyNumberFormat="1" applyFont="1" applyFill="1" applyBorder="1"/>
    <xf numFmtId="37" fontId="14" fillId="2" borderId="26" xfId="15" applyNumberFormat="1" applyFont="1" applyBorder="1"/>
    <xf numFmtId="37" fontId="14" fillId="2" borderId="0" xfId="15" applyNumberFormat="1" applyFont="1" applyAlignment="1">
      <alignment horizontal="left"/>
    </xf>
    <xf numFmtId="37" fontId="14" fillId="0" borderId="26" xfId="15" applyNumberFormat="1" applyFont="1" applyFill="1" applyBorder="1"/>
    <xf numFmtId="3" fontId="6" fillId="0" borderId="18" xfId="0" applyNumberFormat="1" applyFont="1" applyBorder="1"/>
    <xf numFmtId="3" fontId="6" fillId="0" borderId="7" xfId="0" applyNumberFormat="1" applyFont="1" applyBorder="1"/>
    <xf numFmtId="0" fontId="8" fillId="0" borderId="29" xfId="0" applyFont="1" applyBorder="1" applyAlignment="1">
      <alignment vertical="top" wrapText="1"/>
    </xf>
    <xf numFmtId="0" fontId="62" fillId="0" borderId="56" xfId="0" applyFont="1" applyBorder="1" applyAlignment="1">
      <alignment horizontal="left"/>
    </xf>
    <xf numFmtId="37" fontId="6" fillId="0" borderId="26" xfId="15" applyNumberFormat="1" applyFont="1" applyFill="1" applyBorder="1"/>
    <xf numFmtId="37" fontId="14" fillId="0" borderId="4" xfId="15" applyNumberFormat="1" applyFont="1" applyFill="1" applyBorder="1"/>
    <xf numFmtId="37" fontId="14" fillId="2" borderId="15" xfId="15" applyNumberFormat="1" applyFont="1" applyBorder="1" applyAlignment="1">
      <alignment horizontal="left"/>
    </xf>
    <xf numFmtId="37" fontId="14" fillId="2" borderId="2" xfId="15" applyNumberFormat="1" applyFont="1" applyBorder="1"/>
    <xf numFmtId="37" fontId="14" fillId="0" borderId="28" xfId="15" applyNumberFormat="1" applyFont="1" applyFill="1" applyBorder="1"/>
    <xf numFmtId="49" fontId="6" fillId="0" borderId="56" xfId="0" applyNumberFormat="1" applyFont="1" applyBorder="1" applyAlignment="1">
      <alignment horizontal="left"/>
    </xf>
    <xf numFmtId="37" fontId="13" fillId="0" borderId="3" xfId="15" applyNumberFormat="1" applyFont="1" applyFill="1" applyBorder="1" applyAlignment="1">
      <alignment horizontal="center" vertical="top" wrapText="1"/>
    </xf>
    <xf numFmtId="37" fontId="13" fillId="0" borderId="15" xfId="15" applyNumberFormat="1" applyFont="1" applyFill="1" applyBorder="1" applyAlignment="1">
      <alignment horizontal="center" wrapText="1"/>
    </xf>
    <xf numFmtId="37" fontId="13" fillId="0" borderId="15" xfId="15" applyNumberFormat="1" applyFont="1" applyFill="1" applyBorder="1" applyAlignment="1">
      <alignment horizontal="center"/>
    </xf>
    <xf numFmtId="37" fontId="14" fillId="2" borderId="31" xfId="15" applyNumberFormat="1" applyFont="1" applyBorder="1"/>
    <xf numFmtId="37" fontId="14" fillId="2" borderId="34" xfId="15" applyNumberFormat="1" applyFont="1" applyBorder="1"/>
    <xf numFmtId="0" fontId="6" fillId="0" borderId="16" xfId="0" applyFont="1" applyBorder="1" applyAlignment="1">
      <alignment horizontal="left"/>
    </xf>
    <xf numFmtId="3" fontId="6" fillId="2" borderId="5" xfId="15" applyNumberFormat="1" applyFont="1" applyBorder="1"/>
    <xf numFmtId="37" fontId="14" fillId="2" borderId="1" xfId="15" applyNumberFormat="1" applyFont="1" applyBorder="1" applyAlignment="1">
      <alignment horizontal="right"/>
    </xf>
    <xf numFmtId="37" fontId="14" fillId="2" borderId="39" xfId="15" applyNumberFormat="1" applyFont="1" applyBorder="1" applyAlignment="1">
      <alignment horizontal="center"/>
    </xf>
    <xf numFmtId="167" fontId="14" fillId="0" borderId="34" xfId="15" applyNumberFormat="1" applyFont="1" applyFill="1" applyBorder="1" applyAlignment="1">
      <alignment horizontal="right"/>
    </xf>
    <xf numFmtId="37" fontId="14" fillId="0" borderId="3" xfId="15" applyNumberFormat="1" applyFont="1" applyFill="1" applyBorder="1" applyAlignment="1">
      <alignment horizontal="right"/>
    </xf>
    <xf numFmtId="37" fontId="14" fillId="2" borderId="2" xfId="15" applyNumberFormat="1" applyFont="1" applyBorder="1" applyAlignment="1">
      <alignment horizontal="center"/>
    </xf>
    <xf numFmtId="37" fontId="14" fillId="2" borderId="26" xfId="15" applyNumberFormat="1" applyFont="1" applyBorder="1" applyAlignment="1">
      <alignment horizontal="center"/>
    </xf>
    <xf numFmtId="37" fontId="14" fillId="0" borderId="0" xfId="15" applyNumberFormat="1" applyFont="1" applyFill="1" applyAlignment="1">
      <alignment horizontal="right"/>
    </xf>
    <xf numFmtId="37" fontId="14" fillId="2" borderId="0" xfId="15" applyNumberFormat="1" applyFont="1" applyAlignment="1">
      <alignment horizontal="center"/>
    </xf>
    <xf numFmtId="37" fontId="14" fillId="2" borderId="38" xfId="15" applyNumberFormat="1" applyFont="1" applyBorder="1" applyAlignment="1">
      <alignment horizontal="center"/>
    </xf>
    <xf numFmtId="37" fontId="14" fillId="2" borderId="29" xfId="15" applyNumberFormat="1" applyFont="1" applyBorder="1"/>
    <xf numFmtId="0" fontId="6" fillId="2" borderId="0" xfId="15" applyFont="1" applyAlignment="1">
      <alignment horizontal="center"/>
    </xf>
    <xf numFmtId="37" fontId="14" fillId="2" borderId="29" xfId="15" applyNumberFormat="1" applyFont="1" applyBorder="1" applyAlignment="1">
      <alignment horizontal="center"/>
    </xf>
    <xf numFmtId="0" fontId="6" fillId="2" borderId="29" xfId="15" applyFont="1" applyBorder="1"/>
    <xf numFmtId="37" fontId="14" fillId="2" borderId="10" xfId="15" applyNumberFormat="1" applyFont="1" applyBorder="1" applyAlignment="1">
      <alignment horizontal="center"/>
    </xf>
    <xf numFmtId="49" fontId="14" fillId="2" borderId="0" xfId="15" applyNumberFormat="1" applyFont="1" applyAlignment="1">
      <alignment horizontal="centerContinuous"/>
    </xf>
    <xf numFmtId="167" fontId="14" fillId="2" borderId="0" xfId="15" applyNumberFormat="1" applyFont="1" applyAlignment="1">
      <alignment horizontal="right"/>
    </xf>
    <xf numFmtId="37" fontId="14" fillId="2" borderId="29" xfId="15" applyNumberFormat="1" applyFont="1" applyBorder="1" applyAlignment="1">
      <alignment horizontal="left"/>
    </xf>
    <xf numFmtId="0" fontId="6" fillId="2" borderId="0" xfId="15" applyFont="1" applyAlignment="1">
      <alignment horizontal="right"/>
    </xf>
    <xf numFmtId="0" fontId="6" fillId="2" borderId="10" xfId="15" applyFont="1" applyBorder="1" applyAlignment="1">
      <alignment horizontal="right"/>
    </xf>
    <xf numFmtId="0" fontId="6" fillId="2" borderId="34" xfId="15" applyFont="1" applyBorder="1" applyAlignment="1">
      <alignment horizontal="right"/>
    </xf>
    <xf numFmtId="0" fontId="6" fillId="2" borderId="21" xfId="15" applyFont="1" applyBorder="1" applyAlignment="1">
      <alignment horizontal="center"/>
    </xf>
    <xf numFmtId="37" fontId="14" fillId="2" borderId="51" xfId="15" applyNumberFormat="1" applyFont="1" applyBorder="1" applyAlignment="1">
      <alignment horizontal="left"/>
    </xf>
    <xf numFmtId="0" fontId="6" fillId="2" borderId="8" xfId="15" applyFont="1" applyBorder="1"/>
    <xf numFmtId="0" fontId="6" fillId="2" borderId="52" xfId="15" applyFont="1" applyBorder="1"/>
    <xf numFmtId="0" fontId="4" fillId="0" borderId="11" xfId="0" applyFont="1" applyBorder="1" applyAlignment="1">
      <alignment horizontal="centerContinuous"/>
    </xf>
    <xf numFmtId="0" fontId="10" fillId="0" borderId="0" xfId="0" applyFont="1" applyAlignment="1">
      <alignment horizontal="centerContinuous"/>
    </xf>
    <xf numFmtId="37" fontId="8" fillId="0" borderId="45" xfId="0" applyNumberFormat="1" applyFont="1" applyBorder="1" applyAlignment="1">
      <alignment vertical="center"/>
    </xf>
    <xf numFmtId="0" fontId="10" fillId="0" borderId="0" xfId="0" applyFont="1" applyAlignment="1">
      <alignment wrapText="1"/>
    </xf>
    <xf numFmtId="49" fontId="8" fillId="0" borderId="0" xfId="0" quotePrefix="1" applyNumberFormat="1" applyFont="1" applyAlignment="1">
      <alignment horizontal="right" vertical="top"/>
    </xf>
    <xf numFmtId="174" fontId="8" fillId="0" borderId="8" xfId="0" applyNumberFormat="1" applyFont="1" applyBorder="1"/>
    <xf numFmtId="0" fontId="10" fillId="0" borderId="0" xfId="0" applyFont="1" applyAlignment="1">
      <alignment vertical="center"/>
    </xf>
    <xf numFmtId="0" fontId="36" fillId="5" borderId="0" xfId="8" applyFont="1" applyFill="1" applyAlignment="1" applyProtection="1">
      <alignment vertical="top"/>
    </xf>
    <xf numFmtId="37" fontId="8" fillId="0" borderId="8" xfId="4" applyNumberFormat="1" applyFont="1" applyBorder="1" applyProtection="1"/>
    <xf numFmtId="175" fontId="8" fillId="0" borderId="0" xfId="0" applyNumberFormat="1" applyFont="1"/>
    <xf numFmtId="49" fontId="8" fillId="0" borderId="0" xfId="0" quotePrefix="1" applyNumberFormat="1" applyFont="1"/>
    <xf numFmtId="174" fontId="8" fillId="0" borderId="5" xfId="0" applyNumberFormat="1" applyFont="1" applyBorder="1"/>
    <xf numFmtId="0" fontId="8" fillId="0" borderId="0" xfId="0" quotePrefix="1" applyFont="1" applyAlignment="1">
      <alignment horizontal="right" vertical="top"/>
    </xf>
    <xf numFmtId="0" fontId="10" fillId="0" borderId="8" xfId="0" applyFont="1" applyBorder="1" applyAlignment="1">
      <alignment horizontal="center"/>
    </xf>
    <xf numFmtId="0" fontId="8" fillId="9" borderId="60" xfId="0" applyFont="1" applyFill="1" applyBorder="1"/>
    <xf numFmtId="0" fontId="8" fillId="9" borderId="61" xfId="0" applyFont="1" applyFill="1" applyBorder="1"/>
    <xf numFmtId="0" fontId="8" fillId="9" borderId="62" xfId="0" applyFont="1" applyFill="1" applyBorder="1"/>
    <xf numFmtId="0" fontId="8" fillId="9" borderId="63" xfId="0" applyFont="1" applyFill="1" applyBorder="1"/>
    <xf numFmtId="0" fontId="8" fillId="9" borderId="64" xfId="0" applyFont="1" applyFill="1" applyBorder="1"/>
    <xf numFmtId="0" fontId="8" fillId="9" borderId="65" xfId="0" applyFont="1" applyFill="1" applyBorder="1"/>
    <xf numFmtId="0" fontId="8" fillId="9" borderId="66" xfId="0" applyFont="1" applyFill="1" applyBorder="1"/>
    <xf numFmtId="49" fontId="8" fillId="0" borderId="7" xfId="0" applyNumberFormat="1" applyFont="1" applyBorder="1" applyAlignment="1">
      <alignment horizontal="center"/>
    </xf>
    <xf numFmtId="49" fontId="8" fillId="0" borderId="21" xfId="0" applyNumberFormat="1" applyFont="1" applyBorder="1" applyAlignment="1">
      <alignment horizontal="center"/>
    </xf>
    <xf numFmtId="0" fontId="8" fillId="0" borderId="7" xfId="0" applyFont="1" applyBorder="1" applyAlignment="1">
      <alignment horizontal="center"/>
    </xf>
    <xf numFmtId="0" fontId="96" fillId="0" borderId="29" xfId="0" applyFont="1" applyBorder="1"/>
    <xf numFmtId="174" fontId="8" fillId="10" borderId="7" xfId="0" applyNumberFormat="1" applyFont="1" applyFill="1" applyBorder="1" applyAlignment="1">
      <alignment horizontal="center"/>
    </xf>
    <xf numFmtId="174" fontId="8" fillId="10" borderId="21" xfId="0" applyNumberFormat="1" applyFont="1" applyFill="1" applyBorder="1" applyAlignment="1">
      <alignment horizontal="center"/>
    </xf>
    <xf numFmtId="174" fontId="8" fillId="0" borderId="7" xfId="0" applyNumberFormat="1" applyFont="1" applyBorder="1" applyAlignment="1">
      <alignment horizontal="right"/>
    </xf>
    <xf numFmtId="174" fontId="8" fillId="0" borderId="7" xfId="0" applyNumberFormat="1" applyFont="1" applyBorder="1"/>
    <xf numFmtId="174" fontId="8" fillId="0" borderId="21" xfId="0" applyNumberFormat="1" applyFont="1" applyBorder="1"/>
    <xf numFmtId="0" fontId="71" fillId="2" borderId="0" xfId="17" applyFont="1"/>
    <xf numFmtId="0" fontId="72" fillId="0" borderId="0" xfId="0" quotePrefix="1" applyFont="1"/>
    <xf numFmtId="0" fontId="73" fillId="0" borderId="0" xfId="0" applyFont="1"/>
    <xf numFmtId="174" fontId="8" fillId="10" borderId="7" xfId="0" applyNumberFormat="1" applyFont="1" applyFill="1" applyBorder="1"/>
    <xf numFmtId="0" fontId="8" fillId="0" borderId="8" xfId="0" applyFont="1" applyBorder="1" applyAlignment="1">
      <alignment vertical="top" wrapText="1"/>
    </xf>
    <xf numFmtId="0" fontId="8" fillId="0" borderId="52" xfId="0" applyFont="1" applyBorder="1" applyAlignment="1">
      <alignment vertical="top" wrapText="1"/>
    </xf>
    <xf numFmtId="0" fontId="10" fillId="0" borderId="7" xfId="0" applyFont="1" applyBorder="1" applyAlignment="1">
      <alignment horizontal="center" wrapText="1"/>
    </xf>
    <xf numFmtId="0" fontId="8" fillId="0" borderId="21" xfId="0" applyFont="1" applyBorder="1" applyAlignment="1">
      <alignment vertical="top"/>
    </xf>
    <xf numFmtId="0" fontId="8" fillId="0" borderId="5" xfId="0" applyFont="1" applyBorder="1"/>
    <xf numFmtId="166" fontId="8" fillId="0" borderId="0" xfId="0" applyNumberFormat="1" applyFont="1" applyAlignment="1">
      <alignment horizontal="right" wrapText="1"/>
    </xf>
    <xf numFmtId="0" fontId="8" fillId="3" borderId="21" xfId="0" applyFont="1" applyFill="1" applyBorder="1" applyAlignment="1">
      <alignment vertical="top"/>
    </xf>
    <xf numFmtId="0" fontId="8" fillId="3" borderId="5" xfId="0" applyFont="1" applyFill="1" applyBorder="1"/>
    <xf numFmtId="166" fontId="8" fillId="0" borderId="0" xfId="0" applyNumberFormat="1" applyFont="1" applyAlignment="1">
      <alignment horizontal="right"/>
    </xf>
    <xf numFmtId="166" fontId="8" fillId="0" borderId="0" xfId="0" applyNumberFormat="1" applyFont="1"/>
    <xf numFmtId="0" fontId="60" fillId="0" borderId="0" xfId="0" applyFont="1"/>
    <xf numFmtId="0" fontId="8" fillId="4" borderId="5" xfId="0" applyFont="1" applyFill="1" applyBorder="1"/>
    <xf numFmtId="0" fontId="64" fillId="0" borderId="8" xfId="0" applyFont="1" applyBorder="1"/>
    <xf numFmtId="0" fontId="64" fillId="4" borderId="51" xfId="0" applyFont="1" applyFill="1" applyBorder="1" applyAlignment="1">
      <alignment vertical="top"/>
    </xf>
    <xf numFmtId="0" fontId="64" fillId="4" borderId="8" xfId="0" applyFont="1" applyFill="1" applyBorder="1"/>
    <xf numFmtId="0" fontId="8" fillId="0" borderId="29" xfId="0" applyFont="1" applyBorder="1"/>
    <xf numFmtId="0" fontId="64" fillId="0" borderId="0" xfId="0" quotePrefix="1" applyFont="1"/>
    <xf numFmtId="0" fontId="64" fillId="0" borderId="51" xfId="0" applyFont="1" applyBorder="1"/>
    <xf numFmtId="174" fontId="64" fillId="0" borderId="7" xfId="0" applyNumberFormat="1" applyFont="1" applyBorder="1" applyAlignment="1">
      <alignment horizontal="right" vertical="top"/>
    </xf>
    <xf numFmtId="2" fontId="8" fillId="0" borderId="0" xfId="0" applyNumberFormat="1" applyFont="1" applyAlignment="1">
      <alignment horizontal="right"/>
    </xf>
    <xf numFmtId="2" fontId="8" fillId="0" borderId="0" xfId="0" applyNumberFormat="1" applyFont="1"/>
    <xf numFmtId="16" fontId="8" fillId="0" borderId="0" xfId="0" quotePrefix="1" applyNumberFormat="1" applyFont="1"/>
    <xf numFmtId="7" fontId="8" fillId="0" borderId="23" xfId="0" applyNumberFormat="1" applyFont="1" applyBorder="1"/>
    <xf numFmtId="0" fontId="8" fillId="3" borderId="21" xfId="0" applyFont="1" applyFill="1" applyBorder="1"/>
    <xf numFmtId="0" fontId="8" fillId="3" borderId="5" xfId="0" applyFont="1" applyFill="1" applyBorder="1" applyAlignment="1">
      <alignment horizontal="right"/>
    </xf>
    <xf numFmtId="0" fontId="8" fillId="0" borderId="21" xfId="0" applyFont="1" applyBorder="1"/>
    <xf numFmtId="0" fontId="8" fillId="0" borderId="5" xfId="0" applyFont="1" applyBorder="1" applyAlignment="1">
      <alignment horizontal="right"/>
    </xf>
    <xf numFmtId="7" fontId="8" fillId="0" borderId="7" xfId="0" applyNumberFormat="1" applyFont="1" applyBorder="1"/>
    <xf numFmtId="0" fontId="8" fillId="0" borderId="0" xfId="8" quotePrefix="1" applyFont="1" applyFill="1" applyAlignment="1" applyProtection="1">
      <alignment horizontal="left"/>
    </xf>
    <xf numFmtId="0" fontId="8" fillId="0" borderId="18" xfId="0" applyFont="1" applyBorder="1" applyAlignment="1">
      <alignment horizontal="right"/>
    </xf>
    <xf numFmtId="0" fontId="8" fillId="0" borderId="5" xfId="0" applyFont="1" applyBorder="1" applyAlignment="1">
      <alignment vertical="top"/>
    </xf>
    <xf numFmtId="39" fontId="8" fillId="0" borderId="7" xfId="0" applyNumberFormat="1" applyFont="1" applyBorder="1"/>
    <xf numFmtId="0" fontId="31" fillId="0" borderId="0" xfId="8" quotePrefix="1" applyFont="1" applyProtection="1"/>
    <xf numFmtId="0" fontId="8" fillId="0" borderId="21" xfId="0" applyFont="1" applyBorder="1" applyAlignment="1">
      <alignment horizontal="left"/>
    </xf>
    <xf numFmtId="39" fontId="8" fillId="0" borderId="5" xfId="0" applyNumberFormat="1" applyFont="1" applyBorder="1"/>
    <xf numFmtId="39" fontId="8" fillId="0" borderId="0" xfId="0" applyNumberFormat="1" applyFont="1"/>
    <xf numFmtId="0" fontId="8" fillId="3" borderId="21" xfId="0" applyFont="1" applyFill="1" applyBorder="1" applyAlignment="1">
      <alignment horizontal="left"/>
    </xf>
    <xf numFmtId="39" fontId="8" fillId="3" borderId="5" xfId="0" applyNumberFormat="1" applyFont="1" applyFill="1" applyBorder="1"/>
    <xf numFmtId="0" fontId="8" fillId="3" borderId="18" xfId="0" applyFont="1" applyFill="1" applyBorder="1" applyAlignment="1">
      <alignment horizontal="right"/>
    </xf>
    <xf numFmtId="49" fontId="8" fillId="0" borderId="21" xfId="0" applyNumberFormat="1" applyFont="1" applyBorder="1" applyAlignment="1">
      <alignment horizontal="left"/>
    </xf>
    <xf numFmtId="0" fontId="8" fillId="0" borderId="5" xfId="0" applyFont="1" applyBorder="1" applyAlignment="1">
      <alignment horizontal="left"/>
    </xf>
    <xf numFmtId="0" fontId="31" fillId="0" borderId="0" xfId="8" quotePrefix="1" applyFont="1" applyFill="1" applyProtection="1"/>
    <xf numFmtId="0" fontId="8" fillId="0" borderId="0" xfId="0" quotePrefix="1" applyFont="1" applyAlignment="1">
      <alignment vertical="top"/>
    </xf>
    <xf numFmtId="0" fontId="53" fillId="0" borderId="0" xfId="0" applyFont="1" applyBorder="1" applyAlignment="1">
      <alignment horizontal="left" vertical="center"/>
    </xf>
    <xf numFmtId="0" fontId="8" fillId="3" borderId="0" xfId="0" applyFont="1" applyFill="1" applyAlignment="1">
      <alignment horizontal="right"/>
    </xf>
    <xf numFmtId="0" fontId="8" fillId="3" borderId="35" xfId="0" applyFont="1" applyFill="1" applyBorder="1"/>
    <xf numFmtId="0" fontId="8" fillId="3" borderId="19" xfId="0" applyFont="1" applyFill="1" applyBorder="1"/>
    <xf numFmtId="0" fontId="8" fillId="3" borderId="19" xfId="0" applyFont="1" applyFill="1" applyBorder="1" applyAlignment="1">
      <alignment horizontal="right"/>
    </xf>
    <xf numFmtId="0" fontId="10" fillId="0" borderId="0" xfId="0" quotePrefix="1" applyFont="1" applyAlignment="1">
      <alignment vertical="top"/>
    </xf>
    <xf numFmtId="0" fontId="8" fillId="0" borderId="5" xfId="0" applyFont="1" applyBorder="1" applyAlignment="1">
      <alignment horizontal="left" wrapText="1"/>
    </xf>
    <xf numFmtId="0" fontId="8" fillId="3" borderId="5" xfId="0" applyFont="1" applyFill="1" applyBorder="1" applyAlignment="1">
      <alignment horizontal="left" wrapText="1"/>
    </xf>
    <xf numFmtId="0" fontId="8" fillId="0" borderId="0" xfId="0" applyFont="1" applyAlignment="1">
      <alignment horizontal="right" vertical="top"/>
    </xf>
    <xf numFmtId="39" fontId="8" fillId="0" borderId="0" xfId="0" applyNumberFormat="1" applyFont="1" applyAlignment="1">
      <alignment vertical="top"/>
    </xf>
    <xf numFmtId="49" fontId="8" fillId="0" borderId="0" xfId="0" applyNumberFormat="1" applyFont="1" applyAlignment="1">
      <alignment horizontal="right" vertical="top"/>
    </xf>
    <xf numFmtId="0" fontId="8" fillId="3" borderId="5" xfId="0" applyFont="1" applyFill="1" applyBorder="1" applyAlignment="1">
      <alignment horizontal="left"/>
    </xf>
    <xf numFmtId="166" fontId="8" fillId="0" borderId="7" xfId="0" applyNumberFormat="1" applyFont="1" applyBorder="1"/>
    <xf numFmtId="0" fontId="8" fillId="3" borderId="0" xfId="0" applyFont="1" applyFill="1" applyAlignment="1">
      <alignment horizontal="left" wrapText="1"/>
    </xf>
    <xf numFmtId="39" fontId="8" fillId="3" borderId="0" xfId="0" applyNumberFormat="1" applyFont="1" applyFill="1"/>
    <xf numFmtId="0" fontId="73" fillId="0" borderId="0" xfId="0" quotePrefix="1" applyFont="1"/>
    <xf numFmtId="49" fontId="10" fillId="0" borderId="0" xfId="0" applyNumberFormat="1" applyFont="1" applyBorder="1" applyAlignment="1">
      <alignment horizontal="center"/>
    </xf>
    <xf numFmtId="0" fontId="52" fillId="0" borderId="0" xfId="0" applyFont="1"/>
    <xf numFmtId="49" fontId="10" fillId="0" borderId="29" xfId="0" applyNumberFormat="1" applyFont="1" applyBorder="1" applyAlignment="1">
      <alignment wrapText="1"/>
    </xf>
    <xf numFmtId="0" fontId="8" fillId="0" borderId="52" xfId="0" applyFont="1" applyBorder="1"/>
    <xf numFmtId="49" fontId="10" fillId="0" borderId="52" xfId="0" applyNumberFormat="1" applyFont="1" applyBorder="1" applyAlignment="1">
      <alignment horizontal="center"/>
    </xf>
    <xf numFmtId="49" fontId="10" fillId="0" borderId="29" xfId="0" applyNumberFormat="1" applyFont="1" applyBorder="1"/>
    <xf numFmtId="49" fontId="8" fillId="0" borderId="35" xfId="0" applyNumberFormat="1" applyFont="1" applyBorder="1"/>
    <xf numFmtId="49" fontId="8" fillId="0" borderId="36" xfId="0" applyNumberFormat="1" applyFont="1" applyBorder="1"/>
    <xf numFmtId="0" fontId="8" fillId="0" borderId="23" xfId="0" applyFont="1" applyBorder="1"/>
    <xf numFmtId="49" fontId="8" fillId="0" borderId="67" xfId="0" applyNumberFormat="1" applyFont="1" applyBorder="1"/>
    <xf numFmtId="49" fontId="8" fillId="0" borderId="65" xfId="0" applyNumberFormat="1" applyFont="1" applyBorder="1"/>
    <xf numFmtId="49" fontId="8" fillId="0" borderId="68" xfId="0" applyNumberFormat="1" applyFont="1" applyBorder="1"/>
    <xf numFmtId="178" fontId="8" fillId="0" borderId="69" xfId="0" applyNumberFormat="1" applyFont="1" applyBorder="1"/>
    <xf numFmtId="0" fontId="8" fillId="0" borderId="56" xfId="0" applyFont="1" applyBorder="1" applyAlignment="1">
      <alignment horizontal="right"/>
    </xf>
    <xf numFmtId="0" fontId="8" fillId="0" borderId="56" xfId="0" applyFont="1" applyBorder="1"/>
    <xf numFmtId="188" fontId="8" fillId="0" borderId="16" xfId="0" applyNumberFormat="1" applyFont="1" applyBorder="1" applyAlignment="1">
      <alignment horizontal="right"/>
    </xf>
    <xf numFmtId="188" fontId="8" fillId="0" borderId="16" xfId="0" applyNumberFormat="1" applyFont="1" applyBorder="1"/>
    <xf numFmtId="169" fontId="8" fillId="0" borderId="0" xfId="0" applyNumberFormat="1" applyFont="1"/>
    <xf numFmtId="188" fontId="8" fillId="0" borderId="7" xfId="0" applyNumberFormat="1" applyFont="1" applyBorder="1" applyAlignment="1">
      <alignment horizontal="right"/>
    </xf>
    <xf numFmtId="188" fontId="8" fillId="0" borderId="7" xfId="0" applyNumberFormat="1" applyFont="1" applyBorder="1"/>
    <xf numFmtId="166" fontId="8" fillId="0" borderId="7" xfId="0" applyNumberFormat="1" applyFont="1" applyBorder="1" applyAlignment="1">
      <alignment horizontal="right"/>
    </xf>
    <xf numFmtId="166" fontId="8" fillId="0" borderId="16" xfId="0" applyNumberFormat="1" applyFont="1" applyBorder="1"/>
    <xf numFmtId="174" fontId="8" fillId="0" borderId="70" xfId="0" applyNumberFormat="1" applyFont="1" applyBorder="1" applyAlignment="1">
      <alignment horizontal="right"/>
    </xf>
    <xf numFmtId="174" fontId="8" fillId="0" borderId="69" xfId="0" applyNumberFormat="1" applyFont="1" applyBorder="1"/>
    <xf numFmtId="174" fontId="8" fillId="0" borderId="16" xfId="0" applyNumberFormat="1" applyFont="1" applyBorder="1" applyAlignment="1">
      <alignment horizontal="right"/>
    </xf>
    <xf numFmtId="174" fontId="8" fillId="0" borderId="16" xfId="0" applyNumberFormat="1" applyFont="1" applyBorder="1"/>
    <xf numFmtId="0" fontId="8" fillId="10" borderId="71" xfId="0" applyFont="1" applyFill="1" applyBorder="1"/>
    <xf numFmtId="0" fontId="8" fillId="10" borderId="0" xfId="0" applyFont="1" applyFill="1"/>
    <xf numFmtId="0" fontId="8" fillId="0" borderId="67" xfId="0" applyFont="1" applyBorder="1"/>
    <xf numFmtId="0" fontId="8" fillId="0" borderId="65" xfId="0" applyFont="1" applyBorder="1"/>
    <xf numFmtId="0" fontId="8" fillId="10" borderId="67" xfId="0" applyFont="1" applyFill="1" applyBorder="1"/>
    <xf numFmtId="0" fontId="8" fillId="10" borderId="65" xfId="0" applyFont="1" applyFill="1" applyBorder="1"/>
    <xf numFmtId="169" fontId="8" fillId="0" borderId="69" xfId="0" applyNumberFormat="1" applyFont="1" applyBorder="1"/>
    <xf numFmtId="0" fontId="8" fillId="10" borderId="29" xfId="0" applyFont="1" applyFill="1" applyBorder="1"/>
    <xf numFmtId="178" fontId="8" fillId="0" borderId="0" xfId="0" applyNumberFormat="1" applyFont="1"/>
    <xf numFmtId="169" fontId="8" fillId="0" borderId="0" xfId="0" applyNumberFormat="1" applyFont="1" applyAlignment="1">
      <alignment horizontal="right"/>
    </xf>
    <xf numFmtId="0" fontId="8" fillId="0" borderId="21" xfId="0" applyFont="1" applyBorder="1" applyAlignment="1">
      <alignment horizontal="right"/>
    </xf>
    <xf numFmtId="39" fontId="8" fillId="0" borderId="18" xfId="0" applyNumberFormat="1" applyFont="1" applyBorder="1"/>
    <xf numFmtId="0" fontId="7" fillId="0" borderId="0" xfId="0" applyFont="1" applyAlignment="1">
      <alignment wrapText="1"/>
    </xf>
    <xf numFmtId="0" fontId="7" fillId="0" borderId="0" xfId="0" applyFont="1" applyAlignment="1">
      <alignment horizontal="left" wrapText="1"/>
    </xf>
    <xf numFmtId="0" fontId="8" fillId="0" borderId="72" xfId="0" applyFont="1" applyBorder="1" applyAlignment="1">
      <alignment horizontal="right"/>
    </xf>
    <xf numFmtId="39" fontId="8" fillId="0" borderId="73" xfId="0" applyNumberFormat="1" applyFont="1" applyBorder="1"/>
    <xf numFmtId="174" fontId="8" fillId="0" borderId="18" xfId="0" applyNumberFormat="1" applyFont="1" applyBorder="1"/>
    <xf numFmtId="0" fontId="8" fillId="0" borderId="51" xfId="0" applyFont="1" applyBorder="1"/>
    <xf numFmtId="174" fontId="8" fillId="0" borderId="52" xfId="0" applyNumberFormat="1" applyFont="1" applyBorder="1"/>
    <xf numFmtId="39" fontId="8" fillId="0" borderId="52" xfId="0" applyNumberFormat="1" applyFont="1" applyBorder="1"/>
    <xf numFmtId="0" fontId="8" fillId="2" borderId="0" xfId="20" applyFont="1" applyAlignment="1">
      <alignment horizontal="left"/>
    </xf>
    <xf numFmtId="0" fontId="64" fillId="0" borderId="0" xfId="8" applyFont="1" applyProtection="1"/>
    <xf numFmtId="187" fontId="8" fillId="0" borderId="7" xfId="0" applyNumberFormat="1" applyFont="1" applyBorder="1"/>
    <xf numFmtId="44" fontId="8" fillId="0" borderId="7" xfId="0" applyNumberFormat="1" applyFont="1" applyBorder="1"/>
    <xf numFmtId="0" fontId="12" fillId="0" borderId="0" xfId="16" applyFont="1" applyFill="1" applyAlignment="1">
      <alignment horizontal="left" vertical="top"/>
    </xf>
    <xf numFmtId="0" fontId="12" fillId="0" borderId="0" xfId="19" applyFont="1" applyFill="1" applyAlignment="1">
      <alignment horizontal="left" vertical="center"/>
    </xf>
    <xf numFmtId="0" fontId="8" fillId="0" borderId="0" xfId="19" applyFont="1" applyFill="1" applyAlignment="1">
      <alignment horizontal="left" vertical="center"/>
    </xf>
    <xf numFmtId="0" fontId="15" fillId="0" borderId="0" xfId="0" applyFont="1" applyAlignment="1">
      <alignment horizontal="right"/>
    </xf>
    <xf numFmtId="49" fontId="7" fillId="0" borderId="0" xfId="0" applyNumberFormat="1" applyFont="1"/>
    <xf numFmtId="0" fontId="3" fillId="0" borderId="65" xfId="0" applyFont="1" applyBorder="1"/>
    <xf numFmtId="0" fontId="6" fillId="0" borderId="65" xfId="0" applyFont="1" applyBorder="1" applyAlignment="1">
      <alignment horizontal="right"/>
    </xf>
    <xf numFmtId="0" fontId="6" fillId="0" borderId="65" xfId="0" applyFont="1" applyBorder="1"/>
    <xf numFmtId="0" fontId="15" fillId="0" borderId="65" xfId="0" applyFont="1" applyBorder="1" applyAlignment="1">
      <alignment horizontal="right"/>
    </xf>
    <xf numFmtId="0" fontId="15" fillId="0" borderId="0" xfId="0" applyFont="1" applyAlignment="1">
      <alignment horizontal="center" vertical="center" wrapText="1"/>
    </xf>
    <xf numFmtId="0" fontId="15" fillId="0" borderId="0" xfId="0" applyFont="1" applyAlignment="1">
      <alignment horizontal="center" wrapText="1"/>
    </xf>
    <xf numFmtId="0" fontId="6" fillId="0" borderId="0" xfId="0" applyFont="1" applyBorder="1" applyAlignment="1">
      <alignment horizontal="center" vertical="center" wrapText="1"/>
    </xf>
    <xf numFmtId="174" fontId="6" fillId="0" borderId="0" xfId="0" applyNumberFormat="1" applyFont="1" applyAlignment="1">
      <alignment horizontal="right" vertical="center"/>
    </xf>
    <xf numFmtId="174" fontId="6" fillId="0" borderId="0" xfId="0" applyNumberFormat="1" applyFont="1" applyAlignment="1">
      <alignment horizontal="right"/>
    </xf>
    <xf numFmtId="174" fontId="6" fillId="0" borderId="0" xfId="0" applyNumberFormat="1" applyFont="1" applyAlignment="1">
      <alignment horizontal="center"/>
    </xf>
    <xf numFmtId="174" fontId="6" fillId="0" borderId="0" xfId="0" applyNumberFormat="1" applyFont="1" applyBorder="1" applyAlignment="1">
      <alignment horizontal="right" vertical="center"/>
    </xf>
    <xf numFmtId="174" fontId="6" fillId="0" borderId="0" xfId="0" applyNumberFormat="1" applyFont="1" applyBorder="1" applyAlignment="1">
      <alignment horizontal="right"/>
    </xf>
    <xf numFmtId="174" fontId="15" fillId="0" borderId="0" xfId="0" applyNumberFormat="1" applyFont="1" applyBorder="1" applyAlignment="1">
      <alignment horizontal="right" vertical="center"/>
    </xf>
    <xf numFmtId="174" fontId="15" fillId="0" borderId="0" xfId="0" applyNumberFormat="1" applyFont="1" applyAlignment="1">
      <alignment horizontal="right"/>
    </xf>
    <xf numFmtId="0" fontId="15" fillId="0" borderId="0" xfId="0" applyFont="1" applyBorder="1"/>
    <xf numFmtId="174" fontId="15"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10" fillId="0" borderId="65" xfId="0" applyFont="1" applyBorder="1"/>
    <xf numFmtId="175" fontId="8" fillId="0" borderId="65" xfId="0" applyNumberFormat="1" applyFont="1" applyBorder="1" applyAlignment="1">
      <alignment horizontal="right"/>
    </xf>
    <xf numFmtId="175" fontId="10" fillId="0" borderId="65" xfId="0" applyNumberFormat="1" applyFont="1" applyBorder="1" applyAlignment="1">
      <alignment horizontal="right"/>
    </xf>
    <xf numFmtId="0" fontId="71" fillId="0" borderId="65" xfId="0" applyFont="1" applyBorder="1"/>
    <xf numFmtId="0" fontId="71" fillId="0" borderId="0" xfId="0" applyFont="1"/>
    <xf numFmtId="173" fontId="71" fillId="0" borderId="0" xfId="0" applyNumberFormat="1" applyFont="1" applyBorder="1"/>
    <xf numFmtId="0" fontId="15"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5" fillId="0" borderId="0" xfId="0" applyFont="1" applyBorder="1" applyAlignment="1">
      <alignment vertical="top" wrapText="1"/>
    </xf>
    <xf numFmtId="175" fontId="77" fillId="0" borderId="0" xfId="0" applyNumberFormat="1" applyFont="1" applyAlignment="1">
      <alignment horizontal="right"/>
    </xf>
    <xf numFmtId="174" fontId="15" fillId="0" borderId="0" xfId="0" applyNumberFormat="1" applyFont="1" applyBorder="1" applyAlignment="1">
      <alignment horizontal="right" vertical="top" wrapText="1"/>
    </xf>
    <xf numFmtId="175" fontId="15" fillId="0" borderId="0" xfId="0" applyNumberFormat="1" applyFont="1" applyAlignment="1">
      <alignment horizontal="right"/>
    </xf>
    <xf numFmtId="175" fontId="15" fillId="0" borderId="0" xfId="0" applyNumberFormat="1" applyFont="1" applyBorder="1" applyAlignment="1">
      <alignment horizontal="right" vertical="top" wrapText="1"/>
    </xf>
    <xf numFmtId="174" fontId="77" fillId="0" borderId="0" xfId="0" applyNumberFormat="1" applyFont="1" applyAlignment="1">
      <alignment horizontal="right"/>
    </xf>
    <xf numFmtId="0" fontId="10" fillId="0" borderId="0" xfId="0" applyFont="1" applyBorder="1" applyAlignment="1">
      <alignment horizontal="right"/>
    </xf>
    <xf numFmtId="0" fontId="58" fillId="0" borderId="0" xfId="0" applyFont="1" applyBorder="1" applyAlignment="1">
      <alignment vertical="top"/>
    </xf>
    <xf numFmtId="0" fontId="10" fillId="0" borderId="0" xfId="0" applyFont="1" applyBorder="1"/>
    <xf numFmtId="0" fontId="6" fillId="0" borderId="0" xfId="0" applyFont="1" applyBorder="1" applyAlignment="1">
      <alignment horizontal="center" vertical="top" wrapText="1"/>
    </xf>
    <xf numFmtId="174" fontId="6" fillId="0" borderId="0" xfId="0" applyNumberFormat="1" applyFont="1" applyBorder="1" applyAlignment="1">
      <alignment horizontal="right" wrapText="1"/>
    </xf>
    <xf numFmtId="175" fontId="6" fillId="0" borderId="0" xfId="0" applyNumberFormat="1" applyFont="1" applyBorder="1" applyAlignment="1">
      <alignment horizontal="right" vertical="top" wrapText="1"/>
    </xf>
    <xf numFmtId="0" fontId="8" fillId="0" borderId="0" xfId="0" applyFont="1" applyBorder="1" applyAlignment="1">
      <alignment vertical="top" wrapText="1"/>
    </xf>
    <xf numFmtId="174" fontId="6" fillId="0" borderId="0" xfId="0" applyNumberFormat="1" applyFont="1" applyAlignment="1">
      <alignment horizontal="right" wrapText="1"/>
    </xf>
    <xf numFmtId="0" fontId="6" fillId="0" borderId="0" xfId="0" applyFont="1" applyBorder="1" applyAlignment="1">
      <alignment vertical="top" wrapText="1"/>
    </xf>
    <xf numFmtId="174" fontId="6" fillId="0" borderId="0" xfId="0" applyNumberFormat="1" applyFont="1" applyBorder="1" applyAlignment="1">
      <alignment horizontal="right" vertical="top" wrapText="1"/>
    </xf>
    <xf numFmtId="0" fontId="6" fillId="0" borderId="65" xfId="0" applyFont="1" applyBorder="1" applyAlignment="1">
      <alignment vertical="top" wrapText="1"/>
    </xf>
    <xf numFmtId="0" fontId="6" fillId="0" borderId="65" xfId="0" applyFont="1" applyBorder="1" applyAlignment="1">
      <alignment horizontal="center" vertical="top" wrapText="1"/>
    </xf>
    <xf numFmtId="174" fontId="6" fillId="0" borderId="65" xfId="0" applyNumberFormat="1" applyFont="1" applyBorder="1" applyAlignment="1">
      <alignment horizontal="right" wrapText="1"/>
    </xf>
    <xf numFmtId="174" fontId="6" fillId="0" borderId="65" xfId="0" applyNumberFormat="1" applyFont="1" applyBorder="1" applyAlignment="1">
      <alignment horizontal="right" vertical="top" wrapText="1"/>
    </xf>
    <xf numFmtId="0" fontId="8" fillId="0" borderId="65" xfId="0" applyFont="1" applyBorder="1" applyAlignment="1">
      <alignment vertical="top" wrapText="1"/>
    </xf>
    <xf numFmtId="0" fontId="61" fillId="0" borderId="65" xfId="0" applyFont="1" applyBorder="1"/>
    <xf numFmtId="0" fontId="61" fillId="0" borderId="0" xfId="0" applyFont="1" applyBorder="1"/>
    <xf numFmtId="0" fontId="77" fillId="0" borderId="0" xfId="0" applyFont="1" applyBorder="1"/>
    <xf numFmtId="0" fontId="62" fillId="0" borderId="0" xfId="0" applyFont="1"/>
    <xf numFmtId="185" fontId="15" fillId="0" borderId="0" xfId="4" applyNumberFormat="1" applyFont="1" applyFill="1" applyBorder="1" applyAlignment="1" applyProtection="1">
      <alignment horizontal="right"/>
    </xf>
    <xf numFmtId="44" fontId="6" fillId="0" borderId="0" xfId="2" applyFont="1" applyFill="1" applyAlignment="1" applyProtection="1">
      <alignment horizontal="right"/>
    </xf>
    <xf numFmtId="181" fontId="15" fillId="0" borderId="65" xfId="2" applyNumberFormat="1" applyFont="1" applyFill="1" applyBorder="1" applyAlignment="1" applyProtection="1">
      <alignment horizontal="right"/>
    </xf>
    <xf numFmtId="43" fontId="8" fillId="0" borderId="0" xfId="0" applyNumberFormat="1" applyFont="1"/>
    <xf numFmtId="181" fontId="15" fillId="0" borderId="0" xfId="0" applyNumberFormat="1" applyFont="1" applyAlignment="1">
      <alignment horizontal="right"/>
    </xf>
    <xf numFmtId="174" fontId="15" fillId="0" borderId="65" xfId="0" applyNumberFormat="1" applyFont="1" applyBorder="1" applyAlignment="1">
      <alignment horizontal="right"/>
    </xf>
    <xf numFmtId="0" fontId="51" fillId="0" borderId="0" xfId="0" applyFont="1" applyAlignment="1">
      <alignment vertical="center"/>
    </xf>
    <xf numFmtId="0" fontId="15" fillId="0" borderId="0" xfId="0" applyFont="1" applyAlignment="1">
      <alignment wrapText="1"/>
    </xf>
    <xf numFmtId="173" fontId="15" fillId="0" borderId="0" xfId="0" applyNumberFormat="1" applyFont="1" applyAlignment="1">
      <alignment horizontal="right"/>
    </xf>
    <xf numFmtId="184" fontId="6" fillId="0" borderId="0" xfId="0" applyNumberFormat="1" applyFont="1" applyAlignment="1">
      <alignment horizontal="right"/>
    </xf>
    <xf numFmtId="0" fontId="15" fillId="0" borderId="0" xfId="0" applyFont="1" applyBorder="1" applyAlignment="1">
      <alignment horizontal="left" vertical="top" wrapText="1"/>
    </xf>
    <xf numFmtId="0" fontId="15" fillId="0" borderId="0" xfId="0" applyFont="1" applyBorder="1" applyAlignment="1">
      <alignment horizontal="left" wrapText="1"/>
    </xf>
    <xf numFmtId="0" fontId="15" fillId="0" borderId="0" xfId="0" applyFont="1" applyBorder="1" applyAlignment="1">
      <alignment horizontal="right" wrapText="1"/>
    </xf>
    <xf numFmtId="7" fontId="15" fillId="0" borderId="0" xfId="0" applyNumberFormat="1" applyFont="1" applyBorder="1" applyAlignment="1">
      <alignment horizontal="center" wrapText="1"/>
    </xf>
    <xf numFmtId="0" fontId="6" fillId="0" borderId="0" xfId="0" applyFont="1" applyBorder="1" applyAlignment="1">
      <alignment horizontal="right" wrapText="1"/>
    </xf>
    <xf numFmtId="0" fontId="10" fillId="0" borderId="0" xfId="0" applyFont="1" applyBorder="1" applyAlignment="1">
      <alignment horizontal="left" wrapText="1"/>
    </xf>
    <xf numFmtId="181" fontId="15" fillId="0" borderId="0" xfId="0" applyNumberFormat="1" applyFont="1" applyAlignment="1">
      <alignment horizontal="center"/>
    </xf>
    <xf numFmtId="7" fontId="15" fillId="0" borderId="0" xfId="0" applyNumberFormat="1" applyFont="1" applyAlignment="1">
      <alignment horizontal="right" wrapText="1"/>
    </xf>
    <xf numFmtId="0" fontId="8" fillId="0" borderId="0" xfId="0" applyFont="1" applyBorder="1" applyAlignment="1">
      <alignment wrapText="1"/>
    </xf>
    <xf numFmtId="0" fontId="15" fillId="0" borderId="0" xfId="0" applyFont="1" applyBorder="1" applyAlignment="1">
      <alignment wrapText="1"/>
    </xf>
    <xf numFmtId="181" fontId="15" fillId="0" borderId="0" xfId="0" applyNumberFormat="1" applyFont="1" applyBorder="1" applyAlignment="1">
      <alignment horizontal="right" wrapText="1"/>
    </xf>
    <xf numFmtId="0" fontId="10" fillId="0" borderId="0" xfId="0" applyFont="1" applyBorder="1" applyAlignment="1">
      <alignment wrapText="1"/>
    </xf>
    <xf numFmtId="0" fontId="6" fillId="0" borderId="61" xfId="0" applyFont="1" applyBorder="1"/>
    <xf numFmtId="0" fontId="6" fillId="0" borderId="74" xfId="0" applyFont="1" applyBorder="1"/>
    <xf numFmtId="0" fontId="87"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6" fillId="0" borderId="75" xfId="0" applyFont="1" applyBorder="1"/>
    <xf numFmtId="0" fontId="58" fillId="0" borderId="62" xfId="0" applyFont="1" applyBorder="1" applyAlignment="1">
      <alignment horizontal="left"/>
    </xf>
    <xf numFmtId="7" fontId="6" fillId="0" borderId="0" xfId="0" applyNumberFormat="1" applyFont="1" applyAlignment="1">
      <alignment horizontal="right" wrapText="1"/>
    </xf>
    <xf numFmtId="0" fontId="6" fillId="0" borderId="0" xfId="0" applyFont="1" applyAlignment="1">
      <alignment vertical="center"/>
    </xf>
    <xf numFmtId="0" fontId="6" fillId="0" borderId="75" xfId="0" applyFont="1" applyBorder="1" applyAlignment="1">
      <alignment horizontal="right"/>
    </xf>
    <xf numFmtId="181" fontId="6" fillId="0" borderId="0" xfId="2" applyNumberFormat="1" applyFont="1" applyAlignment="1" applyProtection="1">
      <alignment horizontal="right" wrapText="1"/>
    </xf>
    <xf numFmtId="39" fontId="6" fillId="0" borderId="75" xfId="0" applyNumberFormat="1" applyFont="1" applyBorder="1" applyAlignment="1">
      <alignment horizontal="right" wrapText="1"/>
    </xf>
    <xf numFmtId="181" fontId="6" fillId="0" borderId="65" xfId="2" applyNumberFormat="1" applyFont="1" applyBorder="1" applyAlignment="1" applyProtection="1">
      <alignment horizontal="right" wrapText="1"/>
    </xf>
    <xf numFmtId="174" fontId="6" fillId="0" borderId="75" xfId="0" applyNumberFormat="1" applyFont="1" applyBorder="1" applyAlignment="1">
      <alignment horizontal="right" wrapText="1"/>
    </xf>
    <xf numFmtId="7" fontId="15" fillId="0" borderId="0" xfId="0" applyNumberFormat="1" applyFont="1" applyBorder="1" applyAlignment="1">
      <alignment horizontal="right" wrapText="1"/>
    </xf>
    <xf numFmtId="0" fontId="87" fillId="0" borderId="0" xfId="0" applyFont="1" applyBorder="1"/>
    <xf numFmtId="2" fontId="6" fillId="0" borderId="0" xfId="0" applyNumberFormat="1" applyFont="1"/>
    <xf numFmtId="39" fontId="62" fillId="0" borderId="75" xfId="0" applyNumberFormat="1" applyFont="1" applyBorder="1" applyAlignment="1">
      <alignment horizontal="right" wrapText="1"/>
    </xf>
    <xf numFmtId="0" fontId="87" fillId="0" borderId="65" xfId="0" applyFont="1" applyBorder="1"/>
    <xf numFmtId="181" fontId="6" fillId="0" borderId="75" xfId="2" applyNumberFormat="1" applyFont="1" applyBorder="1" applyAlignment="1" applyProtection="1">
      <alignment horizontal="right" wrapText="1"/>
    </xf>
    <xf numFmtId="0" fontId="6" fillId="0" borderId="66" xfId="0" applyFont="1" applyBorder="1" applyAlignment="1">
      <alignment horizontal="right" wrapText="1"/>
    </xf>
    <xf numFmtId="0" fontId="59" fillId="5" borderId="0" xfId="8" applyFont="1" applyFill="1" applyAlignment="1" applyProtection="1">
      <alignment horizontal="left" vertical="center"/>
    </xf>
    <xf numFmtId="39" fontId="6" fillId="0" borderId="66" xfId="0" applyNumberFormat="1" applyFont="1" applyBorder="1" applyAlignment="1">
      <alignment horizontal="right" wrapText="1"/>
    </xf>
    <xf numFmtId="0" fontId="6" fillId="0" borderId="0" xfId="0" applyFont="1" applyAlignment="1">
      <alignment horizontal="left" vertical="center"/>
    </xf>
    <xf numFmtId="0" fontId="15" fillId="11" borderId="76" xfId="0" applyFont="1" applyFill="1" applyBorder="1" applyAlignment="1">
      <alignment horizontal="left"/>
    </xf>
    <xf numFmtId="0" fontId="15" fillId="11" borderId="77" xfId="0" applyFont="1" applyFill="1" applyBorder="1" applyAlignment="1">
      <alignment horizontal="left"/>
    </xf>
    <xf numFmtId="181" fontId="15" fillId="11" borderId="77" xfId="2" applyNumberFormat="1" applyFont="1" applyFill="1" applyBorder="1" applyAlignment="1" applyProtection="1">
      <alignment horizontal="right"/>
    </xf>
    <xf numFmtId="0" fontId="6" fillId="0" borderId="75" xfId="0" applyFont="1" applyBorder="1" applyAlignment="1">
      <alignment horizontal="right" wrapText="1"/>
    </xf>
    <xf numFmtId="7" fontId="6" fillId="0" borderId="0" xfId="0" applyNumberFormat="1" applyFont="1" applyAlignment="1">
      <alignment horizontal="right"/>
    </xf>
    <xf numFmtId="7" fontId="6" fillId="0" borderId="75" xfId="0" applyNumberFormat="1" applyFont="1" applyBorder="1" applyAlignment="1">
      <alignment horizontal="right" wrapText="1"/>
    </xf>
    <xf numFmtId="0" fontId="6" fillId="0" borderId="62" xfId="0" applyFont="1" applyBorder="1"/>
    <xf numFmtId="0" fontId="77" fillId="0" borderId="65" xfId="0" applyFont="1" applyBorder="1"/>
    <xf numFmtId="37" fontId="6" fillId="0" borderId="66" xfId="0" applyNumberFormat="1" applyFont="1" applyBorder="1" applyAlignment="1">
      <alignment horizontal="right"/>
    </xf>
    <xf numFmtId="0" fontId="6" fillId="0" borderId="61" xfId="0" applyFont="1" applyBorder="1" applyAlignment="1">
      <alignment horizontal="right"/>
    </xf>
    <xf numFmtId="181" fontId="6" fillId="0" borderId="75" xfId="0" applyNumberFormat="1" applyFont="1" applyBorder="1" applyAlignment="1">
      <alignment horizontal="right"/>
    </xf>
    <xf numFmtId="0" fontId="29" fillId="0" borderId="0" xfId="0" applyFont="1"/>
    <xf numFmtId="181" fontId="6" fillId="0" borderId="0" xfId="0" applyNumberFormat="1" applyFont="1" applyAlignment="1">
      <alignment horizontal="right"/>
    </xf>
    <xf numFmtId="181" fontId="6" fillId="0" borderId="65" xfId="0" applyNumberFormat="1" applyFont="1" applyBorder="1" applyAlignment="1">
      <alignment horizontal="right"/>
    </xf>
    <xf numFmtId="181" fontId="6" fillId="0" borderId="76" xfId="0" applyNumberFormat="1" applyFont="1" applyBorder="1" applyAlignment="1">
      <alignment horizontal="right"/>
    </xf>
    <xf numFmtId="181" fontId="15" fillId="0" borderId="0" xfId="0" applyNumberFormat="1" applyFont="1" applyBorder="1" applyAlignment="1">
      <alignment horizontal="right"/>
    </xf>
    <xf numFmtId="0" fontId="58" fillId="0" borderId="0" xfId="0" applyFont="1" applyAlignment="1">
      <alignment vertical="top"/>
    </xf>
    <xf numFmtId="0" fontId="6" fillId="0" borderId="0" xfId="0" applyFont="1" applyAlignment="1">
      <alignment vertical="top"/>
    </xf>
    <xf numFmtId="0" fontId="58" fillId="0" borderId="0" xfId="0" applyFont="1" applyBorder="1" applyAlignment="1">
      <alignment horizontal="center" vertical="center"/>
    </xf>
    <xf numFmtId="0" fontId="6"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6" fillId="0" borderId="0" xfId="0" applyNumberFormat="1" applyFont="1" applyBorder="1"/>
    <xf numFmtId="173" fontId="6" fillId="0" borderId="0" xfId="0" applyNumberFormat="1" applyFont="1"/>
    <xf numFmtId="173" fontId="6" fillId="0" borderId="0" xfId="0" applyNumberFormat="1" applyFont="1" applyBorder="1" applyAlignment="1">
      <alignment wrapText="1"/>
    </xf>
    <xf numFmtId="0" fontId="87" fillId="0" borderId="0" xfId="0" applyFont="1" applyAlignment="1">
      <alignment horizontal="right"/>
    </xf>
    <xf numFmtId="181" fontId="6" fillId="0" borderId="65" xfId="2" applyNumberFormat="1" applyFont="1" applyFill="1" applyBorder="1" applyAlignment="1" applyProtection="1">
      <alignment horizontal="right"/>
    </xf>
    <xf numFmtId="181" fontId="6" fillId="0" borderId="65" xfId="2" applyNumberFormat="1" applyFont="1" applyFill="1" applyBorder="1" applyAlignment="1" applyProtection="1">
      <alignment horizontal="right" wrapText="1"/>
    </xf>
    <xf numFmtId="2" fontId="6" fillId="0" borderId="0" xfId="0" applyNumberFormat="1" applyFont="1" applyBorder="1" applyAlignment="1">
      <alignment wrapText="1"/>
    </xf>
    <xf numFmtId="0" fontId="87" fillId="0" borderId="65" xfId="0" applyFont="1" applyBorder="1" applyAlignment="1">
      <alignment horizontal="right"/>
    </xf>
    <xf numFmtId="181" fontId="6" fillId="0" borderId="0" xfId="2" applyNumberFormat="1" applyFont="1" applyBorder="1" applyAlignment="1" applyProtection="1">
      <alignment horizontal="right"/>
    </xf>
    <xf numFmtId="2" fontId="6" fillId="0" borderId="0" xfId="0" applyNumberFormat="1" applyFont="1" applyBorder="1"/>
    <xf numFmtId="181" fontId="15" fillId="0" borderId="0" xfId="2" applyNumberFormat="1" applyFont="1" applyAlignment="1" applyProtection="1">
      <alignment horizontal="right"/>
    </xf>
    <xf numFmtId="0" fontId="51" fillId="0" borderId="0" xfId="0" applyFont="1" applyAlignment="1">
      <alignment vertical="top"/>
    </xf>
    <xf numFmtId="174" fontId="6" fillId="0" borderId="65" xfId="0" applyNumberFormat="1" applyFont="1" applyBorder="1" applyAlignment="1">
      <alignment horizontal="right"/>
    </xf>
    <xf numFmtId="187" fontId="6" fillId="0" borderId="65" xfId="0" applyNumberFormat="1" applyFont="1" applyBorder="1" applyAlignment="1">
      <alignment horizontal="right"/>
    </xf>
    <xf numFmtId="0" fontId="6" fillId="0" borderId="0" xfId="0" applyFont="1" applyAlignment="1">
      <alignment vertical="center" wrapText="1"/>
    </xf>
    <xf numFmtId="0" fontId="15" fillId="0" borderId="65" xfId="0" applyFont="1" applyBorder="1" applyAlignment="1">
      <alignment vertical="center"/>
    </xf>
    <xf numFmtId="181" fontId="6" fillId="0" borderId="0" xfId="2" applyNumberFormat="1" applyFont="1" applyFill="1" applyBorder="1" applyAlignment="1" applyProtection="1">
      <alignment horizontal="right"/>
    </xf>
    <xf numFmtId="181" fontId="87" fillId="0" borderId="0" xfId="0" applyNumberFormat="1" applyFont="1" applyAlignment="1">
      <alignment horizontal="right"/>
    </xf>
    <xf numFmtId="0" fontId="15" fillId="0" borderId="65" xfId="0" applyFont="1" applyBorder="1" applyAlignment="1">
      <alignment horizontal="center"/>
    </xf>
    <xf numFmtId="181" fontId="6" fillId="0" borderId="0" xfId="0" applyNumberFormat="1" applyFont="1"/>
    <xf numFmtId="181" fontId="74" fillId="0" borderId="0" xfId="0" applyNumberFormat="1" applyFont="1" applyAlignment="1">
      <alignment horizontal="right"/>
    </xf>
    <xf numFmtId="181" fontId="15" fillId="0" borderId="65" xfId="2" applyNumberFormat="1" applyFont="1" applyBorder="1" applyAlignment="1" applyProtection="1">
      <alignment horizontal="right"/>
    </xf>
    <xf numFmtId="0" fontId="61" fillId="6" borderId="0" xfId="0" applyFont="1" applyFill="1"/>
    <xf numFmtId="0" fontId="58" fillId="0" borderId="0" xfId="0" applyFont="1"/>
    <xf numFmtId="0" fontId="15" fillId="0" borderId="65" xfId="0" applyFont="1" applyBorder="1"/>
    <xf numFmtId="186" fontId="6" fillId="0" borderId="0" xfId="1" applyNumberFormat="1" applyFont="1" applyAlignment="1" applyProtection="1">
      <alignment horizontal="right"/>
    </xf>
    <xf numFmtId="7" fontId="6" fillId="0" borderId="0" xfId="0" applyNumberFormat="1" applyFont="1" applyBorder="1" applyAlignment="1">
      <alignment horizontal="right"/>
    </xf>
    <xf numFmtId="0" fontId="6" fillId="0" borderId="0" xfId="0" applyFont="1" applyBorder="1" applyAlignment="1">
      <alignment horizontal="center"/>
    </xf>
    <xf numFmtId="181" fontId="6" fillId="0" borderId="0" xfId="2" applyNumberFormat="1" applyFont="1" applyFill="1" applyProtection="1"/>
    <xf numFmtId="175" fontId="6" fillId="0" borderId="65" xfId="0" applyNumberFormat="1" applyFont="1" applyBorder="1" applyAlignment="1">
      <alignment horizontal="right"/>
    </xf>
    <xf numFmtId="181" fontId="15" fillId="0" borderId="65" xfId="0" applyNumberFormat="1" applyFont="1" applyBorder="1"/>
    <xf numFmtId="0" fontId="40" fillId="0" borderId="7" xfId="0" applyFont="1" applyBorder="1" applyAlignment="1">
      <alignment horizontal="center" wrapText="1"/>
    </xf>
    <xf numFmtId="0" fontId="40" fillId="0" borderId="7" xfId="0" applyFont="1" applyBorder="1" applyAlignment="1">
      <alignment horizontal="left" wrapText="1"/>
    </xf>
    <xf numFmtId="0" fontId="3" fillId="0" borderId="0" xfId="0" applyFont="1" applyAlignment="1">
      <alignment vertical="top" wrapText="1"/>
    </xf>
    <xf numFmtId="0" fontId="39" fillId="0" borderId="7" xfId="0" applyFont="1" applyBorder="1" applyAlignment="1">
      <alignment horizontal="justify" vertical="top" wrapText="1"/>
    </xf>
    <xf numFmtId="0" fontId="50" fillId="0" borderId="23" xfId="0" applyFont="1" applyBorder="1" applyAlignment="1">
      <alignment vertical="top" wrapText="1"/>
    </xf>
    <xf numFmtId="0" fontId="41" fillId="0" borderId="7" xfId="8" applyFont="1" applyFill="1" applyBorder="1" applyAlignment="1" applyProtection="1">
      <alignment horizontal="justify" vertical="top" wrapText="1"/>
    </xf>
    <xf numFmtId="0" fontId="39" fillId="0" borderId="7" xfId="0" applyFont="1" applyBorder="1" applyAlignment="1">
      <alignment vertical="top" wrapText="1"/>
    </xf>
    <xf numFmtId="0" fontId="39" fillId="0" borderId="7" xfId="0" applyFont="1" applyBorder="1" applyAlignment="1">
      <alignment horizontal="center" vertical="top" wrapText="1"/>
    </xf>
    <xf numFmtId="0" fontId="39" fillId="0" borderId="7" xfId="0" applyFont="1" applyBorder="1" applyAlignment="1">
      <alignment horizontal="center" vertical="center" wrapText="1"/>
    </xf>
    <xf numFmtId="0" fontId="41" fillId="0" borderId="7" xfId="8" applyFont="1" applyBorder="1" applyAlignment="1" applyProtection="1">
      <alignment horizontal="justify" vertical="top" wrapText="1"/>
    </xf>
    <xf numFmtId="0" fontId="39" fillId="0" borderId="23" xfId="0" applyFont="1" applyBorder="1" applyAlignment="1">
      <alignment horizontal="justify" vertical="top" wrapText="1"/>
    </xf>
    <xf numFmtId="0" fontId="50" fillId="0" borderId="7" xfId="0" applyFont="1" applyBorder="1" applyAlignment="1">
      <alignment vertical="top" wrapText="1"/>
    </xf>
    <xf numFmtId="0" fontId="39" fillId="0" borderId="7" xfId="0" applyFont="1" applyBorder="1" applyAlignment="1">
      <alignment horizontal="justify" vertical="top"/>
    </xf>
    <xf numFmtId="49" fontId="39" fillId="6" borderId="7" xfId="0" applyNumberFormat="1" applyFont="1" applyFill="1" applyBorder="1" applyAlignment="1">
      <alignment horizontal="justify" vertical="top" wrapText="1"/>
    </xf>
    <xf numFmtId="0" fontId="41" fillId="0" borderId="7" xfId="8" applyFont="1" applyFill="1" applyBorder="1" applyAlignment="1" applyProtection="1">
      <alignment vertical="top" wrapText="1"/>
    </xf>
    <xf numFmtId="0" fontId="41" fillId="6" borderId="7" xfId="8" applyFont="1" applyFill="1" applyBorder="1" applyAlignment="1" applyProtection="1">
      <alignment horizontal="justify" vertical="top" wrapText="1"/>
    </xf>
    <xf numFmtId="0" fontId="39" fillId="0" borderId="0" xfId="0" applyFont="1" applyAlignment="1">
      <alignment horizontal="center" vertical="top" wrapText="1"/>
    </xf>
    <xf numFmtId="0" fontId="39" fillId="0" borderId="23" xfId="0" applyFont="1" applyBorder="1" applyAlignment="1">
      <alignment vertical="center" wrapText="1"/>
    </xf>
    <xf numFmtId="0" fontId="39" fillId="0" borderId="5" xfId="0" applyFont="1" applyBorder="1" applyAlignment="1">
      <alignment vertical="top" wrapText="1"/>
    </xf>
    <xf numFmtId="0" fontId="39" fillId="0" borderId="5" xfId="0" applyFont="1" applyBorder="1" applyAlignment="1">
      <alignment horizontal="justify" vertical="top" wrapText="1"/>
    </xf>
    <xf numFmtId="0" fontId="3" fillId="0" borderId="7" xfId="0" applyFont="1" applyBorder="1" applyAlignment="1">
      <alignment vertical="top" wrapText="1"/>
    </xf>
    <xf numFmtId="0" fontId="41" fillId="2" borderId="0" xfId="8" applyFont="1" applyFill="1" applyAlignment="1" applyProtection="1">
      <alignment vertical="center" wrapText="1"/>
    </xf>
    <xf numFmtId="0" fontId="39" fillId="2" borderId="7" xfId="8" applyFont="1" applyFill="1" applyBorder="1" applyAlignment="1" applyProtection="1">
      <alignment vertical="top" wrapText="1"/>
    </xf>
    <xf numFmtId="0" fontId="41" fillId="0" borderId="7" xfId="8" applyFont="1" applyBorder="1" applyAlignment="1" applyProtection="1">
      <alignment vertical="center" wrapText="1"/>
    </xf>
    <xf numFmtId="0" fontId="41" fillId="0" borderId="5" xfId="8" applyFont="1" applyBorder="1" applyAlignment="1" applyProtection="1">
      <alignment vertical="top" wrapText="1"/>
    </xf>
    <xf numFmtId="0" fontId="39" fillId="0" borderId="0" xfId="0" applyFont="1" applyAlignment="1">
      <alignment vertical="top" wrapText="1"/>
    </xf>
    <xf numFmtId="0" fontId="39" fillId="0" borderId="0" xfId="0" applyFont="1" applyAlignment="1">
      <alignment horizontal="center" vertical="center" wrapText="1"/>
    </xf>
    <xf numFmtId="176" fontId="10" fillId="0" borderId="8" xfId="0" applyNumberFormat="1" applyFont="1" applyBorder="1" applyAlignment="1" applyProtection="1">
      <alignment horizontal="right" wrapText="1"/>
      <protection locked="0"/>
    </xf>
    <xf numFmtId="0" fontId="64" fillId="4" borderId="21" xfId="0" applyFont="1" applyFill="1" applyBorder="1" applyAlignment="1">
      <alignment horizontal="left"/>
    </xf>
    <xf numFmtId="0" fontId="8" fillId="4" borderId="5" xfId="0" applyFont="1" applyFill="1" applyBorder="1" applyAlignment="1">
      <alignment horizontal="left"/>
    </xf>
    <xf numFmtId="0" fontId="8" fillId="4" borderId="18" xfId="0" applyFont="1" applyFill="1" applyBorder="1" applyAlignment="1">
      <alignment horizontal="right"/>
    </xf>
    <xf numFmtId="171" fontId="6" fillId="0" borderId="55" xfId="0" applyNumberFormat="1" applyFont="1" applyBorder="1" applyProtection="1">
      <protection locked="0"/>
    </xf>
    <xf numFmtId="171" fontId="6" fillId="0" borderId="78" xfId="0" applyNumberFormat="1" applyFont="1" applyBorder="1" applyProtection="1">
      <protection locked="0"/>
    </xf>
    <xf numFmtId="167" fontId="14" fillId="2" borderId="22" xfId="15" applyNumberFormat="1" applyFont="1" applyBorder="1" applyAlignment="1" applyProtection="1">
      <alignment horizontal="right"/>
      <protection locked="0"/>
    </xf>
    <xf numFmtId="167" fontId="14" fillId="2" borderId="79" xfId="15" applyNumberFormat="1" applyFont="1" applyBorder="1" applyAlignment="1" applyProtection="1">
      <alignment horizontal="right"/>
      <protection locked="0"/>
    </xf>
    <xf numFmtId="0" fontId="10" fillId="0" borderId="2" xfId="0" applyFont="1" applyBorder="1" applyAlignment="1">
      <alignment horizontal="center"/>
    </xf>
    <xf numFmtId="37" fontId="8" fillId="0" borderId="39" xfId="0" applyNumberFormat="1" applyFont="1" applyBorder="1"/>
    <xf numFmtId="37" fontId="8" fillId="0" borderId="0" xfId="0" applyNumberFormat="1" applyFont="1" applyBorder="1"/>
    <xf numFmtId="0" fontId="0" fillId="0" borderId="0" xfId="0" applyBorder="1"/>
    <xf numFmtId="37" fontId="12" fillId="0" borderId="0" xfId="0" applyNumberFormat="1" applyFont="1" applyBorder="1"/>
    <xf numFmtId="37" fontId="8" fillId="0" borderId="80" xfId="0" applyNumberFormat="1" applyFont="1" applyBorder="1"/>
    <xf numFmtId="37" fontId="8" fillId="0" borderId="7" xfId="0" applyNumberFormat="1" applyFont="1" applyBorder="1" applyProtection="1">
      <protection locked="0"/>
    </xf>
    <xf numFmtId="37" fontId="12" fillId="0" borderId="7" xfId="0" applyNumberFormat="1" applyFont="1" applyBorder="1" applyProtection="1">
      <protection locked="0"/>
    </xf>
    <xf numFmtId="7" fontId="8" fillId="12" borderId="7" xfId="0" applyNumberFormat="1" applyFont="1" applyFill="1" applyBorder="1" applyProtection="1">
      <protection locked="0"/>
    </xf>
    <xf numFmtId="7" fontId="8" fillId="12" borderId="16" xfId="0" applyNumberFormat="1" applyFont="1" applyFill="1" applyBorder="1" applyProtection="1">
      <protection locked="0"/>
    </xf>
    <xf numFmtId="0" fontId="75" fillId="0" borderId="0" xfId="0" quotePrefix="1" applyFont="1" applyAlignment="1">
      <alignment vertical="top"/>
    </xf>
    <xf numFmtId="0" fontId="71" fillId="6" borderId="0" xfId="0" applyFont="1" applyFill="1"/>
    <xf numFmtId="0" fontId="39" fillId="6" borderId="7" xfId="0" applyFont="1" applyFill="1" applyBorder="1" applyAlignment="1">
      <alignment vertical="top" wrapText="1"/>
    </xf>
    <xf numFmtId="0" fontId="39" fillId="6" borderId="7" xfId="0" applyFont="1" applyFill="1" applyBorder="1" applyAlignment="1">
      <alignment horizontal="center" vertical="top" wrapText="1"/>
    </xf>
    <xf numFmtId="0" fontId="3" fillId="6" borderId="0" xfId="0" applyFont="1" applyFill="1" applyAlignment="1">
      <alignment vertical="top" wrapText="1"/>
    </xf>
    <xf numFmtId="49" fontId="12" fillId="0" borderId="0" xfId="0" applyNumberFormat="1" applyFont="1"/>
    <xf numFmtId="49" fontId="8" fillId="0" borderId="0" xfId="0" applyNumberFormat="1" applyFont="1" applyAlignment="1">
      <alignment vertical="center"/>
    </xf>
    <xf numFmtId="49" fontId="64" fillId="0" borderId="0" xfId="0" applyNumberFormat="1" applyFont="1"/>
    <xf numFmtId="4" fontId="8" fillId="0" borderId="33" xfId="0" applyNumberFormat="1" applyFont="1" applyBorder="1"/>
    <xf numFmtId="0" fontId="3" fillId="0" borderId="23" xfId="0" applyFont="1" applyBorder="1"/>
    <xf numFmtId="0" fontId="3" fillId="0" borderId="81" xfId="0" applyFont="1" applyBorder="1"/>
    <xf numFmtId="0" fontId="3" fillId="0" borderId="49" xfId="0" applyFont="1" applyBorder="1"/>
    <xf numFmtId="38" fontId="24" fillId="0" borderId="82" xfId="0" applyNumberFormat="1" applyFont="1" applyBorder="1" applyAlignment="1">
      <alignment vertical="top"/>
    </xf>
    <xf numFmtId="38" fontId="24" fillId="0" borderId="82" xfId="0" applyNumberFormat="1" applyFont="1" applyBorder="1" applyProtection="1">
      <protection locked="0"/>
    </xf>
    <xf numFmtId="37" fontId="8" fillId="8" borderId="83" xfId="0" applyNumberFormat="1" applyFont="1" applyFill="1" applyBorder="1"/>
    <xf numFmtId="37" fontId="8" fillId="8" borderId="14" xfId="0" applyNumberFormat="1" applyFont="1" applyFill="1" applyBorder="1"/>
    <xf numFmtId="0" fontId="0" fillId="8" borderId="84" xfId="0" applyFill="1" applyBorder="1"/>
    <xf numFmtId="0" fontId="0" fillId="8" borderId="3" xfId="0" applyFill="1" applyBorder="1"/>
    <xf numFmtId="37" fontId="8" fillId="0" borderId="31" xfId="0" applyNumberFormat="1" applyFont="1" applyBorder="1" applyAlignment="1">
      <alignment horizontal="right"/>
    </xf>
    <xf numFmtId="3" fontId="8" fillId="0" borderId="15" xfId="0" applyNumberFormat="1" applyFont="1" applyBorder="1" applyAlignment="1" applyProtection="1">
      <alignment horizontal="right"/>
      <protection locked="0"/>
    </xf>
    <xf numFmtId="49" fontId="8" fillId="0" borderId="0" xfId="0" quotePrefix="1" applyNumberFormat="1" applyFont="1" applyBorder="1" applyAlignment="1">
      <alignment horizontal="left"/>
    </xf>
    <xf numFmtId="165" fontId="8" fillId="0" borderId="33" xfId="0" applyNumberFormat="1" applyFont="1" applyBorder="1" applyAlignment="1">
      <alignment horizontal="right"/>
    </xf>
    <xf numFmtId="37" fontId="8" fillId="0" borderId="3" xfId="0" applyNumberFormat="1" applyFont="1" applyBorder="1" applyAlignment="1">
      <alignment horizontal="right"/>
    </xf>
    <xf numFmtId="37" fontId="8" fillId="0" borderId="32" xfId="0" applyNumberFormat="1" applyFont="1" applyBorder="1" applyAlignment="1">
      <alignment horizontal="right"/>
    </xf>
    <xf numFmtId="165" fontId="8" fillId="2" borderId="32" xfId="0" applyNumberFormat="1" applyFont="1" applyFill="1" applyBorder="1" applyAlignment="1">
      <alignment horizontal="right"/>
    </xf>
    <xf numFmtId="0" fontId="0" fillId="0" borderId="23" xfId="0" applyBorder="1"/>
    <xf numFmtId="37" fontId="8" fillId="0" borderId="7" xfId="0" applyNumberFormat="1" applyFont="1" applyBorder="1" applyAlignment="1">
      <alignment horizontal="right"/>
    </xf>
    <xf numFmtId="4" fontId="12" fillId="0" borderId="26" xfId="0" applyNumberFormat="1" applyFont="1" applyBorder="1"/>
    <xf numFmtId="4" fontId="12" fillId="0" borderId="10" xfId="0" applyNumberFormat="1" applyFont="1" applyBorder="1"/>
    <xf numFmtId="37" fontId="12" fillId="0" borderId="32" xfId="0" applyNumberFormat="1" applyFont="1" applyBorder="1"/>
    <xf numFmtId="3" fontId="8" fillId="8" borderId="14" xfId="0" applyNumberFormat="1" applyFont="1" applyFill="1" applyBorder="1"/>
    <xf numFmtId="3" fontId="0" fillId="8" borderId="3" xfId="0" applyNumberFormat="1" applyFill="1" applyBorder="1"/>
    <xf numFmtId="0" fontId="3" fillId="0" borderId="14" xfId="0" applyFont="1" applyBorder="1"/>
    <xf numFmtId="3" fontId="8" fillId="0" borderId="31" xfId="0" applyNumberFormat="1" applyFont="1" applyBorder="1"/>
    <xf numFmtId="0" fontId="6" fillId="0" borderId="0" xfId="0" quotePrefix="1" applyFont="1" applyBorder="1" applyAlignment="1">
      <alignment horizontal="left"/>
    </xf>
    <xf numFmtId="0" fontId="20" fillId="2" borderId="23" xfId="14" applyBorder="1"/>
    <xf numFmtId="182" fontId="20" fillId="0" borderId="56" xfId="14" applyNumberFormat="1" applyFill="1" applyBorder="1"/>
    <xf numFmtId="171" fontId="14" fillId="0" borderId="56" xfId="14" applyNumberFormat="1" applyFont="1" applyFill="1" applyBorder="1"/>
    <xf numFmtId="37" fontId="13" fillId="2" borderId="32" xfId="14" applyNumberFormat="1" applyFont="1" applyBorder="1"/>
    <xf numFmtId="0" fontId="26" fillId="0" borderId="0" xfId="0" applyFont="1" applyBorder="1"/>
    <xf numFmtId="37" fontId="8" fillId="0" borderId="85" xfId="4" applyNumberFormat="1" applyFont="1" applyBorder="1" applyProtection="1"/>
    <xf numFmtId="0" fontId="39" fillId="6" borderId="7" xfId="0" applyFont="1" applyFill="1" applyBorder="1" applyAlignment="1">
      <alignment horizontal="center" vertical="center" wrapText="1"/>
    </xf>
    <xf numFmtId="0" fontId="30" fillId="6" borderId="0" xfId="13" applyFont="1" applyFill="1" applyAlignment="1">
      <alignment horizontal="centerContinuous" vertical="center"/>
    </xf>
    <xf numFmtId="0" fontId="7" fillId="0" borderId="2" xfId="0" applyFont="1" applyBorder="1" applyAlignment="1">
      <alignment horizontal="centerContinuous"/>
    </xf>
    <xf numFmtId="0" fontId="3" fillId="0" borderId="2" xfId="0" applyFont="1" applyBorder="1" applyAlignment="1">
      <alignment horizontal="centerContinuous"/>
    </xf>
    <xf numFmtId="0" fontId="9" fillId="0" borderId="0" xfId="0" applyFont="1" applyAlignment="1">
      <alignment horizontal="left"/>
    </xf>
    <xf numFmtId="0" fontId="78" fillId="0" borderId="8" xfId="0" applyFont="1" applyBorder="1"/>
    <xf numFmtId="0" fontId="62" fillId="0" borderId="23" xfId="0" applyFont="1" applyBorder="1" applyAlignment="1">
      <alignment horizontal="center"/>
    </xf>
    <xf numFmtId="0" fontId="8" fillId="0" borderId="40" xfId="0" applyFont="1" applyBorder="1" applyAlignment="1">
      <alignment horizontal="center" wrapText="1"/>
    </xf>
    <xf numFmtId="0" fontId="8" fillId="0" borderId="81" xfId="0" applyFont="1" applyBorder="1" applyAlignment="1">
      <alignment horizontal="center"/>
    </xf>
    <xf numFmtId="0" fontId="8" fillId="0" borderId="56" xfId="0" applyFont="1" applyBorder="1" applyAlignment="1">
      <alignment horizontal="center"/>
    </xf>
    <xf numFmtId="164" fontId="10" fillId="0" borderId="0" xfId="0" applyNumberFormat="1" applyFont="1" applyAlignment="1">
      <alignment horizontal="left"/>
    </xf>
    <xf numFmtId="164" fontId="22" fillId="0" borderId="0" xfId="0" applyNumberFormat="1" applyFont="1"/>
    <xf numFmtId="0" fontId="22" fillId="0" borderId="15" xfId="0" applyFont="1" applyBorder="1" applyAlignment="1">
      <alignment horizontal="centerContinuous"/>
    </xf>
    <xf numFmtId="0" fontId="12" fillId="0" borderId="34" xfId="0" applyFont="1" applyBorder="1" applyAlignment="1">
      <alignment horizontal="centerContinuous"/>
    </xf>
    <xf numFmtId="49" fontId="0" fillId="0" borderId="0" xfId="0" applyNumberFormat="1"/>
    <xf numFmtId="37" fontId="22" fillId="0" borderId="0" xfId="13" applyNumberFormat="1" applyFont="1" applyFill="1" applyAlignment="1">
      <alignment horizontal="center"/>
    </xf>
    <xf numFmtId="0" fontId="8" fillId="0" borderId="0" xfId="13" applyFont="1" applyFill="1"/>
    <xf numFmtId="37" fontId="22" fillId="0" borderId="0" xfId="13" applyNumberFormat="1" applyFont="1" applyFill="1" applyAlignment="1">
      <alignment horizontal="right"/>
    </xf>
    <xf numFmtId="37" fontId="30" fillId="0" borderId="0" xfId="13" applyNumberFormat="1" applyFont="1" applyFill="1" applyAlignment="1">
      <alignment horizontal="left"/>
    </xf>
    <xf numFmtId="37" fontId="24" fillId="0" borderId="0" xfId="13" applyNumberFormat="1" applyFont="1" applyFill="1"/>
    <xf numFmtId="37" fontId="30" fillId="0" borderId="0" xfId="13" applyNumberFormat="1" applyFont="1" applyFill="1" applyAlignment="1">
      <alignment horizontal="center"/>
    </xf>
    <xf numFmtId="37" fontId="30" fillId="0" borderId="0" xfId="13" applyNumberFormat="1" applyFont="1" applyFill="1" applyAlignment="1">
      <alignment horizontal="right"/>
    </xf>
    <xf numFmtId="37" fontId="13" fillId="0" borderId="0" xfId="14" applyNumberFormat="1" applyFont="1" applyFill="1" applyAlignment="1">
      <alignment horizontal="centerContinuous"/>
    </xf>
    <xf numFmtId="0" fontId="15" fillId="0" borderId="0" xfId="0" applyFont="1" applyAlignment="1">
      <alignment horizontal="right" wrapText="1"/>
    </xf>
    <xf numFmtId="37" fontId="13" fillId="0" borderId="0" xfId="15" applyNumberFormat="1" applyFont="1" applyFill="1" applyAlignment="1">
      <alignment horizontal="right"/>
    </xf>
    <xf numFmtId="0" fontId="78" fillId="0" borderId="0" xfId="0" applyFont="1" applyAlignment="1">
      <alignment vertical="top"/>
    </xf>
    <xf numFmtId="0" fontId="7" fillId="0" borderId="0" xfId="0" applyFont="1" applyAlignment="1">
      <alignment vertical="top"/>
    </xf>
    <xf numFmtId="0" fontId="10" fillId="0" borderId="0" xfId="0" applyFont="1" applyAlignment="1">
      <alignment vertical="top"/>
    </xf>
    <xf numFmtId="0" fontId="52" fillId="0" borderId="0" xfId="0" applyFont="1" applyAlignment="1">
      <alignment vertical="top"/>
    </xf>
    <xf numFmtId="49" fontId="10" fillId="0" borderId="8" xfId="0" applyNumberFormat="1" applyFont="1" applyBorder="1" applyAlignment="1">
      <alignment wrapText="1"/>
    </xf>
    <xf numFmtId="0" fontId="7" fillId="0" borderId="49" xfId="0" applyFont="1" applyBorder="1"/>
    <xf numFmtId="0" fontId="8" fillId="0" borderId="18" xfId="0" applyFont="1" applyBorder="1"/>
    <xf numFmtId="0" fontId="8" fillId="13" borderId="5" xfId="0" applyFont="1" applyFill="1" applyBorder="1" applyAlignment="1">
      <alignment vertical="top"/>
    </xf>
    <xf numFmtId="0" fontId="61" fillId="0" borderId="0" xfId="0" applyFont="1" applyAlignment="1">
      <alignment horizontal="left"/>
    </xf>
    <xf numFmtId="4" fontId="8" fillId="0" borderId="16" xfId="0" applyNumberFormat="1" applyFont="1" applyBorder="1"/>
    <xf numFmtId="4" fontId="8" fillId="0" borderId="34" xfId="0" applyNumberFormat="1" applyFont="1" applyBorder="1" applyProtection="1">
      <protection locked="0"/>
    </xf>
    <xf numFmtId="3" fontId="8" fillId="0" borderId="16" xfId="0" applyNumberFormat="1" applyFont="1" applyBorder="1"/>
    <xf numFmtId="165" fontId="8" fillId="0" borderId="16" xfId="0" applyNumberFormat="1" applyFont="1" applyBorder="1"/>
    <xf numFmtId="4" fontId="8" fillId="0" borderId="3" xfId="0" applyNumberFormat="1" applyFont="1" applyBorder="1" applyAlignment="1">
      <alignment horizontal="right"/>
    </xf>
    <xf numFmtId="4" fontId="8" fillId="0" borderId="3" xfId="0" applyNumberFormat="1" applyFont="1" applyBorder="1" applyAlignment="1" applyProtection="1">
      <alignment horizontal="right"/>
      <protection locked="0"/>
    </xf>
    <xf numFmtId="3" fontId="8" fillId="0" borderId="32" xfId="0" applyNumberFormat="1" applyFont="1" applyBorder="1"/>
    <xf numFmtId="165" fontId="8" fillId="0" borderId="3" xfId="0" applyNumberFormat="1" applyFont="1" applyBorder="1"/>
    <xf numFmtId="3" fontId="8" fillId="0" borderId="1" xfId="0" applyNumberFormat="1" applyFont="1" applyBorder="1"/>
    <xf numFmtId="165" fontId="8" fillId="0" borderId="1" xfId="0" applyNumberFormat="1" applyFont="1" applyBorder="1"/>
    <xf numFmtId="3" fontId="8" fillId="0" borderId="0" xfId="0" applyNumberFormat="1" applyFont="1" applyProtection="1">
      <protection locked="0"/>
    </xf>
    <xf numFmtId="3" fontId="8" fillId="0" borderId="86" xfId="0" applyNumberFormat="1" applyFont="1" applyBorder="1" applyProtection="1">
      <protection locked="0"/>
    </xf>
    <xf numFmtId="3" fontId="8" fillId="0" borderId="34" xfId="0" applyNumberFormat="1" applyFont="1" applyBorder="1" applyProtection="1">
      <protection locked="0"/>
    </xf>
    <xf numFmtId="4" fontId="8" fillId="0" borderId="14" xfId="0" applyNumberFormat="1" applyFont="1" applyBorder="1" applyAlignment="1">
      <alignment horizontal="right"/>
    </xf>
    <xf numFmtId="3" fontId="8" fillId="0" borderId="14" xfId="0" applyNumberFormat="1" applyFont="1" applyBorder="1" applyAlignment="1">
      <alignment horizontal="right"/>
    </xf>
    <xf numFmtId="165" fontId="8" fillId="0" borderId="14" xfId="0" applyNumberFormat="1" applyFont="1" applyBorder="1"/>
    <xf numFmtId="4" fontId="8" fillId="0" borderId="32" xfId="0" applyNumberFormat="1" applyFont="1" applyBorder="1" applyAlignment="1">
      <alignment horizontal="right"/>
    </xf>
    <xf numFmtId="4" fontId="8" fillId="0" borderId="32" xfId="0" applyNumberFormat="1" applyFont="1" applyBorder="1" applyAlignment="1" applyProtection="1">
      <alignment horizontal="right"/>
      <protection locked="0"/>
    </xf>
    <xf numFmtId="3" fontId="8" fillId="0" borderId="32" xfId="0" applyNumberFormat="1" applyFont="1" applyBorder="1" applyProtection="1">
      <protection locked="0"/>
    </xf>
    <xf numFmtId="165" fontId="8" fillId="0" borderId="32" xfId="0" applyNumberFormat="1" applyFont="1" applyBorder="1"/>
    <xf numFmtId="37" fontId="8" fillId="0" borderId="16" xfId="0" applyNumberFormat="1" applyFont="1" applyBorder="1"/>
    <xf numFmtId="165" fontId="8" fillId="0" borderId="16" xfId="0" applyNumberFormat="1" applyFont="1" applyBorder="1" applyAlignment="1">
      <alignment horizontal="right"/>
    </xf>
    <xf numFmtId="37" fontId="8" fillId="0" borderId="0" xfId="13" applyNumberFormat="1" applyFont="1" applyFill="1" applyAlignment="1">
      <alignment horizontal="left"/>
    </xf>
    <xf numFmtId="37" fontId="8" fillId="0" borderId="0" xfId="13" applyNumberFormat="1" applyFont="1" applyFill="1" applyAlignment="1">
      <alignment horizontal="left" vertical="top"/>
    </xf>
    <xf numFmtId="37" fontId="12" fillId="0" borderId="2" xfId="13" quotePrefix="1" applyNumberFormat="1" applyFont="1" applyFill="1" applyBorder="1"/>
    <xf numFmtId="37" fontId="12" fillId="0" borderId="45" xfId="13" applyNumberFormat="1" applyFont="1" applyFill="1" applyBorder="1"/>
    <xf numFmtId="37" fontId="8" fillId="0" borderId="45" xfId="0" applyNumberFormat="1" applyFont="1" applyBorder="1"/>
    <xf numFmtId="0" fontId="71" fillId="0" borderId="0" xfId="13" applyFont="1" applyFill="1" applyAlignment="1">
      <alignment wrapText="1"/>
    </xf>
    <xf numFmtId="49" fontId="4" fillId="0" borderId="0" xfId="13" quotePrefix="1" applyNumberFormat="1" applyFont="1" applyFill="1" applyAlignment="1">
      <alignment horizontal="left"/>
    </xf>
    <xf numFmtId="0" fontId="4" fillId="0" borderId="0" xfId="13" quotePrefix="1" applyFont="1" applyFill="1" applyAlignment="1">
      <alignment horizontal="left"/>
    </xf>
    <xf numFmtId="0" fontId="36" fillId="0" borderId="0" xfId="0" quotePrefix="1" applyFont="1"/>
    <xf numFmtId="4" fontId="8" fillId="0" borderId="3" xfId="0" applyNumberFormat="1" applyFont="1" applyBorder="1"/>
    <xf numFmtId="3" fontId="8" fillId="0" borderId="3" xfId="0" applyNumberFormat="1" applyFont="1" applyBorder="1" applyAlignment="1">
      <alignment horizontal="right"/>
    </xf>
    <xf numFmtId="37" fontId="6" fillId="0" borderId="29" xfId="14" applyNumberFormat="1" applyFont="1" applyFill="1" applyBorder="1" applyAlignment="1">
      <alignment horizontal="left"/>
    </xf>
    <xf numFmtId="0" fontId="15" fillId="0" borderId="49" xfId="14" applyFont="1" applyFill="1" applyBorder="1" applyAlignment="1">
      <alignment horizontal="center" vertical="top"/>
    </xf>
    <xf numFmtId="0" fontId="15" fillId="0" borderId="0" xfId="14" applyFont="1" applyFill="1" applyAlignment="1">
      <alignment horizontal="center" vertical="top"/>
    </xf>
    <xf numFmtId="37" fontId="13" fillId="0" borderId="19" xfId="14" applyNumberFormat="1" applyFont="1" applyFill="1" applyBorder="1" applyAlignment="1">
      <alignment horizontal="center" vertical="center"/>
    </xf>
    <xf numFmtId="37" fontId="13" fillId="0" borderId="36" xfId="14" applyNumberFormat="1" applyFont="1" applyFill="1" applyBorder="1" applyAlignment="1">
      <alignment horizontal="center" vertical="center"/>
    </xf>
    <xf numFmtId="182" fontId="20" fillId="0" borderId="16" xfId="14" applyNumberFormat="1" applyFill="1" applyBorder="1"/>
    <xf numFmtId="171" fontId="14" fillId="0" borderId="16" xfId="14" applyNumberFormat="1" applyFont="1" applyFill="1" applyBorder="1"/>
    <xf numFmtId="37" fontId="14" fillId="0" borderId="16" xfId="14" applyNumberFormat="1" applyFont="1" applyFill="1" applyBorder="1"/>
    <xf numFmtId="165" fontId="14" fillId="0" borderId="16" xfId="14" applyNumberFormat="1" applyFont="1" applyFill="1" applyBorder="1"/>
    <xf numFmtId="0" fontId="20" fillId="0" borderId="23" xfId="14" applyFill="1" applyBorder="1"/>
    <xf numFmtId="37" fontId="14" fillId="0" borderId="32" xfId="14" applyNumberFormat="1" applyFont="1" applyFill="1" applyBorder="1"/>
    <xf numFmtId="165" fontId="14" fillId="0" borderId="14" xfId="14" applyNumberFormat="1" applyFont="1" applyFill="1" applyBorder="1" applyAlignment="1">
      <alignment horizontal="right"/>
    </xf>
    <xf numFmtId="37" fontId="6" fillId="0" borderId="14" xfId="14" applyNumberFormat="1" applyFont="1" applyFill="1" applyBorder="1"/>
    <xf numFmtId="37" fontId="6" fillId="0" borderId="16" xfId="14" applyNumberFormat="1" applyFont="1" applyFill="1" applyBorder="1"/>
    <xf numFmtId="38" fontId="4" fillId="0" borderId="87" xfId="0" applyNumberFormat="1" applyFont="1" applyBorder="1"/>
    <xf numFmtId="0" fontId="7" fillId="9" borderId="74" xfId="0" applyFont="1" applyFill="1" applyBorder="1"/>
    <xf numFmtId="0" fontId="8" fillId="13" borderId="21" xfId="0" applyFont="1" applyFill="1" applyBorder="1"/>
    <xf numFmtId="0" fontId="8" fillId="13" borderId="5" xfId="0" applyFont="1" applyFill="1" applyBorder="1"/>
    <xf numFmtId="0" fontId="8" fillId="13" borderId="21" xfId="0" applyFont="1" applyFill="1" applyBorder="1" applyAlignment="1">
      <alignment vertical="top"/>
    </xf>
    <xf numFmtId="0" fontId="64" fillId="0" borderId="0" xfId="8" applyFont="1" applyFill="1" applyProtection="1"/>
    <xf numFmtId="0" fontId="36" fillId="0" borderId="0" xfId="8" applyFont="1" applyFill="1" applyProtection="1"/>
    <xf numFmtId="0" fontId="77" fillId="0" borderId="0" xfId="0" applyFont="1"/>
    <xf numFmtId="0" fontId="6" fillId="0" borderId="62" xfId="0" applyFont="1" applyBorder="1" applyAlignment="1">
      <alignment horizontal="left"/>
    </xf>
    <xf numFmtId="0" fontId="15" fillId="0" borderId="62" xfId="0" applyFont="1" applyBorder="1" applyAlignment="1">
      <alignment horizontal="left"/>
    </xf>
    <xf numFmtId="0" fontId="6" fillId="0" borderId="64" xfId="0" applyFont="1" applyBorder="1" applyAlignment="1">
      <alignment horizontal="left"/>
    </xf>
    <xf numFmtId="0" fontId="15" fillId="14" borderId="88" xfId="0" applyFont="1" applyFill="1" applyBorder="1" applyAlignment="1">
      <alignment horizontal="left"/>
    </xf>
    <xf numFmtId="0" fontId="39" fillId="0" borderId="56" xfId="0" applyFont="1" applyBorder="1" applyAlignment="1">
      <alignment horizontal="justify" vertical="top" wrapText="1"/>
    </xf>
    <xf numFmtId="0" fontId="39" fillId="0" borderId="7" xfId="0" quotePrefix="1" applyFont="1" applyBorder="1" applyAlignment="1">
      <alignment horizontal="justify" vertical="top" wrapText="1"/>
    </xf>
    <xf numFmtId="0" fontId="71" fillId="0" borderId="0" xfId="0" applyFont="1" applyAlignment="1">
      <alignment wrapText="1"/>
    </xf>
    <xf numFmtId="0" fontId="6" fillId="0" borderId="0" xfId="0" applyFont="1" applyAlignment="1">
      <alignment horizontal="left"/>
    </xf>
    <xf numFmtId="37" fontId="8" fillId="0" borderId="45" xfId="4" applyNumberFormat="1" applyFont="1" applyFill="1" applyBorder="1" applyAlignment="1" applyProtection="1"/>
    <xf numFmtId="0" fontId="39" fillId="0" borderId="18" xfId="0" applyFont="1" applyBorder="1" applyAlignment="1">
      <alignment horizontal="left" vertical="top" wrapText="1"/>
    </xf>
    <xf numFmtId="0" fontId="39" fillId="0" borderId="7" xfId="18" applyFont="1" applyFill="1" applyBorder="1" applyAlignment="1">
      <alignment horizontal="left" vertical="top" wrapText="1"/>
    </xf>
    <xf numFmtId="0" fontId="4" fillId="0" borderId="0" xfId="0" applyFont="1" applyAlignment="1">
      <alignment horizontal="justify" wrapText="1"/>
    </xf>
    <xf numFmtId="0" fontId="0" fillId="0" borderId="0" xfId="0" applyAlignment="1">
      <alignment horizontal="justify"/>
    </xf>
    <xf numFmtId="187" fontId="6" fillId="0" borderId="0" xfId="0" applyNumberFormat="1" applyFont="1" applyBorder="1" applyAlignment="1">
      <alignment horizontal="right"/>
    </xf>
    <xf numFmtId="0" fontId="65" fillId="0" borderId="0" xfId="22" applyFont="1"/>
    <xf numFmtId="37" fontId="90" fillId="0" borderId="0" xfId="22" applyNumberFormat="1" applyFont="1" applyAlignment="1">
      <alignment horizontal="right"/>
    </xf>
    <xf numFmtId="37" fontId="65" fillId="0" borderId="0" xfId="22" applyNumberFormat="1" applyFont="1" applyAlignment="1">
      <alignment horizontal="left"/>
    </xf>
    <xf numFmtId="0" fontId="84" fillId="0" borderId="0" xfId="22" applyFont="1"/>
    <xf numFmtId="37" fontId="65" fillId="0" borderId="0" xfId="22" applyNumberFormat="1" applyFont="1" applyAlignment="1">
      <alignment horizontal="left" vertical="center"/>
    </xf>
    <xf numFmtId="37" fontId="65" fillId="0" borderId="0" xfId="22" applyNumberFormat="1" applyFont="1"/>
    <xf numFmtId="0" fontId="4" fillId="0" borderId="0" xfId="4" applyNumberFormat="1" applyFont="1" applyFill="1" applyBorder="1" applyAlignment="1" applyProtection="1">
      <alignment horizontal="left" vertical="top"/>
    </xf>
    <xf numFmtId="177" fontId="4" fillId="0" borderId="0" xfId="12" applyFont="1" applyFill="1"/>
    <xf numFmtId="177" fontId="4" fillId="0" borderId="0" xfId="12" applyFont="1" applyFill="1" applyAlignment="1">
      <alignment horizontal="left" vertical="top"/>
    </xf>
    <xf numFmtId="177" fontId="90" fillId="0" borderId="7" xfId="12" applyFont="1" applyFill="1" applyBorder="1" applyAlignment="1">
      <alignment wrapText="1"/>
    </xf>
    <xf numFmtId="177" fontId="90" fillId="0" borderId="7" xfId="12" applyFont="1" applyFill="1" applyBorder="1" applyAlignment="1">
      <alignment horizontal="center" wrapText="1"/>
    </xf>
    <xf numFmtId="177" fontId="105" fillId="0" borderId="0" xfId="12" applyFont="1" applyFill="1" applyAlignment="1">
      <alignment horizontal="center"/>
    </xf>
    <xf numFmtId="177" fontId="9" fillId="0" borderId="0" xfId="12" quotePrefix="1" applyFont="1" applyFill="1" applyAlignment="1">
      <alignment horizontal="center"/>
    </xf>
    <xf numFmtId="177" fontId="90" fillId="0" borderId="19" xfId="12" applyFont="1" applyFill="1" applyBorder="1" applyAlignment="1">
      <alignment wrapText="1"/>
    </xf>
    <xf numFmtId="177" fontId="90" fillId="0" borderId="0" xfId="12" applyFont="1" applyFill="1" applyAlignment="1">
      <alignment wrapText="1"/>
    </xf>
    <xf numFmtId="177" fontId="103" fillId="0" borderId="0" xfId="12" applyFont="1" applyFill="1" applyAlignment="1">
      <alignment horizontal="center" wrapText="1"/>
    </xf>
    <xf numFmtId="177" fontId="4" fillId="0" borderId="0" xfId="9" quotePrefix="1" applyNumberFormat="1" applyFont="1" applyFill="1" applyAlignment="1" applyProtection="1">
      <alignment horizontal="left"/>
    </xf>
    <xf numFmtId="177" fontId="4" fillId="0" borderId="0" xfId="12" applyFont="1" applyFill="1" applyAlignment="1">
      <alignment horizontal="left"/>
    </xf>
    <xf numFmtId="37" fontId="4" fillId="0" borderId="7" xfId="12" applyNumberFormat="1" applyFont="1" applyFill="1" applyBorder="1" applyProtection="1">
      <protection locked="0"/>
    </xf>
    <xf numFmtId="37" fontId="4" fillId="0" borderId="7" xfId="12" applyNumberFormat="1" applyFont="1" applyFill="1" applyBorder="1"/>
    <xf numFmtId="177" fontId="4" fillId="0" borderId="0" xfId="9" quotePrefix="1" applyNumberFormat="1" applyFont="1" applyFill="1" applyAlignment="1" applyProtection="1">
      <alignment horizontal="right"/>
    </xf>
    <xf numFmtId="177" fontId="90" fillId="0" borderId="0" xfId="12" applyFont="1" applyFill="1" applyAlignment="1">
      <alignment horizontal="center" vertical="top" wrapText="1"/>
    </xf>
    <xf numFmtId="177" fontId="106" fillId="0" borderId="0" xfId="9" quotePrefix="1" applyNumberFormat="1" applyFont="1" applyFill="1" applyAlignment="1" applyProtection="1">
      <alignment horizontal="right"/>
    </xf>
    <xf numFmtId="177" fontId="4" fillId="0" borderId="0" xfId="12" quotePrefix="1" applyFont="1" applyFill="1"/>
    <xf numFmtId="177" fontId="9" fillId="0" borderId="0" xfId="12" applyFont="1" applyFill="1"/>
    <xf numFmtId="37" fontId="4" fillId="0" borderId="0" xfId="22" applyNumberFormat="1" applyFont="1" applyAlignment="1">
      <alignment horizontal="right"/>
    </xf>
    <xf numFmtId="37" fontId="65" fillId="0" borderId="0" xfId="22" applyNumberFormat="1" applyFont="1" applyAlignment="1">
      <alignment horizontal="right"/>
    </xf>
    <xf numFmtId="37" fontId="4" fillId="0" borderId="5" xfId="12" applyNumberFormat="1" applyFont="1" applyFill="1" applyBorder="1"/>
    <xf numFmtId="37" fontId="4" fillId="0" borderId="7" xfId="22" applyNumberFormat="1" applyFont="1" applyBorder="1" applyAlignment="1">
      <alignment horizontal="right"/>
    </xf>
    <xf numFmtId="177" fontId="9" fillId="0" borderId="0" xfId="12" applyFont="1" applyFill="1" applyAlignment="1">
      <alignment horizontal="left"/>
    </xf>
    <xf numFmtId="37" fontId="4" fillId="14" borderId="7" xfId="22" applyNumberFormat="1" applyFont="1" applyFill="1" applyBorder="1" applyAlignment="1">
      <alignment horizontal="right"/>
    </xf>
    <xf numFmtId="177" fontId="4" fillId="14" borderId="7" xfId="12" applyFont="1" applyFill="1" applyBorder="1"/>
    <xf numFmtId="177" fontId="90" fillId="0" borderId="0" xfId="12" quotePrefix="1" applyFont="1" applyFill="1" applyAlignment="1">
      <alignment horizontal="left"/>
    </xf>
    <xf numFmtId="0" fontId="85" fillId="0" borderId="0" xfId="0" applyFont="1" applyAlignment="1">
      <alignment horizontal="left" vertical="top"/>
    </xf>
    <xf numFmtId="0" fontId="85" fillId="0" borderId="0" xfId="0" applyFont="1" applyAlignment="1">
      <alignment horizontal="right"/>
    </xf>
    <xf numFmtId="0" fontId="38" fillId="5" borderId="0" xfId="8" applyFont="1" applyFill="1" applyProtection="1"/>
    <xf numFmtId="164" fontId="64" fillId="0" borderId="0" xfId="0" applyNumberFormat="1" applyFont="1"/>
    <xf numFmtId="49" fontId="64" fillId="6" borderId="0" xfId="0" applyNumberFormat="1" applyFont="1" applyFill="1" applyAlignment="1">
      <alignment horizontal="left"/>
    </xf>
    <xf numFmtId="0" fontId="64" fillId="6" borderId="0" xfId="0" applyFont="1" applyFill="1"/>
    <xf numFmtId="49" fontId="64" fillId="6" borderId="0" xfId="0" applyNumberFormat="1" applyFont="1" applyFill="1"/>
    <xf numFmtId="0" fontId="92" fillId="0" borderId="0" xfId="0" applyFont="1"/>
    <xf numFmtId="0" fontId="64" fillId="0" borderId="0" xfId="0" quotePrefix="1" applyFont="1" applyAlignment="1">
      <alignment horizontal="right"/>
    </xf>
    <xf numFmtId="0" fontId="64" fillId="0" borderId="0" xfId="8" quotePrefix="1" applyFont="1" applyFill="1" applyAlignment="1" applyProtection="1">
      <alignment horizontal="right"/>
    </xf>
    <xf numFmtId="0" fontId="76" fillId="5" borderId="0" xfId="8" quotePrefix="1" applyFont="1" applyFill="1" applyAlignment="1" applyProtection="1">
      <alignment horizontal="right"/>
    </xf>
    <xf numFmtId="0" fontId="101" fillId="0" borderId="7" xfId="0" applyFont="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07" fillId="0" borderId="7" xfId="0" applyFont="1" applyBorder="1" applyAlignment="1">
      <alignment horizontal="center" vertical="top" wrapText="1"/>
    </xf>
    <xf numFmtId="0" fontId="64" fillId="0" borderId="0" xfId="0" quotePrefix="1" applyFont="1" applyAlignment="1">
      <alignment horizontal="left" vertical="top"/>
    </xf>
    <xf numFmtId="0" fontId="101" fillId="0" borderId="7" xfId="0" applyFont="1" applyBorder="1" applyAlignment="1">
      <alignment vertical="top" wrapText="1"/>
    </xf>
    <xf numFmtId="49" fontId="8" fillId="0" borderId="0" xfId="13" quotePrefix="1" applyNumberFormat="1" applyFont="1" applyFill="1" applyAlignment="1">
      <alignment horizontal="right"/>
    </xf>
    <xf numFmtId="1" fontId="8" fillId="0" borderId="0" xfId="13" quotePrefix="1" applyNumberFormat="1" applyFont="1" applyFill="1" applyAlignment="1">
      <alignment horizontal="right"/>
    </xf>
    <xf numFmtId="0" fontId="8" fillId="9" borderId="75" xfId="0" applyFont="1" applyFill="1" applyBorder="1"/>
    <xf numFmtId="0" fontId="4" fillId="0" borderId="2" xfId="0" applyFont="1" applyBorder="1" applyAlignment="1">
      <alignment horizontal="center"/>
    </xf>
    <xf numFmtId="0" fontId="0" fillId="0" borderId="10" xfId="0" applyBorder="1"/>
    <xf numFmtId="49" fontId="4" fillId="0" borderId="2" xfId="0" applyNumberFormat="1" applyFont="1" applyBorder="1" applyAlignment="1">
      <alignment horizontal="left"/>
    </xf>
    <xf numFmtId="0" fontId="9" fillId="0" borderId="0" xfId="0" applyFont="1" applyAlignment="1">
      <alignment horizontal="right"/>
    </xf>
    <xf numFmtId="0" fontId="8" fillId="0" borderId="0" xfId="0" applyFont="1" applyAlignment="1">
      <alignment horizontal="right"/>
    </xf>
    <xf numFmtId="0" fontId="6" fillId="0" borderId="0" xfId="0" applyFont="1" applyBorder="1" applyAlignment="1">
      <alignment wrapText="1"/>
    </xf>
    <xf numFmtId="37" fontId="8" fillId="0" borderId="0" xfId="0" applyNumberFormat="1" applyFont="1"/>
    <xf numFmtId="0" fontId="8" fillId="0" borderId="14" xfId="0" applyFont="1" applyBorder="1" applyAlignment="1">
      <alignment horizontal="center"/>
    </xf>
    <xf numFmtId="0" fontId="0" fillId="0" borderId="32" xfId="0" applyBorder="1"/>
    <xf numFmtId="0" fontId="8" fillId="0" borderId="0" xfId="0" applyFont="1" applyAlignment="1">
      <alignment horizontal="left" vertical="top" wrapText="1"/>
    </xf>
    <xf numFmtId="0" fontId="8" fillId="0" borderId="0" xfId="0" applyFont="1" applyAlignment="1">
      <alignment horizontal="center" wrapText="1"/>
    </xf>
    <xf numFmtId="0" fontId="0" fillId="0" borderId="0" xfId="0" applyAlignment="1">
      <alignment horizontal="left" vertical="center" wrapText="1"/>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11" applyNumberFormat="1" applyFont="1" applyAlignment="1">
      <alignment horizontal="right"/>
    </xf>
    <xf numFmtId="3" fontId="8" fillId="0" borderId="0" xfId="0" applyNumberFormat="1" applyFont="1"/>
    <xf numFmtId="37" fontId="10" fillId="0" borderId="0" xfId="0" applyNumberFormat="1" applyFont="1" applyBorder="1" applyAlignment="1">
      <alignment horizontal="center"/>
    </xf>
    <xf numFmtId="49" fontId="4" fillId="0" borderId="46" xfId="0" applyNumberFormat="1" applyFont="1" applyBorder="1" applyAlignment="1">
      <alignment horizontal="center"/>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0" fontId="25" fillId="0" borderId="0" xfId="0" applyFont="1"/>
    <xf numFmtId="0" fontId="8" fillId="0" borderId="0" xfId="13" applyFont="1" applyFill="1" applyAlignment="1">
      <alignment horizontal="left" vertical="top" wrapText="1"/>
    </xf>
    <xf numFmtId="37" fontId="12" fillId="2" borderId="0" xfId="13" applyNumberFormat="1" applyFont="1"/>
    <xf numFmtId="0" fontId="64" fillId="0" borderId="0" xfId="13" applyFont="1" applyFill="1" applyAlignment="1">
      <alignment horizontal="left" vertical="top" wrapText="1"/>
    </xf>
    <xf numFmtId="0" fontId="4" fillId="0" borderId="0" xfId="0" applyFont="1" applyAlignment="1">
      <alignment horizontal="left"/>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13" applyFont="1" applyFill="1" applyAlignment="1">
      <alignment horizontal="left"/>
    </xf>
    <xf numFmtId="0" fontId="4" fillId="0" borderId="0" xfId="0" applyFont="1" applyAlignment="1">
      <alignment vertical="top" wrapText="1"/>
    </xf>
    <xf numFmtId="0" fontId="0" fillId="0" borderId="0" xfId="0" applyAlignment="1">
      <alignment wrapText="1"/>
    </xf>
    <xf numFmtId="0" fontId="8" fillId="0" borderId="0" xfId="13" applyFont="1" applyFill="1" applyAlignment="1">
      <alignment wrapText="1"/>
    </xf>
    <xf numFmtId="0" fontId="8" fillId="0" borderId="0" xfId="0" applyFont="1" applyAlignment="1">
      <alignment wrapText="1"/>
    </xf>
    <xf numFmtId="0" fontId="9" fillId="0" borderId="26" xfId="0" applyFont="1" applyBorder="1"/>
    <xf numFmtId="0" fontId="9" fillId="0" borderId="0" xfId="0" applyFont="1"/>
    <xf numFmtId="0" fontId="15" fillId="0" borderId="0" xfId="0" applyFont="1"/>
    <xf numFmtId="37" fontId="13" fillId="0" borderId="19" xfId="14" applyNumberFormat="1" applyFont="1" applyFill="1" applyBorder="1" applyAlignment="1">
      <alignment horizontal="center"/>
    </xf>
    <xf numFmtId="37" fontId="13" fillId="0" borderId="36" xfId="14" applyNumberFormat="1" applyFont="1" applyFill="1" applyBorder="1" applyAlignment="1">
      <alignment horizontal="center"/>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5" borderId="0" xfId="8" applyFont="1" applyFill="1" applyProtection="1"/>
    <xf numFmtId="0" fontId="8" fillId="0" borderId="0" xfId="21" applyFont="1" applyFill="1" applyAlignment="1">
      <alignment horizontal="left" vertical="top"/>
    </xf>
    <xf numFmtId="0" fontId="10" fillId="0" borderId="0" xfId="0" applyFont="1" applyAlignment="1">
      <alignment horizontal="right"/>
    </xf>
    <xf numFmtId="0" fontId="8" fillId="0" borderId="0" xfId="0" applyFont="1" applyAlignment="1">
      <alignment horizontal="right" wrapText="1"/>
    </xf>
    <xf numFmtId="0" fontId="8" fillId="13" borderId="5" xfId="0" applyFont="1" applyFill="1" applyBorder="1" applyAlignment="1">
      <alignment horizontal="left" wrapText="1"/>
    </xf>
    <xf numFmtId="0" fontId="10" fillId="0" borderId="0" xfId="0" applyFont="1" applyAlignment="1">
      <alignment horizontal="left"/>
    </xf>
    <xf numFmtId="49" fontId="10" fillId="0" borderId="51" xfId="0" applyNumberFormat="1" applyFont="1" applyBorder="1" applyAlignment="1">
      <alignment horizontal="center"/>
    </xf>
    <xf numFmtId="49" fontId="10" fillId="0" borderId="8" xfId="0" applyNumberFormat="1" applyFont="1" applyBorder="1" applyAlignment="1">
      <alignment horizontal="center"/>
    </xf>
    <xf numFmtId="0" fontId="8" fillId="0" borderId="29" xfId="0" applyFont="1" applyBorder="1" applyAlignment="1">
      <alignment horizontal="right"/>
    </xf>
    <xf numFmtId="0" fontId="8" fillId="0" borderId="49" xfId="0" applyFont="1" applyBorder="1" applyAlignment="1">
      <alignment horizontal="right"/>
    </xf>
    <xf numFmtId="188" fontId="8" fillId="0" borderId="51" xfId="0" applyNumberFormat="1" applyFont="1" applyBorder="1" applyAlignment="1">
      <alignment horizontal="right"/>
    </xf>
    <xf numFmtId="174" fontId="8" fillId="0" borderId="51" xfId="0" applyNumberFormat="1" applyFont="1" applyBorder="1" applyAlignment="1">
      <alignment horizontal="right"/>
    </xf>
    <xf numFmtId="0" fontId="15" fillId="0" borderId="0" xfId="0" applyFont="1" applyBorder="1" applyAlignment="1">
      <alignment horizontal="center" wrapText="1"/>
    </xf>
    <xf numFmtId="49" fontId="8" fillId="0" borderId="0" xfId="0" applyNumberFormat="1" applyFont="1" applyBorder="1" applyAlignment="1">
      <alignment horizontal="left"/>
    </xf>
    <xf numFmtId="0" fontId="39" fillId="0" borderId="23" xfId="0" applyFont="1" applyBorder="1" applyAlignment="1">
      <alignment vertical="top" wrapText="1"/>
    </xf>
    <xf numFmtId="0" fontId="39" fillId="0" borderId="16" xfId="0" applyFont="1" applyBorder="1" applyAlignment="1">
      <alignment vertical="top" wrapText="1"/>
    </xf>
    <xf numFmtId="0" fontId="39" fillId="0" borderId="23" xfId="0" applyFont="1" applyBorder="1" applyAlignment="1">
      <alignment horizontal="center" vertical="top" wrapText="1"/>
    </xf>
    <xf numFmtId="0" fontId="39" fillId="0" borderId="16" xfId="0" applyFont="1" applyBorder="1" applyAlignment="1">
      <alignment horizontal="center" vertical="top" wrapText="1"/>
    </xf>
    <xf numFmtId="0" fontId="39" fillId="0" borderId="23" xfId="0" applyFont="1" applyBorder="1" applyAlignment="1">
      <alignment horizontal="center" vertical="center" wrapText="1"/>
    </xf>
    <xf numFmtId="0" fontId="39" fillId="0" borderId="16" xfId="0" applyFont="1" applyBorder="1" applyAlignment="1">
      <alignment horizontal="center" vertical="center" wrapText="1"/>
    </xf>
    <xf numFmtId="37" fontId="8" fillId="7" borderId="14" xfId="0" applyNumberFormat="1" applyFont="1" applyFill="1" applyBorder="1" applyAlignment="1">
      <alignment horizontal="right"/>
    </xf>
    <xf numFmtId="37" fontId="8" fillId="0" borderId="14" xfId="0" applyNumberFormat="1" applyFont="1" applyBorder="1" applyAlignment="1" applyProtection="1">
      <alignment horizontal="right"/>
      <protection locked="0"/>
    </xf>
    <xf numFmtId="37" fontId="8" fillId="2" borderId="14" xfId="0" applyNumberFormat="1" applyFont="1" applyFill="1" applyBorder="1" applyAlignment="1">
      <alignment horizontal="right"/>
    </xf>
    <xf numFmtId="165" fontId="8" fillId="2" borderId="55" xfId="0" applyNumberFormat="1" applyFont="1" applyFill="1" applyBorder="1" applyAlignment="1">
      <alignment horizontal="right"/>
    </xf>
    <xf numFmtId="2" fontId="8" fillId="9" borderId="0" xfId="0" applyNumberFormat="1" applyFont="1" applyFill="1" applyBorder="1" applyAlignment="1">
      <alignment horizontal="right"/>
    </xf>
    <xf numFmtId="4" fontId="12" fillId="0" borderId="89" xfId="0" applyNumberFormat="1" applyFont="1" applyBorder="1" applyAlignment="1">
      <alignment horizontal="right"/>
    </xf>
    <xf numFmtId="37" fontId="12" fillId="0" borderId="87" xfId="0" applyNumberFormat="1" applyFont="1" applyBorder="1" applyAlignment="1">
      <alignment horizontal="right"/>
    </xf>
    <xf numFmtId="0" fontId="41" fillId="0" borderId="7" xfId="0" applyFont="1" applyBorder="1" applyAlignment="1">
      <alignment horizontal="center" vertical="center" wrapText="1"/>
    </xf>
    <xf numFmtId="37" fontId="6" fillId="0" borderId="79" xfId="11" quotePrefix="1" applyNumberFormat="1" applyFont="1" applyBorder="1" applyAlignment="1">
      <alignment horizontal="right"/>
    </xf>
    <xf numFmtId="37" fontId="6" fillId="0" borderId="0" xfId="11" quotePrefix="1" applyNumberFormat="1" applyFont="1" applyBorder="1" applyAlignment="1">
      <alignment horizontal="right"/>
    </xf>
    <xf numFmtId="37" fontId="6" fillId="0" borderId="34" xfId="11" applyNumberFormat="1" applyFont="1" applyBorder="1" applyAlignment="1" applyProtection="1">
      <alignment horizontal="right"/>
      <protection locked="0"/>
    </xf>
    <xf numFmtId="37" fontId="6" fillId="0" borderId="22" xfId="11" applyNumberFormat="1" applyFont="1" applyBorder="1" applyAlignment="1" applyProtection="1">
      <alignment horizontal="right"/>
      <protection locked="0"/>
    </xf>
    <xf numFmtId="37" fontId="6" fillId="0" borderId="22" xfId="0" applyNumberFormat="1" applyFont="1" applyBorder="1" applyAlignment="1">
      <alignment horizontal="right"/>
    </xf>
    <xf numFmtId="37" fontId="6" fillId="0" borderId="33" xfId="11" applyNumberFormat="1" applyFont="1" applyBorder="1" applyAlignment="1" applyProtection="1">
      <alignment horizontal="right"/>
      <protection locked="0"/>
    </xf>
    <xf numFmtId="37" fontId="6" fillId="0" borderId="7" xfId="11" applyNumberFormat="1" applyFont="1" applyBorder="1" applyAlignment="1">
      <alignment horizontal="right"/>
    </xf>
    <xf numFmtId="0" fontId="8" fillId="0" borderId="90" xfId="0" applyFont="1" applyBorder="1"/>
    <xf numFmtId="0" fontId="8" fillId="0" borderId="11" xfId="0" applyFont="1" applyBorder="1"/>
    <xf numFmtId="0" fontId="36" fillId="5" borderId="91" xfId="8" quotePrefix="1" applyFont="1" applyFill="1" applyBorder="1" applyAlignment="1" applyProtection="1">
      <alignment horizontal="right" vertical="center"/>
    </xf>
    <xf numFmtId="4" fontId="8" fillId="15" borderId="34" xfId="0" applyNumberFormat="1" applyFont="1" applyFill="1" applyBorder="1" applyAlignment="1">
      <alignment horizontal="right"/>
    </xf>
    <xf numFmtId="4" fontId="8" fillId="16" borderId="3" xfId="0" applyNumberFormat="1" applyFont="1" applyFill="1" applyBorder="1" applyAlignment="1">
      <alignment horizontal="right"/>
    </xf>
    <xf numFmtId="37" fontId="6" fillId="0" borderId="16" xfId="11" applyNumberFormat="1" applyFont="1" applyBorder="1" applyAlignment="1">
      <alignment horizontal="right"/>
    </xf>
    <xf numFmtId="0" fontId="75" fillId="0" borderId="0" xfId="0" quotePrefix="1" applyFont="1" applyAlignment="1">
      <alignment horizontal="right" vertical="center"/>
    </xf>
    <xf numFmtId="49" fontId="64" fillId="0" borderId="0" xfId="0" quotePrefix="1" applyNumberFormat="1" applyFont="1"/>
    <xf numFmtId="174" fontId="64" fillId="9" borderId="20" xfId="0" applyNumberFormat="1" applyFont="1" applyFill="1" applyBorder="1"/>
    <xf numFmtId="0" fontId="8" fillId="0" borderId="60" xfId="0" applyFont="1" applyBorder="1"/>
    <xf numFmtId="0" fontId="109" fillId="0" borderId="0" xfId="0" applyFont="1" applyAlignment="1">
      <alignment vertical="center"/>
    </xf>
    <xf numFmtId="0" fontId="110" fillId="0" borderId="0" xfId="0" applyFont="1"/>
    <xf numFmtId="0" fontId="109" fillId="0" borderId="0" xfId="0" applyFont="1"/>
    <xf numFmtId="0" fontId="8" fillId="0" borderId="0" xfId="0" applyFont="1" applyBorder="1" applyAlignment="1">
      <alignment horizontal="center"/>
    </xf>
    <xf numFmtId="37" fontId="6" fillId="9" borderId="0" xfId="0" applyNumberFormat="1" applyFont="1" applyFill="1"/>
    <xf numFmtId="0" fontId="107" fillId="0" borderId="7" xfId="0" applyFont="1" applyBorder="1" applyAlignment="1">
      <alignment vertical="top" wrapText="1"/>
    </xf>
    <xf numFmtId="0" fontId="107" fillId="0" borderId="5" xfId="0" applyFont="1" applyBorder="1" applyAlignment="1">
      <alignment vertical="top" wrapText="1"/>
    </xf>
    <xf numFmtId="0" fontId="107" fillId="0" borderId="7" xfId="0" applyFont="1" applyBorder="1" applyAlignment="1">
      <alignment horizontal="left" vertical="top" wrapText="1"/>
    </xf>
    <xf numFmtId="0" fontId="39" fillId="9" borderId="7" xfId="0" applyFont="1" applyFill="1" applyBorder="1" applyAlignment="1">
      <alignment horizontal="center" vertical="top" wrapText="1"/>
    </xf>
    <xf numFmtId="0" fontId="39" fillId="9" borderId="7" xfId="0" applyFont="1" applyFill="1" applyBorder="1" applyAlignment="1">
      <alignment horizontal="justify" vertical="top" wrapText="1"/>
    </xf>
    <xf numFmtId="0" fontId="39" fillId="9" borderId="7" xfId="0" applyFont="1" applyFill="1" applyBorder="1" applyAlignment="1">
      <alignment vertical="top" wrapText="1"/>
    </xf>
    <xf numFmtId="4" fontId="12" fillId="0" borderId="31" xfId="0" applyNumberFormat="1" applyFont="1" applyBorder="1" applyAlignment="1">
      <alignment horizontal="center"/>
    </xf>
    <xf numFmtId="0" fontId="12" fillId="0" borderId="32" xfId="0" applyFont="1" applyBorder="1" applyAlignment="1">
      <alignment horizontal="center"/>
    </xf>
    <xf numFmtId="4" fontId="12" fillId="0" borderId="7" xfId="0" applyNumberFormat="1" applyFont="1" applyBorder="1" applyAlignment="1">
      <alignment horizontal="right"/>
    </xf>
    <xf numFmtId="37" fontId="12" fillId="0" borderId="7" xfId="0" applyNumberFormat="1" applyFont="1" applyBorder="1"/>
    <xf numFmtId="4" fontId="12" fillId="0" borderId="32" xfId="0" applyNumberFormat="1" applyFont="1" applyBorder="1"/>
    <xf numFmtId="37" fontId="8" fillId="0" borderId="32" xfId="0" applyNumberFormat="1" applyFont="1" applyBorder="1" applyProtection="1">
      <protection locked="0"/>
    </xf>
    <xf numFmtId="4" fontId="12" fillId="0" borderId="92" xfId="0" applyNumberFormat="1" applyFont="1" applyBorder="1" applyAlignment="1">
      <alignment horizontal="right"/>
    </xf>
    <xf numFmtId="37" fontId="12" fillId="0" borderId="93" xfId="0" applyNumberFormat="1" applyFont="1" applyBorder="1"/>
    <xf numFmtId="0" fontId="64" fillId="9" borderId="0" xfId="0" applyFont="1" applyFill="1" applyAlignment="1">
      <alignment horizontal="left" vertical="center" wrapText="1"/>
    </xf>
    <xf numFmtId="0" fontId="72" fillId="0" borderId="0" xfId="0" applyFont="1"/>
    <xf numFmtId="177" fontId="39" fillId="9" borderId="16" xfId="9" applyNumberFormat="1" applyFont="1" applyFill="1" applyBorder="1" applyAlignment="1" applyProtection="1">
      <alignment vertical="top" wrapText="1"/>
    </xf>
    <xf numFmtId="0" fontId="39" fillId="9" borderId="7" xfId="12" applyNumberFormat="1" applyFont="1" applyFill="1" applyBorder="1" applyAlignment="1">
      <alignment horizontal="left" vertical="top" wrapText="1"/>
    </xf>
    <xf numFmtId="0" fontId="39" fillId="17" borderId="7" xfId="0" applyFont="1" applyFill="1" applyBorder="1" applyAlignment="1">
      <alignment horizontal="center" vertical="center" wrapText="1"/>
    </xf>
    <xf numFmtId="0" fontId="39" fillId="18" borderId="7" xfId="0" applyFont="1" applyFill="1" applyBorder="1" applyAlignment="1">
      <alignment horizontal="center" vertical="center"/>
    </xf>
    <xf numFmtId="39" fontId="64" fillId="9" borderId="20" xfId="0" applyNumberFormat="1" applyFont="1" applyFill="1" applyBorder="1"/>
    <xf numFmtId="0" fontId="64" fillId="9" borderId="0" xfId="0" applyFont="1" applyFill="1" applyAlignment="1">
      <alignment horizontal="left" vertical="center"/>
    </xf>
    <xf numFmtId="2" fontId="8" fillId="0" borderId="75" xfId="0" applyNumberFormat="1" applyFont="1" applyBorder="1" applyAlignment="1">
      <alignment horizontal="right"/>
    </xf>
    <xf numFmtId="43" fontId="8" fillId="0" borderId="20" xfId="4" applyFont="1" applyFill="1" applyBorder="1" applyProtection="1"/>
    <xf numFmtId="2" fontId="8" fillId="0" borderId="0" xfId="0" applyNumberFormat="1" applyFont="1" applyBorder="1" applyAlignment="1">
      <alignment horizontal="right"/>
    </xf>
    <xf numFmtId="39" fontId="8" fillId="0" borderId="20" xfId="0" applyNumberFormat="1" applyFont="1" applyBorder="1"/>
    <xf numFmtId="0" fontId="8" fillId="0" borderId="62" xfId="0" applyFont="1" applyBorder="1"/>
    <xf numFmtId="0" fontId="8" fillId="0" borderId="63" xfId="0" applyFont="1" applyBorder="1"/>
    <xf numFmtId="0" fontId="8" fillId="0" borderId="75" xfId="0" applyFont="1" applyBorder="1"/>
    <xf numFmtId="0" fontId="8" fillId="0" borderId="8" xfId="0" applyFont="1" applyBorder="1" applyAlignment="1">
      <alignment horizontal="right"/>
    </xf>
    <xf numFmtId="39" fontId="8" fillId="3" borderId="18" xfId="0" applyNumberFormat="1" applyFont="1" applyFill="1" applyBorder="1"/>
    <xf numFmtId="0" fontId="8" fillId="9" borderId="90" xfId="0" applyFont="1" applyFill="1" applyBorder="1"/>
    <xf numFmtId="37" fontId="6" fillId="9" borderId="26" xfId="11" applyNumberFormat="1" applyFont="1" applyFill="1" applyBorder="1"/>
    <xf numFmtId="0" fontId="8" fillId="0" borderId="7" xfId="0" applyFont="1" applyBorder="1" applyAlignment="1" applyProtection="1">
      <alignment horizontal="left"/>
      <protection locked="0"/>
    </xf>
    <xf numFmtId="0" fontId="39" fillId="9" borderId="7" xfId="8" applyFont="1" applyFill="1" applyBorder="1" applyAlignment="1" applyProtection="1">
      <alignment horizontal="justify" vertical="top" wrapText="1"/>
    </xf>
    <xf numFmtId="37" fontId="90" fillId="0" borderId="19" xfId="22" applyNumberFormat="1" applyFont="1" applyBorder="1" applyAlignment="1">
      <alignment horizontal="right"/>
    </xf>
    <xf numFmtId="0" fontId="10" fillId="0" borderId="29" xfId="0" applyFont="1" applyBorder="1"/>
    <xf numFmtId="0" fontId="10" fillId="0" borderId="49" xfId="0" applyFont="1" applyBorder="1"/>
    <xf numFmtId="49" fontId="8" fillId="0" borderId="56" xfId="0" applyNumberFormat="1" applyFont="1" applyBorder="1" applyAlignment="1">
      <alignment horizontal="center"/>
    </xf>
    <xf numFmtId="0" fontId="64" fillId="0" borderId="56" xfId="0" applyFont="1" applyBorder="1" applyAlignment="1">
      <alignment horizontal="center"/>
    </xf>
    <xf numFmtId="0" fontId="8" fillId="0" borderId="23" xfId="0" applyFont="1" applyBorder="1" applyAlignment="1">
      <alignment horizontal="center"/>
    </xf>
    <xf numFmtId="0" fontId="10" fillId="0" borderId="51" xfId="0" applyFont="1" applyBorder="1"/>
    <xf numFmtId="0" fontId="10" fillId="0" borderId="8" xfId="0" applyFont="1" applyBorder="1"/>
    <xf numFmtId="0" fontId="8" fillId="0" borderId="47" xfId="0" applyFont="1" applyBorder="1"/>
    <xf numFmtId="0" fontId="8" fillId="0" borderId="34" xfId="0" applyFont="1" applyBorder="1" applyAlignment="1">
      <alignment horizontal="center"/>
    </xf>
    <xf numFmtId="0" fontId="64" fillId="0" borderId="16" xfId="0" applyFont="1" applyBorder="1" applyAlignment="1">
      <alignment horizontal="center"/>
    </xf>
    <xf numFmtId="0" fontId="8" fillId="0" borderId="16" xfId="0" applyFont="1" applyBorder="1" applyAlignment="1">
      <alignment horizontal="center"/>
    </xf>
    <xf numFmtId="37" fontId="8" fillId="0" borderId="94" xfId="0" applyNumberFormat="1" applyFont="1" applyBorder="1" applyAlignment="1" applyProtection="1">
      <alignment horizontal="right"/>
      <protection locked="0"/>
    </xf>
    <xf numFmtId="37" fontId="8" fillId="0" borderId="7" xfId="0" applyNumberFormat="1" applyFont="1" applyBorder="1" applyAlignment="1" applyProtection="1">
      <alignment horizontal="right"/>
      <protection locked="0"/>
    </xf>
    <xf numFmtId="37" fontId="64" fillId="0" borderId="1" xfId="0" applyNumberFormat="1" applyFont="1" applyBorder="1" applyAlignment="1">
      <alignment horizontal="right"/>
    </xf>
    <xf numFmtId="37" fontId="64" fillId="0" borderId="48" xfId="0" applyNumberFormat="1" applyFont="1" applyBorder="1" applyAlignment="1">
      <alignment horizontal="right"/>
    </xf>
    <xf numFmtId="165" fontId="64" fillId="0" borderId="78" xfId="0" applyNumberFormat="1" applyFont="1" applyBorder="1" applyAlignment="1">
      <alignment horizontal="right"/>
    </xf>
    <xf numFmtId="37" fontId="8" fillId="0" borderId="48" xfId="0" applyNumberFormat="1" applyFont="1" applyBorder="1" applyAlignment="1" applyProtection="1">
      <alignment horizontal="right"/>
      <protection locked="0"/>
    </xf>
    <xf numFmtId="49" fontId="64" fillId="0" borderId="29" xfId="0" applyNumberFormat="1" applyFont="1" applyBorder="1" applyAlignment="1">
      <alignment horizontal="left"/>
    </xf>
    <xf numFmtId="37" fontId="8" fillId="0" borderId="95" xfId="0" applyNumberFormat="1" applyFont="1" applyBorder="1" applyAlignment="1" applyProtection="1">
      <alignment horizontal="right"/>
      <protection locked="0"/>
    </xf>
    <xf numFmtId="37" fontId="75" fillId="8" borderId="1" xfId="0" applyNumberFormat="1" applyFont="1" applyFill="1" applyBorder="1" applyAlignment="1">
      <alignment horizontal="right"/>
    </xf>
    <xf numFmtId="0" fontId="64" fillId="0" borderId="26" xfId="0" applyFont="1" applyBorder="1"/>
    <xf numFmtId="49" fontId="25" fillId="5" borderId="10" xfId="8" applyNumberFormat="1" applyFont="1" applyFill="1" applyBorder="1" applyAlignment="1" applyProtection="1">
      <alignment horizontal="right" vertical="top"/>
    </xf>
    <xf numFmtId="37" fontId="75" fillId="7" borderId="58" xfId="0" applyNumberFormat="1" applyFont="1" applyFill="1" applyBorder="1" applyAlignment="1">
      <alignment horizontal="right"/>
    </xf>
    <xf numFmtId="37" fontId="64" fillId="0" borderId="14" xfId="0" applyNumberFormat="1" applyFont="1" applyBorder="1" applyAlignment="1">
      <alignment horizontal="right"/>
    </xf>
    <xf numFmtId="165" fontId="64" fillId="6" borderId="78" xfId="0" applyNumberFormat="1" applyFont="1" applyFill="1" applyBorder="1" applyAlignment="1">
      <alignment horizontal="right"/>
    </xf>
    <xf numFmtId="37" fontId="75" fillId="7" borderId="48" xfId="0" applyNumberFormat="1" applyFont="1" applyFill="1" applyBorder="1" applyAlignment="1">
      <alignment horizontal="right"/>
    </xf>
    <xf numFmtId="37" fontId="75" fillId="7" borderId="96" xfId="0" applyNumberFormat="1" applyFont="1" applyFill="1" applyBorder="1" applyAlignment="1">
      <alignment horizontal="right"/>
    </xf>
    <xf numFmtId="37" fontId="75" fillId="7" borderId="23" xfId="0" applyNumberFormat="1" applyFont="1" applyFill="1" applyBorder="1" applyAlignment="1">
      <alignment horizontal="right"/>
    </xf>
    <xf numFmtId="37" fontId="64" fillId="0" borderId="33" xfId="0" applyNumberFormat="1" applyFont="1" applyBorder="1" applyAlignment="1" applyProtection="1">
      <alignment horizontal="right"/>
      <protection locked="0"/>
    </xf>
    <xf numFmtId="165" fontId="64" fillId="6" borderId="81" xfId="0" applyNumberFormat="1" applyFont="1" applyFill="1" applyBorder="1" applyAlignment="1">
      <alignment horizontal="right"/>
    </xf>
    <xf numFmtId="0" fontId="64" fillId="0" borderId="29" xfId="0" applyFont="1" applyBorder="1"/>
    <xf numFmtId="37" fontId="64" fillId="0" borderId="7" xfId="0" applyNumberFormat="1" applyFont="1" applyBorder="1" applyAlignment="1">
      <alignment horizontal="right"/>
    </xf>
    <xf numFmtId="165" fontId="64" fillId="0" borderId="7" xfId="0" applyNumberFormat="1" applyFont="1" applyBorder="1" applyAlignment="1">
      <alignment horizontal="right"/>
    </xf>
    <xf numFmtId="0" fontId="8" fillId="8" borderId="7" xfId="0" applyFont="1" applyFill="1" applyBorder="1"/>
    <xf numFmtId="0" fontId="8" fillId="0" borderId="7" xfId="0" applyFont="1" applyBorder="1" applyProtection="1">
      <protection locked="0"/>
    </xf>
    <xf numFmtId="49" fontId="114" fillId="5" borderId="52" xfId="8" applyNumberFormat="1" applyFont="1" applyFill="1" applyBorder="1" applyAlignment="1" applyProtection="1">
      <alignment horizontal="right"/>
    </xf>
    <xf numFmtId="0" fontId="8" fillId="6" borderId="51" xfId="0" applyFont="1" applyFill="1" applyBorder="1"/>
    <xf numFmtId="37" fontId="64" fillId="0" borderId="9" xfId="0" applyNumberFormat="1" applyFont="1" applyBorder="1" applyAlignment="1">
      <alignment horizontal="right"/>
    </xf>
    <xf numFmtId="0" fontId="10" fillId="0" borderId="0" xfId="0" applyFont="1" applyAlignment="1">
      <alignment horizontal="right" vertical="top"/>
    </xf>
    <xf numFmtId="37" fontId="8" fillId="0" borderId="18" xfId="0" applyNumberFormat="1" applyFont="1" applyBorder="1" applyAlignment="1">
      <alignment horizontal="right"/>
    </xf>
    <xf numFmtId="49" fontId="36" fillId="5" borderId="0" xfId="8" applyNumberFormat="1" applyFont="1" applyFill="1" applyBorder="1" applyAlignment="1" applyProtection="1">
      <alignment horizontal="right"/>
    </xf>
    <xf numFmtId="49" fontId="8" fillId="0" borderId="0" xfId="0" applyNumberFormat="1" applyFont="1" applyBorder="1" applyAlignment="1">
      <alignment horizontal="right" wrapText="1"/>
    </xf>
    <xf numFmtId="37" fontId="8" fillId="0" borderId="52" xfId="0" applyNumberFormat="1" applyFont="1" applyBorder="1" applyAlignment="1">
      <alignment horizontal="right"/>
    </xf>
    <xf numFmtId="0" fontId="8" fillId="9" borderId="29" xfId="0" applyFont="1" applyFill="1" applyBorder="1"/>
    <xf numFmtId="6" fontId="8" fillId="9" borderId="0" xfId="0" applyNumberFormat="1" applyFont="1" applyFill="1" applyBorder="1" applyAlignment="1">
      <alignment horizontal="right"/>
    </xf>
    <xf numFmtId="0" fontId="115" fillId="0" borderId="0" xfId="0" applyFont="1"/>
    <xf numFmtId="0" fontId="25" fillId="0" borderId="29" xfId="0" applyFont="1" applyBorder="1"/>
    <xf numFmtId="183" fontId="36" fillId="0" borderId="49" xfId="4" applyNumberFormat="1" applyFont="1" applyBorder="1" applyAlignment="1" applyProtection="1">
      <alignment horizontal="right"/>
    </xf>
    <xf numFmtId="49" fontId="8" fillId="0" borderId="8" xfId="0" applyNumberFormat="1" applyFont="1" applyBorder="1" applyAlignment="1">
      <alignment horizontal="right" wrapText="1"/>
    </xf>
    <xf numFmtId="0" fontId="31" fillId="0" borderId="0" xfId="8" applyFont="1" applyAlignment="1" applyProtection="1">
      <alignment horizontal="left" wrapText="1"/>
    </xf>
    <xf numFmtId="0" fontId="39" fillId="9" borderId="16" xfId="0" applyFont="1" applyFill="1" applyBorder="1" applyAlignment="1">
      <alignment horizontal="center" vertical="top" wrapText="1"/>
    </xf>
    <xf numFmtId="0" fontId="107" fillId="9" borderId="5" xfId="0" applyFont="1" applyFill="1" applyBorder="1" applyAlignment="1">
      <alignment vertical="top" wrapText="1"/>
    </xf>
    <xf numFmtId="0" fontId="39" fillId="9" borderId="16" xfId="0" applyFont="1" applyFill="1" applyBorder="1" applyAlignment="1">
      <alignment horizontal="left" vertical="top" wrapText="1"/>
    </xf>
    <xf numFmtId="0" fontId="8" fillId="9" borderId="0" xfId="0" applyFont="1" applyFill="1"/>
    <xf numFmtId="0" fontId="26" fillId="9" borderId="0" xfId="0" applyFont="1" applyFill="1"/>
    <xf numFmtId="0" fontId="5" fillId="9" borderId="0" xfId="0" applyFont="1" applyFill="1"/>
    <xf numFmtId="0" fontId="75" fillId="9" borderId="0" xfId="0" applyFont="1" applyFill="1"/>
    <xf numFmtId="0" fontId="111" fillId="9" borderId="0" xfId="0" applyFont="1" applyFill="1"/>
    <xf numFmtId="0" fontId="110" fillId="9" borderId="0" xfId="0" applyFont="1" applyFill="1"/>
    <xf numFmtId="0" fontId="79" fillId="9" borderId="0" xfId="0" applyFont="1" applyFill="1"/>
    <xf numFmtId="0" fontId="107" fillId="0" borderId="23" xfId="0" applyFont="1" applyBorder="1" applyAlignment="1">
      <alignment horizontal="center" vertical="top" wrapText="1"/>
    </xf>
    <xf numFmtId="37" fontId="4" fillId="0" borderId="0" xfId="0" applyNumberFormat="1" applyFont="1" applyAlignment="1" applyProtection="1">
      <alignment horizontal="right"/>
      <protection locked="0"/>
    </xf>
    <xf numFmtId="37" fontId="64" fillId="0" borderId="18" xfId="4" applyNumberFormat="1" applyFont="1" applyFill="1" applyBorder="1" applyAlignment="1" applyProtection="1">
      <alignment horizontal="right" wrapText="1"/>
      <protection locked="0"/>
    </xf>
    <xf numFmtId="37" fontId="8" fillId="0" borderId="52" xfId="4" applyNumberFormat="1" applyFont="1" applyBorder="1" applyAlignment="1" applyProtection="1">
      <alignment horizontal="right"/>
      <protection locked="0"/>
    </xf>
    <xf numFmtId="37" fontId="8" fillId="0" borderId="97" xfId="4" applyNumberFormat="1" applyFont="1" applyBorder="1" applyAlignment="1" applyProtection="1">
      <alignment horizontal="right"/>
    </xf>
    <xf numFmtId="4" fontId="8" fillId="0" borderId="56" xfId="0" applyNumberFormat="1" applyFont="1" applyBorder="1"/>
    <xf numFmtId="165" fontId="8" fillId="0" borderId="56" xfId="0" applyNumberFormat="1" applyFont="1" applyBorder="1"/>
    <xf numFmtId="0" fontId="8" fillId="9" borderId="0" xfId="0" applyFont="1" applyFill="1" applyBorder="1"/>
    <xf numFmtId="49" fontId="114" fillId="5" borderId="49" xfId="8" quotePrefix="1" applyNumberFormat="1" applyFont="1" applyFill="1" applyBorder="1" applyAlignment="1" applyProtection="1">
      <alignment horizontal="right"/>
    </xf>
    <xf numFmtId="0" fontId="8" fillId="9" borderId="26" xfId="0" applyFont="1" applyFill="1" applyBorder="1"/>
    <xf numFmtId="37" fontId="8" fillId="0" borderId="95" xfId="0" applyNumberFormat="1" applyFont="1" applyBorder="1" applyAlignment="1">
      <alignment horizontal="right"/>
    </xf>
    <xf numFmtId="49" fontId="8" fillId="0" borderId="19" xfId="0" applyNumberFormat="1" applyFont="1" applyBorder="1" applyAlignment="1">
      <alignment horizontal="right" wrapText="1"/>
    </xf>
    <xf numFmtId="37" fontId="13" fillId="2" borderId="8" xfId="14" applyNumberFormat="1" applyFont="1" applyBorder="1"/>
    <xf numFmtId="37" fontId="14" fillId="0" borderId="7" xfId="14" applyNumberFormat="1" applyFont="1" applyFill="1" applyBorder="1"/>
    <xf numFmtId="37" fontId="13" fillId="2" borderId="51" xfId="14" applyNumberFormat="1" applyFont="1" applyBorder="1"/>
    <xf numFmtId="37" fontId="13" fillId="2" borderId="52" xfId="14" applyNumberFormat="1" applyFont="1" applyBorder="1"/>
    <xf numFmtId="37" fontId="8" fillId="0" borderId="5" xfId="4" applyNumberFormat="1" applyFont="1" applyBorder="1" applyAlignment="1" applyProtection="1">
      <alignment horizontal="right" vertical="top"/>
      <protection locked="0"/>
    </xf>
    <xf numFmtId="49" fontId="38" fillId="5" borderId="10" xfId="8" applyNumberFormat="1" applyFont="1" applyFill="1" applyBorder="1" applyAlignment="1" applyProtection="1">
      <alignment horizontal="right"/>
    </xf>
    <xf numFmtId="49" fontId="38" fillId="5" borderId="49" xfId="8" applyNumberFormat="1" applyFont="1" applyFill="1" applyBorder="1" applyAlignment="1" applyProtection="1">
      <alignment horizontal="right"/>
    </xf>
    <xf numFmtId="0" fontId="49" fillId="9" borderId="0" xfId="0" applyFont="1" applyFill="1" applyAlignment="1">
      <alignment horizontal="center"/>
    </xf>
    <xf numFmtId="37" fontId="13" fillId="9" borderId="0" xfId="14" applyNumberFormat="1" applyFont="1" applyFill="1"/>
    <xf numFmtId="0" fontId="6" fillId="9" borderId="10" xfId="14" applyFont="1" applyFill="1" applyBorder="1"/>
    <xf numFmtId="42" fontId="8" fillId="0" borderId="2" xfId="0" applyNumberFormat="1" applyFont="1" applyBorder="1" applyAlignment="1" applyProtection="1">
      <alignment horizontal="right"/>
      <protection locked="0"/>
    </xf>
    <xf numFmtId="37" fontId="4" fillId="0" borderId="8" xfId="0" applyNumberFormat="1" applyFont="1" applyBorder="1" applyAlignment="1" applyProtection="1">
      <alignment wrapText="1"/>
      <protection locked="0"/>
    </xf>
    <xf numFmtId="0" fontId="5" fillId="9" borderId="0" xfId="0" applyFont="1" applyFill="1" applyAlignment="1">
      <alignment horizontal="left" vertical="center"/>
    </xf>
    <xf numFmtId="0" fontId="5" fillId="9" borderId="0" xfId="0" applyFont="1" applyFill="1" applyAlignment="1">
      <alignment horizontal="left"/>
    </xf>
    <xf numFmtId="0" fontId="5" fillId="9" borderId="0" xfId="0" applyFont="1" applyFill="1" applyAlignment="1">
      <alignment vertical="center"/>
    </xf>
    <xf numFmtId="0" fontId="5" fillId="0" borderId="0" xfId="0" applyFont="1" applyBorder="1" applyAlignment="1">
      <alignment horizontal="left" vertical="center"/>
    </xf>
    <xf numFmtId="0" fontId="36" fillId="5" borderId="49" xfId="8" quotePrefix="1" applyFont="1" applyFill="1" applyBorder="1" applyProtection="1"/>
    <xf numFmtId="0" fontId="36" fillId="0" borderId="0" xfId="8" quotePrefix="1" applyFont="1" applyFill="1" applyBorder="1" applyProtection="1"/>
    <xf numFmtId="177" fontId="37" fillId="5" borderId="0" xfId="8" applyNumberFormat="1" applyFont="1" applyFill="1" applyProtection="1"/>
    <xf numFmtId="177" fontId="11" fillId="5" borderId="0" xfId="8" applyNumberFormat="1" applyFont="1" applyFill="1" applyProtection="1"/>
    <xf numFmtId="37" fontId="8" fillId="0" borderId="40" xfId="0" applyNumberFormat="1" applyFont="1" applyBorder="1" applyAlignment="1" applyProtection="1">
      <alignment horizontal="right"/>
      <protection locked="0"/>
    </xf>
    <xf numFmtId="37" fontId="6" fillId="0" borderId="98" xfId="11" applyNumberFormat="1" applyFont="1" applyBorder="1" applyAlignment="1">
      <alignment horizontal="right"/>
    </xf>
    <xf numFmtId="49" fontId="38" fillId="5" borderId="79" xfId="8" applyNumberFormat="1" applyFont="1" applyFill="1" applyBorder="1" applyAlignment="1" applyProtection="1">
      <alignment horizontal="right"/>
    </xf>
    <xf numFmtId="49" fontId="36" fillId="5" borderId="18" xfId="8" applyNumberFormat="1" applyFont="1" applyFill="1" applyBorder="1" applyAlignment="1" applyProtection="1">
      <alignment horizontal="right"/>
    </xf>
    <xf numFmtId="0" fontId="61" fillId="0" borderId="0" xfId="0" applyFont="1" applyAlignment="1">
      <alignment vertical="top" wrapText="1"/>
    </xf>
    <xf numFmtId="0" fontId="39" fillId="0" borderId="0" xfId="0" applyFont="1" applyBorder="1" applyAlignment="1">
      <alignment horizontal="justify" vertical="top"/>
    </xf>
    <xf numFmtId="0" fontId="3" fillId="0" borderId="0" xfId="0" applyFont="1" applyAlignment="1">
      <alignment vertical="top"/>
    </xf>
    <xf numFmtId="0" fontId="39" fillId="0" borderId="16" xfId="0" applyFont="1" applyBorder="1" applyAlignment="1">
      <alignment horizontal="left" vertical="top" wrapText="1"/>
    </xf>
    <xf numFmtId="0" fontId="8" fillId="0" borderId="0" xfId="0" quotePrefix="1" applyFont="1" applyBorder="1"/>
    <xf numFmtId="0" fontId="8" fillId="0" borderId="0" xfId="0" applyFont="1" applyBorder="1" applyAlignment="1">
      <alignment horizontal="right"/>
    </xf>
    <xf numFmtId="39" fontId="8" fillId="0" borderId="0" xfId="0" applyNumberFormat="1" applyFont="1" applyBorder="1"/>
    <xf numFmtId="0" fontId="36" fillId="19" borderId="0" xfId="8" quotePrefix="1" applyFont="1" applyFill="1" applyProtection="1"/>
    <xf numFmtId="0" fontId="36" fillId="19" borderId="0" xfId="8" quotePrefix="1" applyFont="1" applyFill="1" applyAlignment="1" applyProtection="1">
      <alignment vertical="top"/>
    </xf>
    <xf numFmtId="0" fontId="36" fillId="19" borderId="0" xfId="8" quotePrefix="1" applyFont="1" applyFill="1" applyAlignment="1" applyProtection="1">
      <alignment horizontal="right"/>
    </xf>
    <xf numFmtId="0" fontId="114" fillId="5" borderId="0" xfId="8" quotePrefix="1" applyFont="1" applyFill="1" applyProtection="1"/>
    <xf numFmtId="0" fontId="36" fillId="5" borderId="49" xfId="8" quotePrefix="1" applyFont="1" applyFill="1" applyBorder="1" applyAlignment="1" applyProtection="1">
      <alignment horizontal="right"/>
    </xf>
    <xf numFmtId="0" fontId="39" fillId="18" borderId="7" xfId="0" applyFont="1" applyFill="1" applyBorder="1" applyAlignment="1">
      <alignment horizontal="center" vertical="center" wrapText="1"/>
    </xf>
    <xf numFmtId="0" fontId="101" fillId="18" borderId="7" xfId="0" applyFont="1" applyFill="1" applyBorder="1" applyAlignment="1">
      <alignment horizontal="center" vertical="center" wrapText="1"/>
    </xf>
    <xf numFmtId="0" fontId="39" fillId="20" borderId="7" xfId="0" applyFont="1" applyFill="1" applyBorder="1" applyAlignment="1">
      <alignment horizontal="center" vertical="center"/>
    </xf>
    <xf numFmtId="7" fontId="8" fillId="0" borderId="18" xfId="0" applyNumberFormat="1" applyFont="1" applyBorder="1" applyProtection="1">
      <protection locked="0"/>
    </xf>
    <xf numFmtId="37" fontId="8" fillId="16" borderId="14" xfId="0" applyNumberFormat="1" applyFont="1" applyFill="1" applyBorder="1"/>
    <xf numFmtId="3" fontId="8" fillId="0" borderId="7" xfId="0" applyNumberFormat="1" applyFont="1" applyBorder="1"/>
    <xf numFmtId="37" fontId="8" fillId="15" borderId="31" xfId="0" applyNumberFormat="1" applyFont="1" applyFill="1" applyBorder="1"/>
    <xf numFmtId="3" fontId="8" fillId="15" borderId="22" xfId="0" applyNumberFormat="1" applyFont="1" applyFill="1" applyBorder="1"/>
    <xf numFmtId="3" fontId="8" fillId="0" borderId="109" xfId="0" applyNumberFormat="1" applyFont="1" applyBorder="1" applyProtection="1">
      <protection locked="0"/>
    </xf>
    <xf numFmtId="4" fontId="8" fillId="0" borderId="110" xfId="0" applyNumberFormat="1" applyFont="1" applyBorder="1"/>
    <xf numFmtId="3" fontId="8" fillId="0" borderId="111" xfId="0" applyNumberFormat="1" applyFont="1" applyBorder="1"/>
    <xf numFmtId="3" fontId="8" fillId="0" borderId="112" xfId="0" applyNumberFormat="1" applyFont="1" applyBorder="1" applyProtection="1">
      <protection locked="0"/>
    </xf>
    <xf numFmtId="4" fontId="8" fillId="0" borderId="112" xfId="0" applyNumberFormat="1" applyFont="1" applyBorder="1" applyAlignment="1" applyProtection="1">
      <alignment horizontal="right"/>
      <protection locked="0"/>
    </xf>
    <xf numFmtId="3" fontId="8" fillId="0" borderId="112" xfId="0" applyNumberFormat="1" applyFont="1" applyBorder="1"/>
    <xf numFmtId="4" fontId="8" fillId="0" borderId="112" xfId="0" applyNumberFormat="1" applyFont="1" applyBorder="1" applyAlignment="1">
      <alignment horizontal="right"/>
    </xf>
    <xf numFmtId="3" fontId="8" fillId="0" borderId="112" xfId="0" applyNumberFormat="1" applyFont="1" applyBorder="1" applyAlignment="1">
      <alignment horizontal="right"/>
    </xf>
    <xf numFmtId="4" fontId="8" fillId="0" borderId="111" xfId="0" applyNumberFormat="1" applyFont="1" applyBorder="1" applyProtection="1">
      <protection locked="0"/>
    </xf>
    <xf numFmtId="3" fontId="8" fillId="0" borderId="111" xfId="0" applyNumberFormat="1" applyFont="1" applyBorder="1" applyProtection="1">
      <protection locked="0"/>
    </xf>
    <xf numFmtId="3" fontId="8" fillId="0" borderId="111" xfId="0" applyNumberFormat="1" applyFont="1" applyBorder="1" applyAlignment="1">
      <alignment horizontal="right"/>
    </xf>
    <xf numFmtId="4" fontId="8" fillId="0" borderId="32" xfId="0" applyNumberFormat="1" applyFont="1" applyBorder="1" applyProtection="1">
      <protection locked="0"/>
    </xf>
    <xf numFmtId="3" fontId="8" fillId="0" borderId="32" xfId="0" applyNumberFormat="1" applyFont="1" applyBorder="1" applyAlignment="1">
      <alignment horizontal="right"/>
    </xf>
    <xf numFmtId="174" fontId="8" fillId="0" borderId="109" xfId="0" applyNumberFormat="1" applyFont="1" applyBorder="1" applyAlignment="1" applyProtection="1">
      <alignment horizontal="right" vertical="top"/>
      <protection locked="0"/>
    </xf>
    <xf numFmtId="174" fontId="8" fillId="3" borderId="109" xfId="0" applyNumberFormat="1" applyFont="1" applyFill="1" applyBorder="1" applyAlignment="1" applyProtection="1">
      <alignment horizontal="right" vertical="top"/>
      <protection locked="0"/>
    </xf>
    <xf numFmtId="174" fontId="64" fillId="3" borderId="109" xfId="0" applyNumberFormat="1" applyFont="1" applyFill="1" applyBorder="1" applyAlignment="1" applyProtection="1">
      <alignment horizontal="right" vertical="top"/>
      <protection locked="0"/>
    </xf>
    <xf numFmtId="174" fontId="64" fillId="6" borderId="109" xfId="0" applyNumberFormat="1" applyFont="1" applyFill="1" applyBorder="1" applyAlignment="1" applyProtection="1">
      <alignment horizontal="right" vertical="top"/>
      <protection locked="0"/>
    </xf>
    <xf numFmtId="174" fontId="8" fillId="13" borderId="109" xfId="0" applyNumberFormat="1" applyFont="1" applyFill="1" applyBorder="1" applyAlignment="1" applyProtection="1">
      <alignment horizontal="right" vertical="top"/>
      <protection locked="0"/>
    </xf>
    <xf numFmtId="37" fontId="6" fillId="0" borderId="9" xfId="0" applyNumberFormat="1" applyFont="1" applyBorder="1" applyProtection="1">
      <protection locked="0"/>
    </xf>
    <xf numFmtId="37" fontId="6" fillId="0" borderId="10" xfId="0" applyNumberFormat="1" applyFont="1" applyBorder="1" applyAlignment="1" applyProtection="1">
      <alignment horizontal="right"/>
      <protection locked="0"/>
    </xf>
    <xf numFmtId="37" fontId="6" fillId="0" borderId="48" xfId="0" applyNumberFormat="1" applyFont="1" applyBorder="1" applyAlignment="1" applyProtection="1">
      <alignment horizontal="right"/>
      <protection locked="0"/>
    </xf>
    <xf numFmtId="0" fontId="8" fillId="0" borderId="38" xfId="0" applyFont="1" applyBorder="1" applyProtection="1">
      <protection locked="0"/>
    </xf>
    <xf numFmtId="176" fontId="8" fillId="0" borderId="46" xfId="0" applyNumberFormat="1" applyFont="1" applyBorder="1" applyAlignment="1" applyProtection="1">
      <alignment horizontal="center"/>
      <protection locked="0"/>
    </xf>
    <xf numFmtId="0" fontId="8" fillId="0" borderId="99" xfId="0" applyFont="1" applyBorder="1" applyAlignment="1">
      <alignment horizontal="center" vertical="center"/>
    </xf>
    <xf numFmtId="0" fontId="8" fillId="0" borderId="25" xfId="0" applyFont="1" applyBorder="1" applyAlignment="1">
      <alignment horizontal="center" vertical="top"/>
    </xf>
    <xf numFmtId="0" fontId="8" fillId="0" borderId="0" xfId="0" applyFont="1" applyAlignment="1">
      <alignment horizontal="center" vertical="top" wrapText="1"/>
    </xf>
    <xf numFmtId="0" fontId="68" fillId="0" borderId="0" xfId="0" applyFont="1" applyAlignment="1">
      <alignment horizontal="center" vertical="center" wrapText="1"/>
    </xf>
    <xf numFmtId="0" fontId="68" fillId="0" borderId="8" xfId="0" applyFont="1" applyBorder="1" applyAlignment="1">
      <alignment horizontal="center" vertical="center" wrapText="1"/>
    </xf>
    <xf numFmtId="0" fontId="8" fillId="0" borderId="35" xfId="0" applyFont="1" applyBorder="1" applyAlignment="1" applyProtection="1">
      <alignment horizontal="left" vertical="top"/>
      <protection locked="0"/>
    </xf>
    <xf numFmtId="0" fontId="8" fillId="0" borderId="19" xfId="0" applyFont="1" applyBorder="1" applyAlignment="1" applyProtection="1">
      <alignment horizontal="left" vertical="top"/>
      <protection locked="0"/>
    </xf>
    <xf numFmtId="0" fontId="8" fillId="0" borderId="36" xfId="0" applyFont="1" applyBorder="1" applyAlignment="1" applyProtection="1">
      <alignment horizontal="left" vertical="top"/>
      <protection locked="0"/>
    </xf>
    <xf numFmtId="0" fontId="8" fillId="0" borderId="29" xfId="0" applyFont="1" applyBorder="1" applyAlignment="1" applyProtection="1">
      <alignment horizontal="left" vertical="top"/>
      <protection locked="0"/>
    </xf>
    <xf numFmtId="0" fontId="8" fillId="0" borderId="0" xfId="0" applyFont="1" applyBorder="1" applyAlignment="1" applyProtection="1">
      <alignment horizontal="left" vertical="top"/>
      <protection locked="0"/>
    </xf>
    <xf numFmtId="0" fontId="8" fillId="0" borderId="49" xfId="0" applyFont="1" applyBorder="1" applyAlignment="1" applyProtection="1">
      <alignment horizontal="left" vertical="top"/>
      <protection locked="0"/>
    </xf>
    <xf numFmtId="0" fontId="8" fillId="0" borderId="51" xfId="0" applyFont="1" applyBorder="1" applyAlignment="1" applyProtection="1">
      <alignment horizontal="left" vertical="top"/>
      <protection locked="0"/>
    </xf>
    <xf numFmtId="0" fontId="8" fillId="0" borderId="8" xfId="0" applyFont="1" applyBorder="1" applyAlignment="1" applyProtection="1">
      <alignment horizontal="left" vertical="top"/>
      <protection locked="0"/>
    </xf>
    <xf numFmtId="0" fontId="8" fillId="0" borderId="52" xfId="0" applyFont="1" applyBorder="1" applyAlignment="1" applyProtection="1">
      <alignment horizontal="left" vertical="top"/>
      <protection locked="0"/>
    </xf>
    <xf numFmtId="0" fontId="8" fillId="0" borderId="46" xfId="0" applyFont="1" applyBorder="1" applyAlignment="1" applyProtection="1">
      <alignment horizontal="center"/>
      <protection locked="0"/>
    </xf>
    <xf numFmtId="0" fontId="8" fillId="0" borderId="0" xfId="0" applyFont="1" applyAlignment="1">
      <alignment horizontal="left"/>
    </xf>
    <xf numFmtId="0" fontId="8" fillId="0" borderId="0" xfId="0" applyFont="1" applyAlignment="1">
      <alignment horizontal="center"/>
    </xf>
    <xf numFmtId="0" fontId="8" fillId="0" borderId="2" xfId="0" applyFont="1" applyBorder="1" applyProtection="1">
      <protection locked="0"/>
    </xf>
    <xf numFmtId="180" fontId="8" fillId="0" borderId="2" xfId="0" applyNumberFormat="1" applyFont="1" applyBorder="1" applyAlignment="1" applyProtection="1">
      <alignment horizontal="center"/>
      <protection locked="0"/>
    </xf>
    <xf numFmtId="0" fontId="31" fillId="0" borderId="2" xfId="8" applyFont="1" applyBorder="1" applyAlignment="1">
      <alignment horizontal="center"/>
      <protection locked="0"/>
    </xf>
    <xf numFmtId="0" fontId="8" fillId="0" borderId="25" xfId="0" applyFont="1" applyBorder="1" applyAlignment="1">
      <alignment horizontal="center"/>
    </xf>
    <xf numFmtId="0" fontId="8" fillId="0" borderId="2" xfId="0" applyFont="1" applyBorder="1" applyAlignment="1" applyProtection="1">
      <alignment horizontal="center"/>
      <protection locked="0"/>
    </xf>
    <xf numFmtId="49" fontId="4" fillId="0" borderId="2" xfId="0" applyNumberFormat="1" applyFont="1" applyBorder="1" applyAlignment="1" applyProtection="1">
      <alignment horizontal="left"/>
      <protection locked="0"/>
    </xf>
    <xf numFmtId="176" fontId="8" fillId="15" borderId="38" xfId="0" applyNumberFormat="1" applyFont="1" applyFill="1" applyBorder="1" applyAlignment="1">
      <alignment horizontal="center"/>
    </xf>
    <xf numFmtId="49" fontId="1" fillId="0" borderId="2" xfId="0" applyNumberFormat="1" applyFont="1" applyBorder="1" applyProtection="1">
      <protection locked="0"/>
    </xf>
    <xf numFmtId="0" fontId="8" fillId="0" borderId="8" xfId="0" applyFont="1" applyBorder="1"/>
    <xf numFmtId="0" fontId="31" fillId="0" borderId="19" xfId="8" applyFont="1" applyBorder="1" applyAlignment="1" applyProtection="1">
      <alignment horizontal="center" wrapText="1"/>
    </xf>
    <xf numFmtId="38" fontId="8" fillId="0" borderId="46" xfId="0" applyNumberFormat="1" applyFont="1" applyBorder="1" applyAlignment="1" applyProtection="1">
      <alignment horizontal="center"/>
      <protection locked="0"/>
    </xf>
    <xf numFmtId="176" fontId="8" fillId="0" borderId="38" xfId="0" applyNumberFormat="1" applyFont="1" applyBorder="1" applyAlignment="1" applyProtection="1">
      <alignment horizontal="center"/>
      <protection locked="0"/>
    </xf>
    <xf numFmtId="0" fontId="89" fillId="0" borderId="0" xfId="0" applyFont="1" applyAlignment="1">
      <alignment horizontal="center" vertical="center" wrapText="1"/>
    </xf>
    <xf numFmtId="0" fontId="8" fillId="0" borderId="10" xfId="0" applyFont="1" applyBorder="1" applyAlignment="1">
      <alignment horizontal="center"/>
    </xf>
    <xf numFmtId="176" fontId="8" fillId="0" borderId="2" xfId="0" applyNumberFormat="1" applyFont="1" applyBorder="1" applyAlignment="1" applyProtection="1">
      <alignment horizontal="center"/>
      <protection locked="0"/>
    </xf>
    <xf numFmtId="0" fontId="8" fillId="0" borderId="0" xfId="0" applyFont="1" applyAlignment="1">
      <alignment horizontal="center" vertical="center"/>
    </xf>
    <xf numFmtId="0" fontId="0" fillId="0" borderId="0" xfId="0" applyAlignment="1">
      <alignment vertical="center"/>
    </xf>
    <xf numFmtId="0" fontId="0" fillId="0" borderId="10" xfId="0" applyBorder="1" applyAlignment="1">
      <alignment vertical="center"/>
    </xf>
    <xf numFmtId="0" fontId="4" fillId="0" borderId="2" xfId="0" applyFont="1" applyBorder="1" applyAlignment="1">
      <alignment horizontal="center"/>
    </xf>
    <xf numFmtId="0" fontId="1" fillId="0" borderId="2" xfId="0" applyFont="1" applyBorder="1" applyAlignment="1">
      <alignment horizontal="center"/>
    </xf>
    <xf numFmtId="0" fontId="4" fillId="0" borderId="2" xfId="0" applyFont="1" applyBorder="1" applyAlignment="1">
      <alignment horizontal="left"/>
    </xf>
    <xf numFmtId="0" fontId="1" fillId="0" borderId="2" xfId="0" applyFont="1" applyBorder="1"/>
    <xf numFmtId="0" fontId="10" fillId="0" borderId="0" xfId="0" applyFont="1" applyAlignment="1">
      <alignment horizontal="right" vertical="top" wrapText="1"/>
    </xf>
    <xf numFmtId="0" fontId="8" fillId="0" borderId="100" xfId="0" applyFont="1" applyBorder="1" applyAlignment="1">
      <alignment horizontal="left" wrapText="1"/>
    </xf>
    <xf numFmtId="0" fontId="8" fillId="0" borderId="43" xfId="0" applyFont="1" applyBorder="1" applyAlignment="1">
      <alignment horizontal="left" wrapText="1"/>
    </xf>
    <xf numFmtId="38" fontId="61" fillId="0" borderId="0" xfId="0" applyNumberFormat="1" applyFont="1" applyAlignment="1">
      <alignment horizontal="right"/>
    </xf>
    <xf numFmtId="0" fontId="100" fillId="0" borderId="0" xfId="8" applyFont="1" applyFill="1" applyAlignment="1" applyProtection="1">
      <alignment horizontal="left"/>
    </xf>
    <xf numFmtId="38" fontId="4" fillId="0" borderId="10" xfId="0" applyNumberFormat="1" applyFont="1" applyBorder="1"/>
    <xf numFmtId="0" fontId="0" fillId="0" borderId="10" xfId="0" applyBorder="1"/>
    <xf numFmtId="49" fontId="4" fillId="0" borderId="2" xfId="0" applyNumberFormat="1" applyFont="1" applyBorder="1" applyAlignment="1">
      <alignment horizontal="left"/>
    </xf>
    <xf numFmtId="0" fontId="0" fillId="0" borderId="2" xfId="0" applyBorder="1"/>
    <xf numFmtId="0" fontId="9" fillId="0" borderId="0" xfId="0" applyFont="1" applyAlignment="1">
      <alignment horizontal="right"/>
    </xf>
    <xf numFmtId="0" fontId="0" fillId="0" borderId="0" xfId="0" applyAlignment="1">
      <alignment horizontal="right"/>
    </xf>
    <xf numFmtId="0" fontId="99" fillId="0" borderId="0" xfId="0" applyFont="1" applyAlignment="1">
      <alignment horizontal="left" vertical="top" wrapText="1"/>
    </xf>
    <xf numFmtId="0" fontId="9" fillId="6" borderId="0" xfId="0" applyFont="1" applyFill="1" applyAlignment="1">
      <alignment horizontal="center"/>
    </xf>
    <xf numFmtId="0" fontId="37" fillId="6" borderId="0" xfId="8" applyFont="1" applyFill="1" applyAlignment="1" applyProtection="1">
      <alignment horizontal="left"/>
    </xf>
    <xf numFmtId="0" fontId="8" fillId="0" borderId="29" xfId="0" applyFont="1" applyBorder="1" applyAlignment="1">
      <alignment wrapText="1"/>
    </xf>
    <xf numFmtId="0" fontId="8" fillId="0" borderId="0" xfId="0" applyFont="1" applyBorder="1" applyAlignment="1">
      <alignment wrapText="1"/>
    </xf>
    <xf numFmtId="0" fontId="8" fillId="0" borderId="51" xfId="0" applyFont="1" applyBorder="1" applyAlignment="1">
      <alignment horizontal="left" wrapText="1"/>
    </xf>
    <xf numFmtId="0" fontId="8" fillId="0" borderId="8" xfId="0" applyFont="1" applyBorder="1" applyAlignment="1">
      <alignment horizontal="left" wrapText="1"/>
    </xf>
    <xf numFmtId="37" fontId="8" fillId="0" borderId="0" xfId="0" applyNumberFormat="1" applyFont="1"/>
    <xf numFmtId="0" fontId="8" fillId="0" borderId="29" xfId="0" applyFont="1" applyBorder="1" applyAlignment="1">
      <alignment horizontal="left" wrapText="1"/>
    </xf>
    <xf numFmtId="0" fontId="8" fillId="0" borderId="0" xfId="0" applyFont="1" applyBorder="1" applyAlignment="1">
      <alignment horizontal="left" wrapText="1"/>
    </xf>
    <xf numFmtId="0" fontId="83" fillId="0" borderId="0" xfId="0" applyFont="1" applyAlignment="1">
      <alignment horizontal="left"/>
    </xf>
    <xf numFmtId="0" fontId="0" fillId="0" borderId="2" xfId="0" applyBorder="1" applyAlignment="1">
      <alignment horizontal="left"/>
    </xf>
    <xf numFmtId="0" fontId="90" fillId="0" borderId="8" xfId="0" applyFont="1" applyBorder="1" applyAlignment="1">
      <alignment horizontal="center" vertical="center"/>
    </xf>
    <xf numFmtId="0" fontId="6" fillId="0" borderId="21" xfId="0" applyFont="1" applyBorder="1" applyAlignment="1">
      <alignment horizontal="center"/>
    </xf>
    <xf numFmtId="0" fontId="6" fillId="0" borderId="18" xfId="0" applyFont="1" applyBorder="1" applyAlignment="1">
      <alignment horizontal="center"/>
    </xf>
    <xf numFmtId="0" fontId="10" fillId="0" borderId="0" xfId="0" applyFont="1" applyBorder="1" applyAlignment="1">
      <alignment horizontal="center" wrapText="1"/>
    </xf>
    <xf numFmtId="0" fontId="8" fillId="0" borderId="0" xfId="0" applyFont="1" applyAlignment="1">
      <alignment horizontal="right"/>
    </xf>
    <xf numFmtId="0" fontId="8" fillId="0" borderId="35" xfId="0" applyFont="1" applyBorder="1" applyAlignment="1">
      <alignment horizontal="left" wrapText="1"/>
    </xf>
    <xf numFmtId="0" fontId="8" fillId="0" borderId="19" xfId="0" applyFont="1" applyBorder="1" applyAlignment="1">
      <alignment horizontal="left" wrapText="1"/>
    </xf>
    <xf numFmtId="0" fontId="8" fillId="0" borderId="0" xfId="0" applyFont="1" applyAlignment="1">
      <alignment horizontal="left" vertical="top" wrapText="1"/>
    </xf>
    <xf numFmtId="0" fontId="8" fillId="0" borderId="94" xfId="0" applyFont="1" applyBorder="1" applyAlignment="1">
      <alignment horizontal="left" wrapText="1"/>
    </xf>
    <xf numFmtId="0" fontId="8" fillId="0" borderId="14" xfId="0" applyFont="1" applyBorder="1" applyAlignment="1">
      <alignment horizontal="center"/>
    </xf>
    <xf numFmtId="0" fontId="0" fillId="0" borderId="32" xfId="0" applyBorder="1"/>
    <xf numFmtId="0" fontId="8" fillId="0" borderId="37" xfId="0" applyFont="1" applyBorder="1" applyAlignment="1">
      <alignment horizontal="center" wrapText="1"/>
    </xf>
    <xf numFmtId="0" fontId="0" fillId="0" borderId="56" xfId="0" applyBorder="1" applyAlignment="1">
      <alignment horizontal="center" wrapText="1"/>
    </xf>
    <xf numFmtId="0" fontId="8" fillId="0" borderId="56" xfId="0" applyFont="1" applyBorder="1" applyAlignment="1">
      <alignment horizontal="center" wrapText="1"/>
    </xf>
    <xf numFmtId="0" fontId="8" fillId="0" borderId="0" xfId="0" applyFont="1" applyAlignment="1">
      <alignment horizontal="center" wrapText="1"/>
    </xf>
    <xf numFmtId="0" fontId="8" fillId="0" borderId="8" xfId="0" applyFont="1" applyBorder="1" applyAlignment="1">
      <alignment horizontal="center" wrapText="1"/>
    </xf>
    <xf numFmtId="0" fontId="8" fillId="0" borderId="0" xfId="0" applyFont="1" applyAlignment="1">
      <alignment horizontal="left" vertical="center" wrapText="1"/>
    </xf>
    <xf numFmtId="0" fontId="0" fillId="0" borderId="0" xfId="0" applyAlignment="1">
      <alignment horizontal="left" vertical="center" wrapText="1"/>
    </xf>
    <xf numFmtId="0" fontId="7" fillId="0" borderId="2" xfId="0" applyFont="1" applyBorder="1" applyAlignment="1">
      <alignment horizontal="center"/>
    </xf>
    <xf numFmtId="0" fontId="10" fillId="0" borderId="0" xfId="0" applyFont="1" applyAlignment="1">
      <alignment horizontal="center" vertical="top" wrapText="1"/>
    </xf>
    <xf numFmtId="37" fontId="8" fillId="0" borderId="0" xfId="0" applyNumberFormat="1" applyFont="1" applyAlignment="1">
      <alignment horizontal="right"/>
    </xf>
    <xf numFmtId="165" fontId="8" fillId="0" borderId="0" xfId="0" applyNumberFormat="1" applyFont="1" applyAlignment="1">
      <alignment horizontal="right"/>
    </xf>
    <xf numFmtId="3" fontId="8" fillId="0" borderId="0" xfId="11" applyNumberFormat="1" applyFont="1" applyAlignment="1">
      <alignment horizontal="right"/>
    </xf>
    <xf numFmtId="3" fontId="8" fillId="0" borderId="0" xfId="0" applyNumberFormat="1" applyFont="1"/>
    <xf numFmtId="0" fontId="15" fillId="0" borderId="33" xfId="11" applyFont="1" applyBorder="1" applyAlignment="1">
      <alignment horizontal="center"/>
    </xf>
    <xf numFmtId="0" fontId="15" fillId="0" borderId="14" xfId="11" applyFont="1" applyBorder="1" applyAlignment="1">
      <alignment horizontal="center"/>
    </xf>
    <xf numFmtId="177" fontId="15" fillId="0" borderId="14" xfId="11" applyNumberFormat="1" applyFont="1" applyBorder="1" applyAlignment="1">
      <alignment horizontal="center"/>
    </xf>
    <xf numFmtId="177" fontId="15" fillId="2" borderId="3" xfId="11" applyNumberFormat="1" applyFont="1" applyFill="1" applyBorder="1" applyAlignment="1">
      <alignment horizontal="center"/>
    </xf>
    <xf numFmtId="0" fontId="44" fillId="5" borderId="31" xfId="8" applyFont="1" applyFill="1" applyBorder="1" applyAlignment="1" applyProtection="1">
      <alignment horizontal="center"/>
    </xf>
    <xf numFmtId="0" fontId="44" fillId="5" borderId="33" xfId="8" applyFont="1" applyFill="1" applyBorder="1" applyAlignment="1" applyProtection="1">
      <alignment horizontal="center"/>
    </xf>
    <xf numFmtId="0" fontId="44" fillId="5" borderId="94" xfId="8" applyFont="1" applyFill="1" applyBorder="1" applyAlignment="1" applyProtection="1">
      <alignment horizontal="center"/>
    </xf>
    <xf numFmtId="0" fontId="44" fillId="5" borderId="79" xfId="8" applyFont="1" applyFill="1" applyBorder="1" applyAlignment="1" applyProtection="1">
      <alignment horizontal="center"/>
    </xf>
    <xf numFmtId="0" fontId="15" fillId="0" borderId="34" xfId="11" applyFont="1" applyBorder="1" applyAlignment="1">
      <alignment horizontal="center"/>
    </xf>
    <xf numFmtId="0" fontId="15" fillId="0" borderId="3" xfId="11" applyFont="1" applyBorder="1" applyAlignment="1">
      <alignment horizontal="center"/>
    </xf>
    <xf numFmtId="4" fontId="12" fillId="0" borderId="7" xfId="0" applyNumberFormat="1" applyFont="1" applyBorder="1" applyAlignment="1" applyProtection="1">
      <alignment horizontal="right"/>
      <protection locked="0"/>
    </xf>
    <xf numFmtId="49" fontId="4" fillId="0" borderId="46" xfId="0" applyNumberFormat="1" applyFont="1" applyBorder="1" applyAlignment="1">
      <alignment horizontal="center"/>
    </xf>
    <xf numFmtId="0" fontId="12" fillId="0" borderId="25" xfId="0" applyFont="1" applyBorder="1" applyAlignment="1">
      <alignment horizontal="center"/>
    </xf>
    <xf numFmtId="0" fontId="12" fillId="0" borderId="33" xfId="0" applyFont="1" applyBorder="1" applyAlignment="1">
      <alignment horizontal="center"/>
    </xf>
    <xf numFmtId="0" fontId="22" fillId="0" borderId="26" xfId="0" applyFont="1" applyBorder="1" applyAlignment="1">
      <alignment horizontal="center"/>
    </xf>
    <xf numFmtId="0" fontId="22" fillId="0" borderId="0" xfId="0" applyFont="1" applyAlignment="1">
      <alignment horizontal="center"/>
    </xf>
    <xf numFmtId="0" fontId="22" fillId="0" borderId="10" xfId="0" applyFont="1" applyBorder="1" applyAlignment="1">
      <alignment horizontal="center"/>
    </xf>
    <xf numFmtId="0" fontId="12" fillId="0" borderId="40" xfId="0" applyFont="1" applyBorder="1" applyAlignment="1">
      <alignment horizontal="center"/>
    </xf>
    <xf numFmtId="0" fontId="12" fillId="0" borderId="83" xfId="0" applyFont="1" applyBorder="1" applyAlignment="1">
      <alignment horizontal="center"/>
    </xf>
    <xf numFmtId="4" fontId="12" fillId="0" borderId="101" xfId="0" applyNumberFormat="1" applyFont="1" applyBorder="1" applyAlignment="1">
      <alignment horizontal="right"/>
    </xf>
    <xf numFmtId="4" fontId="12" fillId="0" borderId="102" xfId="0" applyNumberFormat="1" applyFont="1" applyBorder="1" applyAlignment="1">
      <alignment horizontal="right"/>
    </xf>
    <xf numFmtId="4" fontId="12" fillId="0" borderId="26" xfId="0" applyNumberFormat="1" applyFont="1" applyBorder="1" applyAlignment="1" applyProtection="1">
      <alignment horizontal="right"/>
      <protection locked="0"/>
    </xf>
    <xf numFmtId="4" fontId="12" fillId="0" borderId="10" xfId="0" applyNumberFormat="1" applyFont="1" applyBorder="1" applyAlignment="1" applyProtection="1">
      <alignment horizontal="right"/>
      <protection locked="0"/>
    </xf>
    <xf numFmtId="4" fontId="12" fillId="0" borderId="103" xfId="0" applyNumberFormat="1" applyFont="1" applyBorder="1" applyAlignment="1">
      <alignment horizontal="right"/>
    </xf>
    <xf numFmtId="4" fontId="12" fillId="0" borderId="104" xfId="0" applyNumberFormat="1" applyFont="1" applyBorder="1" applyAlignment="1">
      <alignment horizontal="right"/>
    </xf>
    <xf numFmtId="37" fontId="8" fillId="0" borderId="0" xfId="0" applyNumberFormat="1" applyFont="1" applyBorder="1" applyAlignment="1">
      <alignment horizontal="right"/>
    </xf>
    <xf numFmtId="37" fontId="12" fillId="0" borderId="0" xfId="0" applyNumberFormat="1" applyFont="1" applyBorder="1" applyAlignment="1">
      <alignment horizontal="right"/>
    </xf>
    <xf numFmtId="49" fontId="10" fillId="0" borderId="0" xfId="0" applyNumberFormat="1" applyFont="1" applyAlignment="1">
      <alignment horizontal="left"/>
    </xf>
    <xf numFmtId="0" fontId="32" fillId="0" borderId="0" xfId="0" applyFont="1" applyAlignment="1">
      <alignment horizontal="left"/>
    </xf>
    <xf numFmtId="0" fontId="10" fillId="0" borderId="0" xfId="0" applyFont="1" applyBorder="1" applyAlignment="1">
      <alignment horizontal="center"/>
    </xf>
    <xf numFmtId="37" fontId="10" fillId="0" borderId="0" xfId="0" applyNumberFormat="1" applyFont="1" applyBorder="1" applyAlignment="1">
      <alignment horizontal="center"/>
    </xf>
    <xf numFmtId="4" fontId="12" fillId="0" borderId="105" xfId="0" applyNumberFormat="1" applyFont="1" applyBorder="1" applyAlignment="1" applyProtection="1">
      <alignment horizontal="right"/>
      <protection locked="0"/>
    </xf>
    <xf numFmtId="4" fontId="12" fillId="0" borderId="106" xfId="0" applyNumberFormat="1" applyFont="1" applyBorder="1" applyAlignment="1" applyProtection="1">
      <alignment horizontal="right"/>
      <protection locked="0"/>
    </xf>
    <xf numFmtId="37" fontId="12" fillId="2" borderId="2" xfId="13" applyNumberFormat="1" applyFont="1" applyBorder="1" applyAlignment="1">
      <alignment horizontal="left"/>
    </xf>
    <xf numFmtId="37" fontId="12" fillId="2" borderId="0" xfId="13" applyNumberFormat="1" applyFont="1"/>
    <xf numFmtId="37" fontId="10"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2" fillId="0" borderId="0" xfId="0" applyFont="1" applyAlignment="1">
      <alignment wrapText="1"/>
    </xf>
    <xf numFmtId="0" fontId="64" fillId="0" borderId="0" xfId="13" applyFont="1" applyFill="1" applyAlignment="1">
      <alignment horizontal="left" vertical="top" wrapText="1"/>
    </xf>
    <xf numFmtId="37" fontId="12" fillId="2" borderId="0" xfId="13" applyNumberFormat="1" applyFont="1" applyAlignment="1">
      <alignment horizontal="left" vertical="center" wrapText="1"/>
    </xf>
    <xf numFmtId="0" fontId="8" fillId="0" borderId="0" xfId="13" applyFont="1" applyFill="1" applyAlignment="1">
      <alignment horizontal="left" vertical="top" wrapText="1"/>
    </xf>
    <xf numFmtId="37" fontId="12" fillId="0" borderId="0" xfId="13" applyNumberFormat="1" applyFont="1" applyFill="1" applyAlignment="1">
      <alignment horizontal="left" vertical="top" wrapText="1"/>
    </xf>
    <xf numFmtId="37" fontId="12" fillId="0" borderId="0" xfId="13" applyNumberFormat="1" applyFont="1" applyFill="1" applyAlignment="1">
      <alignment horizontal="left" vertical="top"/>
    </xf>
    <xf numFmtId="37" fontId="64" fillId="0" borderId="0" xfId="13" applyNumberFormat="1" applyFont="1" applyFill="1" applyAlignment="1">
      <alignment horizontal="left" vertical="top" wrapText="1"/>
    </xf>
    <xf numFmtId="0" fontId="25" fillId="0" borderId="0" xfId="0" applyFont="1"/>
    <xf numFmtId="0" fontId="8" fillId="0" borderId="8" xfId="21" applyFont="1" applyFill="1" applyBorder="1" applyAlignment="1" applyProtection="1">
      <alignment horizontal="left" vertical="top"/>
      <protection locked="0"/>
    </xf>
    <xf numFmtId="0" fontId="12" fillId="0" borderId="0" xfId="13" applyFont="1" applyFill="1" applyAlignment="1">
      <alignment horizontal="left" vertical="top" wrapText="1"/>
    </xf>
    <xf numFmtId="0" fontId="91" fillId="0" borderId="0" xfId="13" applyFont="1" applyFill="1" applyAlignment="1">
      <alignment horizontal="left" wrapText="1"/>
    </xf>
    <xf numFmtId="37" fontId="8" fillId="0" borderId="0" xfId="13" applyNumberFormat="1" applyFont="1" applyFill="1" applyAlignment="1">
      <alignment horizontal="left" vertical="top" wrapText="1"/>
    </xf>
    <xf numFmtId="0" fontId="8" fillId="0" borderId="8" xfId="21" applyFont="1" applyFill="1" applyBorder="1" applyAlignment="1" applyProtection="1">
      <alignment horizontal="left" vertical="top" wrapText="1"/>
      <protection locked="0"/>
    </xf>
    <xf numFmtId="0" fontId="91" fillId="0" borderId="0" xfId="13" applyFont="1" applyFill="1" applyAlignment="1">
      <alignment horizontal="center" wrapText="1"/>
    </xf>
    <xf numFmtId="0" fontId="91" fillId="0" borderId="0" xfId="13" applyFont="1" applyFill="1" applyAlignment="1">
      <alignment horizontal="center" vertical="center" wrapText="1"/>
    </xf>
    <xf numFmtId="0" fontId="8" fillId="0" borderId="0" xfId="13" applyFont="1" applyFill="1" applyAlignment="1">
      <alignment wrapText="1"/>
    </xf>
    <xf numFmtId="0" fontId="8" fillId="0" borderId="0" xfId="0" applyFont="1" applyAlignment="1">
      <alignment wrapText="1"/>
    </xf>
    <xf numFmtId="0" fontId="4" fillId="0" borderId="0" xfId="13" applyFont="1" applyFill="1" applyAlignment="1">
      <alignment vertical="top" wrapText="1"/>
    </xf>
    <xf numFmtId="0" fontId="0" fillId="0" borderId="0" xfId="0" applyAlignment="1">
      <alignment vertical="top" wrapText="1"/>
    </xf>
    <xf numFmtId="0" fontId="4" fillId="0" borderId="0" xfId="0" applyFont="1" applyAlignment="1">
      <alignment vertical="top" wrapText="1"/>
    </xf>
    <xf numFmtId="0" fontId="0" fillId="0" borderId="0" xfId="0" applyAlignment="1">
      <alignment wrapText="1"/>
    </xf>
    <xf numFmtId="0" fontId="9" fillId="0" borderId="0" xfId="13" applyFont="1" applyFill="1" applyAlignment="1">
      <alignment horizontal="center" wrapText="1"/>
    </xf>
    <xf numFmtId="0" fontId="1" fillId="0" borderId="0" xfId="0" applyFont="1" applyAlignment="1">
      <alignment horizontal="center" wrapText="1"/>
    </xf>
    <xf numFmtId="0" fontId="4" fillId="0" borderId="0" xfId="0" applyFont="1" applyAlignment="1">
      <alignment horizontal="left"/>
    </xf>
    <xf numFmtId="0" fontId="4" fillId="0" borderId="0" xfId="8" applyNumberFormat="1" applyFont="1" applyFill="1" applyAlignment="1" applyProtection="1">
      <alignment horizontal="left"/>
    </xf>
    <xf numFmtId="0" fontId="4" fillId="0" borderId="8" xfId="13" applyFont="1" applyFill="1" applyBorder="1" applyAlignment="1" applyProtection="1">
      <alignment horizontal="left"/>
      <protection locked="0"/>
    </xf>
    <xf numFmtId="0" fontId="4" fillId="2" borderId="0" xfId="13" applyFont="1" applyAlignment="1">
      <alignment horizontal="left" wrapText="1"/>
    </xf>
    <xf numFmtId="0" fontId="4" fillId="0" borderId="0" xfId="0" quotePrefix="1" applyFont="1" applyAlignment="1">
      <alignment horizontal="left"/>
    </xf>
    <xf numFmtId="49" fontId="24" fillId="0" borderId="0" xfId="13" applyNumberFormat="1" applyFont="1" applyFill="1" applyAlignment="1">
      <alignment horizontal="left"/>
    </xf>
    <xf numFmtId="37" fontId="4" fillId="0" borderId="0" xfId="0" applyNumberFormat="1" applyFont="1" applyAlignment="1">
      <alignment horizontal="right"/>
    </xf>
    <xf numFmtId="0" fontId="4" fillId="0" borderId="0" xfId="0" quotePrefix="1" applyFont="1" applyAlignment="1">
      <alignment horizontal="left" wrapText="1"/>
    </xf>
    <xf numFmtId="0" fontId="4" fillId="0" borderId="0" xfId="13" applyFont="1" applyFill="1" applyAlignment="1">
      <alignment horizontal="left"/>
    </xf>
    <xf numFmtId="0" fontId="10" fillId="0" borderId="31" xfId="0" applyFont="1" applyBorder="1"/>
    <xf numFmtId="0" fontId="10" fillId="0" borderId="25" xfId="0" applyFont="1" applyBorder="1"/>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9" fillId="0" borderId="26" xfId="0" applyFont="1" applyBorder="1"/>
    <xf numFmtId="0" fontId="9" fillId="0" borderId="0" xfId="0" applyFont="1"/>
    <xf numFmtId="0" fontId="80" fillId="0" borderId="0" xfId="13" applyFont="1" applyFill="1" applyAlignment="1">
      <alignment horizontal="center" wrapText="1"/>
    </xf>
    <xf numFmtId="37" fontId="13" fillId="0" borderId="35" xfId="14" applyNumberFormat="1" applyFont="1" applyFill="1" applyBorder="1" applyAlignment="1">
      <alignment horizontal="center"/>
    </xf>
    <xf numFmtId="37" fontId="13" fillId="0" borderId="19" xfId="14" applyNumberFormat="1" applyFont="1" applyFill="1" applyBorder="1" applyAlignment="1">
      <alignment horizontal="center"/>
    </xf>
    <xf numFmtId="37" fontId="13" fillId="0" borderId="36" xfId="14" applyNumberFormat="1" applyFont="1" applyFill="1" applyBorder="1" applyAlignment="1">
      <alignment horizontal="center"/>
    </xf>
    <xf numFmtId="0" fontId="15" fillId="2" borderId="0" xfId="13" applyFont="1" applyAlignment="1">
      <alignment horizontal="center" wrapText="1"/>
    </xf>
    <xf numFmtId="0" fontId="15" fillId="2" borderId="2" xfId="13" applyFont="1" applyBorder="1" applyAlignment="1">
      <alignment horizontal="center" wrapText="1"/>
    </xf>
    <xf numFmtId="0" fontId="15" fillId="0" borderId="8" xfId="0" applyFont="1" applyBorder="1" applyAlignment="1" applyProtection="1">
      <alignment horizontal="center"/>
      <protection locked="0"/>
    </xf>
    <xf numFmtId="0" fontId="0" fillId="0" borderId="8" xfId="0" applyBorder="1" applyAlignment="1" applyProtection="1">
      <alignment horizontal="center"/>
      <protection locked="0"/>
    </xf>
    <xf numFmtId="37" fontId="13" fillId="2" borderId="29" xfId="14" applyNumberFormat="1" applyFont="1" applyBorder="1" applyAlignment="1">
      <alignment horizontal="left" wrapText="1"/>
    </xf>
    <xf numFmtId="37" fontId="13" fillId="2" borderId="0" xfId="14" applyNumberFormat="1" applyFont="1" applyAlignment="1">
      <alignment horizontal="left" wrapText="1"/>
    </xf>
    <xf numFmtId="37" fontId="13" fillId="2" borderId="51" xfId="14" applyNumberFormat="1" applyFont="1" applyBorder="1" applyAlignment="1">
      <alignment horizontal="left" wrapText="1"/>
    </xf>
    <xf numFmtId="37" fontId="13" fillId="2" borderId="8" xfId="14" applyNumberFormat="1" applyFont="1" applyBorder="1" applyAlignment="1">
      <alignment horizontal="left" wrapText="1"/>
    </xf>
    <xf numFmtId="37" fontId="13" fillId="2" borderId="54" xfId="14" applyNumberFormat="1" applyFont="1" applyBorder="1" applyAlignment="1">
      <alignment horizontal="center" vertical="center"/>
    </xf>
    <xf numFmtId="37" fontId="13" fillId="2" borderId="9" xfId="14" applyNumberFormat="1" applyFont="1" applyBorder="1" applyAlignment="1">
      <alignment horizontal="center" vertical="center"/>
    </xf>
    <xf numFmtId="37" fontId="13" fillId="2" borderId="29" xfId="14" applyNumberFormat="1" applyFont="1" applyBorder="1" applyAlignment="1">
      <alignment horizontal="left" vertical="center" wrapText="1"/>
    </xf>
    <xf numFmtId="37" fontId="13" fillId="2" borderId="0" xfId="14" applyNumberFormat="1" applyFont="1" applyAlignment="1">
      <alignment horizontal="left" vertical="center" wrapText="1"/>
    </xf>
    <xf numFmtId="37" fontId="13" fillId="2" borderId="19" xfId="14" applyNumberFormat="1" applyFont="1" applyBorder="1" applyAlignment="1">
      <alignment horizontal="center"/>
    </xf>
    <xf numFmtId="0" fontId="6" fillId="2" borderId="19" xfId="14" applyFont="1" applyBorder="1" applyAlignment="1">
      <alignment horizontal="left" vertical="top" wrapText="1"/>
    </xf>
    <xf numFmtId="0" fontId="6" fillId="2" borderId="36" xfId="14" applyFont="1" applyBorder="1" applyAlignment="1">
      <alignment horizontal="left" vertical="top" wrapText="1"/>
    </xf>
    <xf numFmtId="0" fontId="6" fillId="2" borderId="0" xfId="14" applyFont="1" applyAlignment="1">
      <alignment horizontal="left" vertical="top" wrapText="1"/>
    </xf>
    <xf numFmtId="0" fontId="6" fillId="2" borderId="49" xfId="14" applyFont="1" applyBorder="1" applyAlignment="1">
      <alignment horizontal="left" vertical="top" wrapText="1"/>
    </xf>
    <xf numFmtId="0" fontId="6" fillId="2" borderId="29" xfId="14" applyFont="1" applyBorder="1" applyAlignment="1">
      <alignment horizontal="left" vertical="top" wrapText="1"/>
    </xf>
    <xf numFmtId="0" fontId="6" fillId="2" borderId="51" xfId="14" applyFont="1" applyBorder="1" applyAlignment="1">
      <alignment horizontal="left" vertical="top" wrapText="1"/>
    </xf>
    <xf numFmtId="0" fontId="6" fillId="2" borderId="8" xfId="14" applyFont="1" applyBorder="1" applyAlignment="1">
      <alignment horizontal="left" vertical="top" wrapText="1"/>
    </xf>
    <xf numFmtId="0" fontId="6" fillId="2" borderId="52" xfId="14" applyFont="1" applyBorder="1" applyAlignment="1">
      <alignment horizontal="left" vertical="top" wrapText="1"/>
    </xf>
    <xf numFmtId="0" fontId="15" fillId="9" borderId="0" xfId="13" applyFont="1" applyFill="1" applyAlignment="1">
      <alignment horizontal="center" wrapText="1"/>
    </xf>
    <xf numFmtId="0" fontId="15" fillId="9" borderId="2" xfId="13" applyFont="1" applyFill="1" applyBorder="1" applyAlignment="1">
      <alignment horizontal="center" wrapText="1"/>
    </xf>
    <xf numFmtId="0" fontId="15" fillId="2" borderId="36" xfId="13" applyFont="1" applyBorder="1" applyAlignment="1">
      <alignment horizontal="center" wrapText="1"/>
    </xf>
    <xf numFmtId="0" fontId="15" fillId="2" borderId="47" xfId="13" applyFont="1" applyBorder="1" applyAlignment="1">
      <alignment horizontal="center" wrapText="1"/>
    </xf>
    <xf numFmtId="0" fontId="15" fillId="0" borderId="0" xfId="14" applyFont="1" applyFill="1" applyAlignment="1">
      <alignment horizontal="left"/>
    </xf>
    <xf numFmtId="0" fontId="15" fillId="0" borderId="8" xfId="14" applyFont="1" applyFill="1" applyBorder="1" applyAlignment="1" applyProtection="1">
      <alignment horizontal="center"/>
      <protection locked="0"/>
    </xf>
    <xf numFmtId="0" fontId="15" fillId="0" borderId="0" xfId="0" applyFont="1"/>
    <xf numFmtId="0" fontId="6" fillId="2" borderId="8" xfId="14" applyFont="1" applyBorder="1" applyAlignment="1" applyProtection="1">
      <alignment horizontal="center"/>
      <protection locked="0"/>
    </xf>
    <xf numFmtId="0" fontId="80" fillId="2" borderId="0" xfId="14" applyFont="1" applyAlignment="1">
      <alignment horizontal="center" wrapText="1"/>
    </xf>
    <xf numFmtId="0" fontId="15" fillId="0" borderId="0" xfId="0" applyFont="1" applyAlignment="1">
      <alignment horizontal="center"/>
    </xf>
    <xf numFmtId="0" fontId="0" fillId="0" borderId="0" xfId="0" applyAlignment="1">
      <alignment horizontal="center"/>
    </xf>
    <xf numFmtId="0" fontId="6" fillId="0" borderId="0" xfId="15" applyFont="1" applyFill="1" applyAlignment="1">
      <alignment horizontal="left" wrapText="1"/>
    </xf>
    <xf numFmtId="0" fontId="6" fillId="0" borderId="8" xfId="15" applyFont="1" applyFill="1" applyBorder="1" applyAlignment="1">
      <alignment horizontal="left" wrapText="1"/>
    </xf>
    <xf numFmtId="49" fontId="6" fillId="2" borderId="8" xfId="15" applyNumberFormat="1" applyFont="1" applyBorder="1" applyAlignment="1">
      <alignment horizontal="center"/>
    </xf>
    <xf numFmtId="0" fontId="6" fillId="2" borderId="8" xfId="14" applyFont="1" applyBorder="1" applyAlignment="1">
      <alignment horizontal="center"/>
    </xf>
    <xf numFmtId="37" fontId="13" fillId="0" borderId="0" xfId="15" applyNumberFormat="1" applyFont="1" applyFill="1" applyAlignment="1">
      <alignment horizontal="left" vertical="top"/>
    </xf>
    <xf numFmtId="37" fontId="14" fillId="0" borderId="5" xfId="15" applyNumberFormat="1" applyFont="1" applyFill="1" applyBorder="1" applyAlignment="1">
      <alignment horizontal="center"/>
    </xf>
    <xf numFmtId="0" fontId="0" fillId="0" borderId="5" xfId="0" applyBorder="1" applyAlignment="1">
      <alignment horizontal="center"/>
    </xf>
    <xf numFmtId="37" fontId="13" fillId="2" borderId="39" xfId="15" applyNumberFormat="1" applyFont="1" applyBorder="1" applyAlignment="1">
      <alignment horizontal="center"/>
    </xf>
    <xf numFmtId="0" fontId="0" fillId="0" borderId="22" xfId="0" applyBorder="1"/>
    <xf numFmtId="0" fontId="93" fillId="0" borderId="0" xfId="15" applyFont="1" applyFill="1" applyAlignment="1">
      <alignment horizontal="center" vertical="center" wrapText="1"/>
    </xf>
    <xf numFmtId="0" fontId="15" fillId="0" borderId="39" xfId="15" applyFont="1" applyFill="1" applyBorder="1" applyAlignment="1">
      <alignment horizontal="center"/>
    </xf>
    <xf numFmtId="0" fontId="15" fillId="0" borderId="38" xfId="15" applyFont="1" applyFill="1" applyBorder="1" applyAlignment="1">
      <alignment horizontal="center"/>
    </xf>
    <xf numFmtId="37" fontId="13" fillId="2" borderId="22" xfId="15" applyNumberFormat="1" applyFont="1" applyBorder="1" applyAlignment="1">
      <alignment horizontal="center"/>
    </xf>
    <xf numFmtId="37" fontId="13" fillId="2" borderId="100" xfId="15" applyNumberFormat="1" applyFont="1" applyBorder="1" applyAlignment="1">
      <alignment horizontal="center"/>
    </xf>
    <xf numFmtId="37" fontId="13" fillId="2" borderId="43" xfId="15" applyNumberFormat="1" applyFont="1" applyBorder="1" applyAlignment="1">
      <alignment horizontal="center"/>
    </xf>
    <xf numFmtId="37" fontId="13" fillId="0" borderId="21" xfId="15" applyNumberFormat="1" applyFont="1" applyFill="1" applyBorder="1" applyAlignment="1">
      <alignment horizontal="center"/>
    </xf>
    <xf numFmtId="37" fontId="13" fillId="0" borderId="5" xfId="15" applyNumberFormat="1" applyFont="1" applyFill="1" applyBorder="1" applyAlignment="1">
      <alignment horizontal="center"/>
    </xf>
    <xf numFmtId="37" fontId="13" fillId="0" borderId="18" xfId="15" applyNumberFormat="1" applyFont="1" applyFill="1" applyBorder="1" applyAlignment="1">
      <alignment horizontal="center"/>
    </xf>
    <xf numFmtId="0" fontId="15" fillId="0" borderId="39" xfId="0" applyFont="1" applyBorder="1" applyAlignment="1">
      <alignment horizontal="center"/>
    </xf>
    <xf numFmtId="0" fontId="15" fillId="0" borderId="38" xfId="0" applyFont="1" applyBorder="1" applyAlignment="1">
      <alignment horizontal="center"/>
    </xf>
    <xf numFmtId="0" fontId="15" fillId="0" borderId="22" xfId="0" applyFont="1" applyBorder="1" applyAlignment="1">
      <alignment horizontal="center"/>
    </xf>
    <xf numFmtId="37" fontId="13" fillId="2" borderId="29" xfId="15" applyNumberFormat="1" applyFont="1" applyBorder="1" applyAlignment="1">
      <alignment horizontal="center"/>
    </xf>
    <xf numFmtId="37" fontId="13" fillId="2" borderId="10" xfId="15" applyNumberFormat="1" applyFont="1" applyBorder="1" applyAlignment="1">
      <alignment horizontal="center"/>
    </xf>
    <xf numFmtId="0" fontId="94" fillId="2" borderId="0" xfId="14" applyFont="1" applyAlignment="1">
      <alignment horizontal="left" vertical="top" wrapText="1"/>
    </xf>
    <xf numFmtId="37" fontId="4" fillId="0" borderId="8" xfId="0" applyNumberFormat="1" applyFont="1" applyBorder="1" applyAlignment="1">
      <alignment horizontal="left"/>
    </xf>
    <xf numFmtId="0" fontId="4" fillId="0" borderId="0" xfId="0" applyFont="1" applyAlignment="1">
      <alignment horizontal="right"/>
    </xf>
    <xf numFmtId="0" fontId="8"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10" fillId="0" borderId="0" xfId="0" applyFont="1" applyAlignment="1">
      <alignment horizontal="center" wrapText="1"/>
    </xf>
    <xf numFmtId="0" fontId="8" fillId="0" borderId="0" xfId="0" applyFont="1" applyAlignment="1">
      <alignment vertical="top" wrapText="1"/>
    </xf>
    <xf numFmtId="0" fontId="8" fillId="0" borderId="0" xfId="0" applyFont="1" applyAlignment="1">
      <alignment horizontal="left" wrapText="1"/>
    </xf>
    <xf numFmtId="0" fontId="8" fillId="0" borderId="0" xfId="0" applyFont="1" applyAlignment="1">
      <alignment horizontal="left" vertical="top"/>
    </xf>
    <xf numFmtId="0" fontId="45" fillId="0" borderId="0" xfId="8" applyFont="1" applyAlignment="1" applyProtection="1">
      <alignment horizontal="left" vertical="top" wrapText="1"/>
    </xf>
    <xf numFmtId="37" fontId="65" fillId="0" borderId="8" xfId="22" applyNumberFormat="1" applyFont="1" applyBorder="1" applyAlignment="1">
      <alignment horizontal="right" vertical="center"/>
    </xf>
    <xf numFmtId="37" fontId="90" fillId="0" borderId="8" xfId="22" applyNumberFormat="1" applyFont="1" applyBorder="1" applyAlignment="1">
      <alignment horizontal="right"/>
    </xf>
    <xf numFmtId="37" fontId="9" fillId="0" borderId="0" xfId="22" applyNumberFormat="1" applyFont="1" applyAlignment="1">
      <alignment horizontal="left" vertical="center" wrapText="1"/>
    </xf>
    <xf numFmtId="0" fontId="0" fillId="0" borderId="0" xfId="0"/>
    <xf numFmtId="177" fontId="9" fillId="0" borderId="21" xfId="12" applyFont="1" applyFill="1" applyBorder="1" applyAlignment="1">
      <alignment horizontal="center"/>
    </xf>
    <xf numFmtId="177" fontId="9" fillId="0" borderId="5" xfId="12" applyFont="1" applyFill="1" applyBorder="1" applyAlignment="1">
      <alignment horizontal="center"/>
    </xf>
    <xf numFmtId="177" fontId="9" fillId="0" borderId="18" xfId="12" applyFont="1" applyFill="1" applyBorder="1" applyAlignment="1">
      <alignment horizontal="center"/>
    </xf>
    <xf numFmtId="177" fontId="103" fillId="0" borderId="7" xfId="12" applyFont="1" applyFill="1" applyBorder="1" applyAlignment="1">
      <alignment horizontal="center" wrapText="1"/>
    </xf>
    <xf numFmtId="177" fontId="9" fillId="0" borderId="0" xfId="12" quotePrefix="1" applyFont="1" applyFill="1" applyAlignment="1">
      <alignment horizontal="left"/>
    </xf>
    <xf numFmtId="37" fontId="4" fillId="0" borderId="35" xfId="12" applyNumberFormat="1" applyFont="1" applyFill="1" applyBorder="1" applyAlignment="1" applyProtection="1">
      <alignment horizontal="center"/>
      <protection locked="0"/>
    </xf>
    <xf numFmtId="37" fontId="4" fillId="0" borderId="19" xfId="12" applyNumberFormat="1" applyFont="1" applyFill="1" applyBorder="1" applyAlignment="1" applyProtection="1">
      <alignment horizontal="center"/>
      <protection locked="0"/>
    </xf>
    <xf numFmtId="37" fontId="4" fillId="0" borderId="36" xfId="12" applyNumberFormat="1" applyFont="1" applyFill="1" applyBorder="1" applyAlignment="1" applyProtection="1">
      <alignment horizontal="center"/>
      <protection locked="0"/>
    </xf>
    <xf numFmtId="37" fontId="4" fillId="0" borderId="29" xfId="12" applyNumberFormat="1" applyFont="1" applyFill="1" applyBorder="1" applyAlignment="1" applyProtection="1">
      <alignment horizontal="center"/>
      <protection locked="0"/>
    </xf>
    <xf numFmtId="37" fontId="4" fillId="0" borderId="0" xfId="12" applyNumberFormat="1" applyFont="1" applyFill="1" applyAlignment="1" applyProtection="1">
      <alignment horizontal="center"/>
      <protection locked="0"/>
    </xf>
    <xf numFmtId="37" fontId="4" fillId="0" borderId="49" xfId="12" applyNumberFormat="1" applyFont="1" applyFill="1" applyBorder="1" applyAlignment="1" applyProtection="1">
      <alignment horizontal="center"/>
      <protection locked="0"/>
    </xf>
    <xf numFmtId="37" fontId="4" fillId="0" borderId="51" xfId="12" applyNumberFormat="1" applyFont="1" applyFill="1" applyBorder="1" applyAlignment="1" applyProtection="1">
      <alignment horizontal="center"/>
      <protection locked="0"/>
    </xf>
    <xf numFmtId="37" fontId="4" fillId="0" borderId="8" xfId="12" applyNumberFormat="1" applyFont="1" applyFill="1" applyBorder="1" applyAlignment="1" applyProtection="1">
      <alignment horizontal="center"/>
      <protection locked="0"/>
    </xf>
    <xf numFmtId="37" fontId="4" fillId="0" borderId="52" xfId="12" applyNumberFormat="1" applyFont="1" applyFill="1" applyBorder="1" applyAlignment="1" applyProtection="1">
      <alignment horizontal="center"/>
      <protection locked="0"/>
    </xf>
    <xf numFmtId="177" fontId="103" fillId="0" borderId="21" xfId="12" applyFont="1" applyFill="1" applyBorder="1" applyAlignment="1">
      <alignment horizontal="center" wrapText="1"/>
    </xf>
    <xf numFmtId="177" fontId="103" fillId="0" borderId="5" xfId="12" applyFont="1" applyFill="1" applyBorder="1" applyAlignment="1">
      <alignment horizontal="center" wrapText="1"/>
    </xf>
    <xf numFmtId="177" fontId="103" fillId="0" borderId="107" xfId="12" applyFont="1" applyFill="1" applyBorder="1" applyAlignment="1">
      <alignment horizontal="center" wrapText="1"/>
    </xf>
    <xf numFmtId="177" fontId="103" fillId="0" borderId="108" xfId="12" applyFont="1" applyFill="1" applyBorder="1" applyAlignment="1">
      <alignment horizontal="center" wrapText="1"/>
    </xf>
    <xf numFmtId="177" fontId="103" fillId="0" borderId="23" xfId="12" applyFont="1" applyFill="1" applyBorder="1" applyAlignment="1">
      <alignment horizontal="center" wrapText="1"/>
    </xf>
    <xf numFmtId="177" fontId="103" fillId="0" borderId="16" xfId="12" applyFont="1" applyFill="1" applyBorder="1" applyAlignment="1">
      <alignment horizontal="center" wrapText="1"/>
    </xf>
    <xf numFmtId="0" fontId="8" fillId="13" borderId="21" xfId="0" applyFont="1" applyFill="1" applyBorder="1" applyAlignment="1">
      <alignment horizontal="left" wrapText="1"/>
    </xf>
    <xf numFmtId="0" fontId="8" fillId="13" borderId="5" xfId="0" applyFont="1" applyFill="1" applyBorder="1" applyAlignment="1">
      <alignment horizontal="left" wrapText="1"/>
    </xf>
    <xf numFmtId="0" fontId="8" fillId="13" borderId="18" xfId="0" applyFont="1" applyFill="1" applyBorder="1" applyAlignment="1">
      <alignment horizontal="left" wrapText="1"/>
    </xf>
    <xf numFmtId="0" fontId="8" fillId="9" borderId="2" xfId="8" quotePrefix="1" applyFont="1" applyFill="1" applyBorder="1">
      <protection locked="0"/>
    </xf>
    <xf numFmtId="0" fontId="45" fillId="5" borderId="0" xfId="8" applyFont="1" applyFill="1" applyAlignment="1" applyProtection="1">
      <alignment horizontal="center"/>
    </xf>
    <xf numFmtId="0" fontId="8" fillId="9" borderId="7" xfId="0" applyFont="1" applyFill="1" applyBorder="1" applyAlignment="1" applyProtection="1">
      <alignment horizontal="left" vertical="center"/>
      <protection locked="0"/>
    </xf>
    <xf numFmtId="0" fontId="8" fillId="9" borderId="21" xfId="0" applyFont="1" applyFill="1" applyBorder="1" applyAlignment="1" applyProtection="1">
      <alignment horizontal="left"/>
      <protection locked="0"/>
    </xf>
    <xf numFmtId="0" fontId="8" fillId="9" borderId="18" xfId="0" applyFont="1" applyFill="1" applyBorder="1" applyAlignment="1" applyProtection="1">
      <alignment horizontal="left"/>
      <protection locked="0"/>
    </xf>
    <xf numFmtId="0" fontId="10" fillId="0" borderId="8" xfId="0" applyFont="1" applyBorder="1" applyAlignment="1">
      <alignment horizontal="left"/>
    </xf>
    <xf numFmtId="0" fontId="8" fillId="0" borderId="62" xfId="0" applyFont="1" applyBorder="1" applyAlignment="1">
      <alignment horizontal="left"/>
    </xf>
    <xf numFmtId="0" fontId="7" fillId="0" borderId="0" xfId="0" applyFont="1" applyAlignment="1">
      <alignment horizontal="center"/>
    </xf>
    <xf numFmtId="0" fontId="96" fillId="0" borderId="29" xfId="0" applyFont="1" applyBorder="1" applyAlignment="1">
      <alignment horizontal="left" vertical="top"/>
    </xf>
    <xf numFmtId="0" fontId="96" fillId="0" borderId="0" xfId="0" applyFont="1" applyBorder="1" applyAlignment="1">
      <alignment horizontal="left" vertical="top"/>
    </xf>
    <xf numFmtId="0" fontId="96" fillId="0" borderId="62" xfId="0" applyFont="1" applyBorder="1" applyAlignment="1">
      <alignment horizontal="center" vertical="center" wrapText="1"/>
    </xf>
    <xf numFmtId="0" fontId="96" fillId="0" borderId="0" xfId="0" applyFont="1" applyBorder="1" applyAlignment="1">
      <alignment horizontal="center" vertical="center" wrapText="1"/>
    </xf>
    <xf numFmtId="0" fontId="8" fillId="0" borderId="0" xfId="0" applyFont="1" applyAlignment="1">
      <alignment horizontal="right" wrapText="1"/>
    </xf>
    <xf numFmtId="0" fontId="8" fillId="0" borderId="49" xfId="0" applyFont="1" applyBorder="1" applyAlignment="1">
      <alignment horizontal="right" wrapText="1"/>
    </xf>
    <xf numFmtId="0" fontId="64" fillId="9" borderId="0" xfId="0" applyFont="1" applyFill="1" applyAlignment="1">
      <alignment horizontal="left" vertical="center" wrapText="1"/>
    </xf>
    <xf numFmtId="0" fontId="64" fillId="9" borderId="75" xfId="0" applyFont="1" applyFill="1" applyBorder="1" applyAlignment="1">
      <alignment horizontal="left" vertical="center" wrapText="1"/>
    </xf>
    <xf numFmtId="0" fontId="10" fillId="0" borderId="0" xfId="0" applyFont="1" applyAlignment="1">
      <alignment horizontal="right"/>
    </xf>
    <xf numFmtId="49" fontId="10" fillId="0" borderId="8" xfId="0" applyNumberFormat="1" applyFont="1" applyBorder="1" applyAlignment="1">
      <alignment horizontal="left"/>
    </xf>
    <xf numFmtId="0" fontId="8" fillId="0" borderId="7" xfId="0" applyFont="1" applyBorder="1" applyAlignment="1">
      <alignment horizontal="left"/>
    </xf>
    <xf numFmtId="0" fontId="56" fillId="0" borderId="7" xfId="0" applyFont="1" applyBorder="1" applyAlignment="1">
      <alignment horizontal="left"/>
    </xf>
    <xf numFmtId="0" fontId="8" fillId="0" borderId="8" xfId="0" applyFont="1" applyBorder="1" applyAlignment="1">
      <alignment horizontal="left" vertical="center" wrapText="1"/>
    </xf>
    <xf numFmtId="0" fontId="94" fillId="0" borderId="29" xfId="13" applyFont="1" applyFill="1" applyBorder="1" applyAlignment="1">
      <alignment horizontal="left" vertical="top" wrapText="1"/>
    </xf>
    <xf numFmtId="0" fontId="94" fillId="0" borderId="0" xfId="13" applyFont="1" applyFill="1" applyAlignment="1">
      <alignment horizontal="left" vertical="top" wrapText="1"/>
    </xf>
    <xf numFmtId="0" fontId="45" fillId="5" borderId="0" xfId="8" applyFont="1" applyFill="1" applyProtection="1"/>
    <xf numFmtId="0" fontId="8" fillId="3" borderId="21" xfId="0" applyFont="1" applyFill="1" applyBorder="1" applyAlignment="1">
      <alignment horizontal="left" vertical="top" wrapText="1"/>
    </xf>
    <xf numFmtId="0" fontId="8" fillId="3" borderId="5" xfId="0" applyFont="1" applyFill="1" applyBorder="1" applyAlignment="1">
      <alignment horizontal="left" vertical="top" wrapText="1"/>
    </xf>
    <xf numFmtId="0" fontId="81" fillId="0" borderId="29" xfId="0" applyFont="1" applyBorder="1" applyAlignment="1">
      <alignment horizontal="center" vertical="center" wrapText="1"/>
    </xf>
    <xf numFmtId="0" fontId="81" fillId="0" borderId="0" xfId="0" applyFont="1" applyAlignment="1">
      <alignment horizontal="center" vertical="center" wrapText="1"/>
    </xf>
    <xf numFmtId="0" fontId="8" fillId="0" borderId="21" xfId="0" applyFont="1" applyBorder="1" applyAlignment="1">
      <alignment horizontal="left" vertical="top" wrapText="1"/>
    </xf>
    <xf numFmtId="0" fontId="8" fillId="0" borderId="5" xfId="0" applyFont="1" applyBorder="1" applyAlignment="1">
      <alignment horizontal="left" vertical="top" wrapText="1"/>
    </xf>
    <xf numFmtId="0" fontId="95" fillId="0" borderId="0" xfId="0" applyFont="1" applyAlignment="1">
      <alignment horizontal="center" vertical="center" wrapText="1"/>
    </xf>
    <xf numFmtId="0" fontId="8" fillId="3" borderId="0" xfId="0" applyFont="1" applyFill="1" applyAlignment="1">
      <alignment horizontal="left" vertical="top" wrapText="1"/>
    </xf>
    <xf numFmtId="0" fontId="8" fillId="3" borderId="8" xfId="0" applyFont="1" applyFill="1" applyBorder="1" applyAlignment="1">
      <alignment horizontal="left" vertical="top" wrapText="1"/>
    </xf>
    <xf numFmtId="0" fontId="8" fillId="0" borderId="0" xfId="21" applyFont="1" applyFill="1" applyAlignment="1">
      <alignment horizontal="left" vertical="top"/>
    </xf>
    <xf numFmtId="0" fontId="8" fillId="0" borderId="18" xfId="0" applyFont="1" applyBorder="1" applyAlignment="1">
      <alignment horizontal="left" vertical="top" wrapText="1"/>
    </xf>
    <xf numFmtId="0" fontId="64" fillId="0" borderId="18" xfId="0" applyFont="1" applyBorder="1" applyAlignment="1">
      <alignment horizontal="left"/>
    </xf>
    <xf numFmtId="0" fontId="64" fillId="0" borderId="7" xfId="0" applyFont="1" applyBorder="1" applyAlignment="1">
      <alignment horizontal="left"/>
    </xf>
    <xf numFmtId="0" fontId="8" fillId="13" borderId="35" xfId="0" applyFont="1" applyFill="1" applyBorder="1" applyAlignment="1">
      <alignment horizontal="left"/>
    </xf>
    <xf numFmtId="0" fontId="8" fillId="13" borderId="19" xfId="0" applyFont="1" applyFill="1" applyBorder="1" applyAlignment="1">
      <alignment horizontal="left"/>
    </xf>
    <xf numFmtId="0" fontId="8" fillId="13" borderId="36" xfId="0" applyFont="1" applyFill="1" applyBorder="1" applyAlignment="1">
      <alignment horizontal="left"/>
    </xf>
    <xf numFmtId="0" fontId="8" fillId="0" borderId="21" xfId="0" applyFont="1" applyBorder="1" applyAlignment="1">
      <alignment horizontal="left" vertical="top"/>
    </xf>
    <xf numFmtId="0" fontId="8" fillId="0" borderId="5" xfId="0" applyFont="1" applyBorder="1" applyAlignment="1">
      <alignment horizontal="left" vertical="top"/>
    </xf>
    <xf numFmtId="188" fontId="8" fillId="0" borderId="21" xfId="0" applyNumberFormat="1" applyFont="1" applyBorder="1" applyAlignment="1">
      <alignment horizontal="right"/>
    </xf>
    <xf numFmtId="188" fontId="8" fillId="0" borderId="18" xfId="0" applyNumberFormat="1" applyFont="1" applyBorder="1" applyAlignment="1">
      <alignment horizontal="right"/>
    </xf>
    <xf numFmtId="0" fontId="8" fillId="10" borderId="0" xfId="0" applyFont="1" applyFill="1" applyAlignment="1">
      <alignment horizontal="right"/>
    </xf>
    <xf numFmtId="0" fontId="8" fillId="10" borderId="49" xfId="0" applyFont="1" applyFill="1" applyBorder="1" applyAlignment="1">
      <alignment horizontal="right"/>
    </xf>
    <xf numFmtId="174" fontId="8" fillId="0" borderId="67" xfId="0" applyNumberFormat="1" applyFont="1" applyBorder="1" applyAlignment="1">
      <alignment horizontal="right"/>
    </xf>
    <xf numFmtId="174" fontId="8" fillId="0" borderId="68" xfId="0" applyNumberFormat="1" applyFont="1" applyBorder="1" applyAlignment="1">
      <alignment horizontal="right"/>
    </xf>
    <xf numFmtId="0" fontId="8" fillId="0" borderId="29" xfId="0" applyFont="1" applyBorder="1" applyAlignment="1">
      <alignment horizontal="right"/>
    </xf>
    <xf numFmtId="0" fontId="8" fillId="0" borderId="49" xfId="0" applyFont="1" applyBorder="1" applyAlignment="1">
      <alignment horizontal="right"/>
    </xf>
    <xf numFmtId="174" fontId="8" fillId="0" borderId="51" xfId="0" applyNumberFormat="1" applyFont="1" applyBorder="1" applyAlignment="1">
      <alignment horizontal="right"/>
    </xf>
    <xf numFmtId="174" fontId="8" fillId="0" borderId="52" xfId="0" applyNumberFormat="1" applyFont="1" applyBorder="1" applyAlignment="1">
      <alignment horizontal="right"/>
    </xf>
    <xf numFmtId="169" fontId="8" fillId="10" borderId="65" xfId="0" applyNumberFormat="1" applyFont="1" applyFill="1" applyBorder="1" applyAlignment="1">
      <alignment horizontal="right"/>
    </xf>
    <xf numFmtId="169" fontId="8" fillId="10" borderId="68" xfId="0" applyNumberFormat="1" applyFont="1" applyFill="1" applyBorder="1" applyAlignment="1">
      <alignment horizontal="right"/>
    </xf>
    <xf numFmtId="0" fontId="10" fillId="0" borderId="0" xfId="0" applyFont="1" applyAlignment="1">
      <alignment horizontal="left" wrapText="1"/>
    </xf>
    <xf numFmtId="0" fontId="52" fillId="0" borderId="0" xfId="0" applyFont="1" applyAlignment="1">
      <alignment horizontal="left"/>
    </xf>
    <xf numFmtId="0" fontId="52" fillId="0" borderId="0" xfId="0" applyFont="1" applyAlignment="1">
      <alignment horizontal="left" wrapText="1"/>
    </xf>
    <xf numFmtId="0" fontId="52" fillId="0" borderId="0" xfId="0" applyFont="1" applyAlignment="1">
      <alignment horizontal="left" vertical="top" wrapText="1"/>
    </xf>
    <xf numFmtId="0" fontId="75" fillId="0" borderId="0" xfId="0" applyFont="1" applyAlignment="1">
      <alignment horizontal="center"/>
    </xf>
    <xf numFmtId="49" fontId="10" fillId="0" borderId="35" xfId="0" applyNumberFormat="1" applyFont="1" applyBorder="1" applyAlignment="1">
      <alignment horizontal="center" wrapText="1"/>
    </xf>
    <xf numFmtId="49" fontId="10" fillId="0" borderId="36" xfId="0" applyNumberFormat="1" applyFont="1" applyBorder="1" applyAlignment="1">
      <alignment horizontal="center" wrapText="1"/>
    </xf>
    <xf numFmtId="49" fontId="10" fillId="0" borderId="29" xfId="0" applyNumberFormat="1" applyFont="1" applyBorder="1" applyAlignment="1">
      <alignment horizontal="center" wrapText="1"/>
    </xf>
    <xf numFmtId="49" fontId="10" fillId="0" borderId="49" xfId="0" applyNumberFormat="1" applyFont="1" applyBorder="1" applyAlignment="1">
      <alignment horizontal="center" wrapText="1"/>
    </xf>
    <xf numFmtId="49" fontId="10" fillId="0" borderId="19" xfId="0" applyNumberFormat="1" applyFont="1" applyBorder="1" applyAlignment="1">
      <alignment horizontal="center" wrapText="1"/>
    </xf>
    <xf numFmtId="49" fontId="10" fillId="0" borderId="0" xfId="0" applyNumberFormat="1" applyFont="1" applyAlignment="1">
      <alignment horizontal="center" wrapText="1"/>
    </xf>
    <xf numFmtId="166" fontId="8" fillId="0" borderId="51" xfId="0" applyNumberFormat="1" applyFont="1" applyBorder="1" applyAlignment="1">
      <alignment horizontal="right"/>
    </xf>
    <xf numFmtId="166" fontId="8" fillId="0" borderId="52" xfId="0" applyNumberFormat="1" applyFont="1" applyBorder="1" applyAlignment="1">
      <alignment horizontal="right"/>
    </xf>
    <xf numFmtId="49" fontId="10" fillId="0" borderId="51" xfId="0" applyNumberFormat="1" applyFont="1" applyBorder="1" applyAlignment="1">
      <alignment horizontal="center"/>
    </xf>
    <xf numFmtId="49" fontId="10" fillId="0" borderId="8" xfId="0" applyNumberFormat="1" applyFont="1" applyBorder="1" applyAlignment="1">
      <alignment horizontal="center"/>
    </xf>
    <xf numFmtId="0" fontId="8" fillId="0" borderId="35" xfId="0" applyFont="1" applyBorder="1" applyAlignment="1">
      <alignment horizontal="center"/>
    </xf>
    <xf numFmtId="0" fontId="8" fillId="0" borderId="36" xfId="0" applyFont="1" applyBorder="1" applyAlignment="1">
      <alignment horizontal="center"/>
    </xf>
    <xf numFmtId="178" fontId="8" fillId="0" borderId="67" xfId="0" applyNumberFormat="1" applyFont="1" applyBorder="1" applyAlignment="1">
      <alignment horizontal="right"/>
    </xf>
    <xf numFmtId="178" fontId="8" fillId="0" borderId="68" xfId="0" applyNumberFormat="1" applyFont="1" applyBorder="1" applyAlignment="1">
      <alignment horizontal="right"/>
    </xf>
    <xf numFmtId="188" fontId="8" fillId="0" borderId="51" xfId="0" applyNumberFormat="1" applyFont="1" applyBorder="1" applyAlignment="1">
      <alignment horizontal="right"/>
    </xf>
    <xf numFmtId="188" fontId="8" fillId="0" borderId="52" xfId="0" applyNumberFormat="1" applyFont="1" applyBorder="1" applyAlignment="1">
      <alignment horizontal="right"/>
    </xf>
    <xf numFmtId="169" fontId="8" fillId="0" borderId="65" xfId="0" applyNumberFormat="1" applyFont="1" applyBorder="1" applyAlignment="1">
      <alignment horizontal="right"/>
    </xf>
    <xf numFmtId="169" fontId="8" fillId="0" borderId="68" xfId="0" applyNumberFormat="1" applyFont="1" applyBorder="1" applyAlignment="1">
      <alignment horizontal="right"/>
    </xf>
    <xf numFmtId="0" fontId="10" fillId="0" borderId="0" xfId="0" applyFont="1" applyAlignment="1">
      <alignment horizontal="left"/>
    </xf>
    <xf numFmtId="0" fontId="8" fillId="0" borderId="21" xfId="0" applyFont="1" applyBorder="1" applyAlignment="1">
      <alignment horizontal="center"/>
    </xf>
    <xf numFmtId="0" fontId="8" fillId="0" borderId="5" xfId="0" applyFont="1" applyBorder="1" applyAlignment="1">
      <alignment horizontal="center"/>
    </xf>
    <xf numFmtId="0" fontId="8" fillId="0" borderId="18" xfId="0" applyFont="1" applyBorder="1" applyAlignment="1">
      <alignment horizontal="center"/>
    </xf>
    <xf numFmtId="0" fontId="78" fillId="0" borderId="0" xfId="0" applyFont="1" applyAlignment="1">
      <alignment horizontal="center" vertical="top"/>
    </xf>
    <xf numFmtId="0" fontId="8" fillId="0" borderId="0" xfId="0" applyFont="1" applyBorder="1" applyAlignment="1">
      <alignment horizontal="center"/>
    </xf>
    <xf numFmtId="49" fontId="8" fillId="0" borderId="8" xfId="0" applyNumberFormat="1" applyFont="1" applyBorder="1" applyAlignment="1">
      <alignment horizontal="left"/>
    </xf>
    <xf numFmtId="0" fontId="8" fillId="0" borderId="8" xfId="0" applyFont="1" applyBorder="1" applyAlignment="1">
      <alignment horizontal="left"/>
    </xf>
    <xf numFmtId="0" fontId="8" fillId="0" borderId="8" xfId="0" applyFont="1" applyBorder="1" applyAlignment="1">
      <alignment horizontal="center"/>
    </xf>
    <xf numFmtId="0" fontId="15" fillId="0" borderId="0" xfId="0" applyFont="1" applyBorder="1" applyAlignment="1">
      <alignment horizontal="center" wrapText="1"/>
    </xf>
    <xf numFmtId="0" fontId="15" fillId="0" borderId="65" xfId="0" applyFont="1" applyBorder="1" applyAlignment="1">
      <alignment horizontal="center" wrapText="1"/>
    </xf>
    <xf numFmtId="49" fontId="8" fillId="0" borderId="0" xfId="0" applyNumberFormat="1" applyFont="1" applyBorder="1" applyAlignment="1">
      <alignment horizontal="left"/>
    </xf>
    <xf numFmtId="0" fontId="8" fillId="0" borderId="0" xfId="0" applyFont="1" applyBorder="1" applyAlignment="1">
      <alignment horizontal="left"/>
    </xf>
    <xf numFmtId="0" fontId="6" fillId="0" borderId="0" xfId="0" applyFont="1" applyBorder="1" applyAlignment="1">
      <alignment horizontal="left" vertical="top" wrapText="1"/>
    </xf>
    <xf numFmtId="0" fontId="6" fillId="0" borderId="0" xfId="0" applyFont="1" applyBorder="1" applyAlignment="1">
      <alignment horizontal="left" vertical="center" wrapText="1"/>
    </xf>
    <xf numFmtId="0" fontId="51" fillId="0" borderId="0" xfId="0" applyFont="1" applyAlignment="1">
      <alignment horizontal="left" vertical="center" wrapText="1"/>
    </xf>
    <xf numFmtId="0" fontId="62" fillId="0" borderId="0" xfId="0" applyFont="1" applyAlignment="1">
      <alignment horizontal="left"/>
    </xf>
    <xf numFmtId="0" fontId="39" fillId="0" borderId="23" xfId="0" applyFont="1" applyBorder="1" applyAlignment="1">
      <alignment vertical="top" wrapText="1"/>
    </xf>
    <xf numFmtId="0" fontId="39" fillId="0" borderId="16" xfId="0" applyFont="1" applyBorder="1" applyAlignment="1">
      <alignment vertical="top" wrapText="1"/>
    </xf>
    <xf numFmtId="0" fontId="39" fillId="0" borderId="23" xfId="0" applyFont="1" applyBorder="1" applyAlignment="1">
      <alignment horizontal="left" vertical="top" wrapText="1"/>
    </xf>
    <xf numFmtId="0" fontId="39" fillId="0" borderId="16" xfId="0" applyFont="1" applyBorder="1" applyAlignment="1">
      <alignment horizontal="left" vertical="top" wrapText="1"/>
    </xf>
    <xf numFmtId="0" fontId="39" fillId="0" borderId="23" xfId="0" applyFont="1" applyBorder="1" applyAlignment="1">
      <alignment horizontal="center" vertical="top" wrapText="1"/>
    </xf>
    <xf numFmtId="0" fontId="39" fillId="0" borderId="16" xfId="0" applyFont="1" applyBorder="1" applyAlignment="1">
      <alignment horizontal="center" vertical="top" wrapText="1"/>
    </xf>
    <xf numFmtId="0" fontId="39" fillId="0" borderId="23" xfId="0" applyFont="1" applyBorder="1" applyAlignment="1">
      <alignment horizontal="center" vertical="center" wrapText="1"/>
    </xf>
    <xf numFmtId="0" fontId="39" fillId="0" borderId="16" xfId="0" applyFont="1" applyBorder="1" applyAlignment="1">
      <alignment horizontal="center" vertical="center" wrapText="1"/>
    </xf>
  </cellXfs>
  <cellStyles count="30">
    <cellStyle name="Comma" xfId="4" xr:uid="{00000000-0005-0000-0000-000004000000}"/>
    <cellStyle name="Comma [0]" xfId="5" xr:uid="{00000000-0005-0000-0000-000005000000}"/>
    <cellStyle name="Comma 2" xfId="23" xr:uid="{00000000-0005-0000-0000-000017000000}"/>
    <cellStyle name="Currency" xfId="2" xr:uid="{00000000-0005-0000-0000-000002000000}"/>
    <cellStyle name="Currency [0]" xfId="3" xr:uid="{00000000-0005-0000-0000-000003000000}"/>
    <cellStyle name="Currency 2" xfId="24" xr:uid="{00000000-0005-0000-0000-000018000000}"/>
    <cellStyle name="Currency 3" xfId="25" xr:uid="{00000000-0005-0000-0000-000019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Hyperlink 3 2" xfId="26" xr:uid="{00000000-0005-0000-0000-00001A000000}"/>
    <cellStyle name="Hyperlink 4" xfId="27" xr:uid="{00000000-0005-0000-0000-00001B000000}"/>
    <cellStyle name="Normal" xfId="0" builtinId="0"/>
    <cellStyle name="Normal 2" xfId="11" xr:uid="{00000000-0005-0000-0000-00000B000000}"/>
    <cellStyle name="Normal 2 2" xfId="29" xr:uid="{00000000-0005-0000-0000-00001D000000}"/>
    <cellStyle name="Normal 2 3" xfId="28" xr:uid="{00000000-0005-0000-0000-00001C000000}"/>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25">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
      <fill>
        <patternFill>
          <bgColor rgb="FFFFC000"/>
        </patternFill>
      </fill>
    </dxf>
    <dxf>
      <font>
        <color rgb="FFFF0000"/>
      </font>
    </dxf>
    <dxf>
      <font>
        <color rgb="FFFF0000"/>
      </font>
    </dxf>
    <dxf>
      <fill>
        <patternFill>
          <bgColor rgb="FFFFC000"/>
        </patternFill>
      </fill>
    </dxf>
    <dxf>
      <fill>
        <patternFill>
          <bgColor rgb="FFFFC000"/>
        </patternFill>
      </fill>
    </dxf>
    <dxf>
      <font>
        <color rgb="FFFF0000"/>
      </font>
      <fill>
        <patternFill patternType="none"/>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hyperlink" Target="../Files%20from%20ADE%20on%202025-05-22/rId2"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6.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7.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8.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9.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0.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1.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2.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3.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4.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_rels/drawing15.xml.rels><?xml version="1.0" encoding="UTF-8" standalone="yes"?>
<Relationships xmlns="http://schemas.openxmlformats.org/package/2006/relationships"><Relationship Id="rId1" Type="http://schemas.openxmlformats.org/officeDocument/2006/relationships/hyperlink" Target="../Files%20from%20ADE%20on%202025-05-22/rId1"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95250</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3.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5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6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a:off x="19907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C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4</xdr:col>
      <xdr:colOff>76200</xdr:colOff>
      <xdr:row>2</xdr:row>
      <xdr:rowOff>0</xdr:rowOff>
    </xdr:from>
    <xdr:to>
      <xdr:col>5</xdr:col>
      <xdr:colOff>85725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E00-000002000000}"/>
            </a:ext>
          </a:extLst>
        </xdr:cNvPr>
        <xdr:cNvSpPr/>
      </xdr:nvSpPr>
      <xdr:spPr bwMode="auto">
        <a:xfrm>
          <a:off x="9429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lcordova\Documents\SCHOOL%20YEAR%202025-2026\PROPOSED%20BUDGET\2025EXPBUD.xlsx" TargetMode="External"/><Relationship Id="rId1" Type="http://schemas.openxmlformats.org/officeDocument/2006/relationships/externalLinkPath" Target="2025EXPBU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azauditor.sharepoint.com/sites/ASDonline/School%20District%20Budget/FY%202025%20Budget%20Forms/FY%202025%20Final%20budget%20forms/2024EXPBUD.xlsx" TargetMode="External"/><Relationship Id="rId1" Type="http://schemas.openxmlformats.org/officeDocument/2006/relationships/externalLinkPath" Target="/Users/lcordova/Documents/SCHOOL%20YEAR%202024-2025/REVISION%20%232/2024EXPBUD.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azauditor.sharepoint.com/sites/ASDonline/School%20District%20Budget/FY%202026%20Budget%20Forms/Preliminary%20forms/2026DESEGBUD.xlsm" TargetMode="External"/><Relationship Id="rId1" Type="http://schemas.openxmlformats.org/officeDocument/2006/relationships/externalLinkPath" Target="/SDFORMS/2026DESEGBUD.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azauditor.sharepoint.com/sites/ASDonline/School%20District%20Budget/FY%202025%20Budget%20Forms/FY%202025%20Final%20budget%20forms/2025DESEGBUD.xlsm" TargetMode="External"/><Relationship Id="rId1" Type="http://schemas.openxmlformats.org/officeDocument/2006/relationships/externalLinkPath" Target="/SDFORMS/2025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1w7ripPCtEWkOBh9ZngTheTCzf_yyPdLqx3qMAveP9je_-gwrRghQqaNl26yVv5P" itemId="01V2FGYONUCS2WIDH33VEYOYM6MV7MZYFM">
      <xxl21:absoluteUrl r:id="rId2"/>
    </xxl21:alternateUrls>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Fund balances"/>
      <sheetName val="Data Entry"/>
      <sheetName val="Calculations"/>
      <sheetName val="BSA55"/>
      <sheetName val="Instructions"/>
      <sheetName val="2025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5"/>
      <definedName name="ExcessTNTLimit" refersTo="='Truth in Tax'!$I$26"/>
      <definedName name="F001P100F1000" refersTo="='Page 1'!$L$8"/>
      <definedName name="F001P100F1000OthBudgFY" refersTo="='Summary Page 1'!$F$33"/>
      <definedName name="F001P100F1000Personnel" refersTo="='Page 1'!$E$8"/>
      <definedName name="F001P100F1000SBBudgFY" refersTo="='Summary Page 1'!$D$33"/>
      <definedName name="F001P100F2100" refersTo="='Page 1'!$L$10"/>
      <definedName name="F001P100F2100OthBudgFY" refersTo="='Summary Page 1'!$F$35"/>
      <definedName name="F001P100F2100Personnel" refersTo="='Page 1'!$E$10"/>
      <definedName name="F001P100F2100SBBudgFY" refersTo="='Summary Page 1'!$D$35"/>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4"/>
      <definedName name="F001P200F1000OthBudgFY" refersTo="='Summary Page 1'!$F$46"/>
      <definedName name="F001P200F1000Personnel" refersTo="='Page 1'!$E$24"/>
      <definedName name="F001P200F1000SBBudgFY" refersTo="='Summary Page 1'!$D$46"/>
      <definedName name="F001P200F2100" refersTo="='Page 1'!$L$26"/>
      <definedName name="F001P200F2100OthBudgFY" refersTo="='Summary Page 1'!$F$48"/>
      <definedName name="F001P200F2100Personnel" refersTo="='Page 1'!$E$26"/>
      <definedName name="F001P200F2100SBBudgFY" refersTo="='Summary Page 1'!$D$48"/>
      <definedName name="F001P200F2200" refersTo="='Page 1'!$L$27"/>
      <definedName name="F001P200F2200OthBudgFY" refersTo="='Summary Page 1'!$F$49"/>
      <definedName name="F001P200F2200Personnel" refersTo="='Page 1'!$E$27"/>
      <definedName name="F001P200F2200SBBudgFY" refersTo="='Summary Page 1'!$D$49"/>
      <definedName name="F001P200F230024002500OthBudgFY" refersTo="='Summary Page 1'!$F$50"/>
      <definedName name="F001P200F230024002500SBBudgFY" refersTo="='Summary Page 1'!$D$50"/>
      <definedName name="F001P200F2300Personnel" refersTo="='Page 1'!$E$28"/>
      <definedName name="F001P200F2400Personnel" refersTo="='Page 1'!$E$29"/>
      <definedName name="F001P200F2500" refersTo="='Page 1'!$L$30"/>
      <definedName name="F001P200F2500Personnel" refersTo="='Page 1'!$E$30"/>
      <definedName name="F001P200F2600OthBudgFY" refersTo="='Summary Page 1'!$F$51"/>
      <definedName name="F001P200F2600Personnel" refersTo="='Page 1'!$E$31"/>
      <definedName name="F001P200F2600SBBudgFY" refersTo="='Summary Page 1'!$D$51"/>
      <definedName name="F001P200F2900OthBudgFY" refersTo="='Summary Page 1'!$F$52"/>
      <definedName name="F001P200F2900Personnel" refersTo="='Page 1'!$E$32"/>
      <definedName name="F001P200F2900SBBudgFY" refersTo="='Summary Page 1'!$D$52"/>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OthBudgFY" refersTo="='Summary Page 1'!$F$57"/>
      <definedName name="F001P530Personnel" refersTo="='Page 1'!$E$38"/>
      <definedName name="F001P530SBBudgFY" refersTo="='Summary Page 1'!$D$57"/>
      <definedName name="F001P540OthBudgFY" refersTo="='Summary Page 1'!$F$59"/>
      <definedName name="F001P540Personnel" refersTo="='Page 1'!$E$40"/>
      <definedName name="F001P540SBBudgFY" refersTo="='Summary Page 1'!$D$59"/>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3"/>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50BudgFY" refersTo="='Page 6'!$T$5"/>
      <definedName name="F071F1000" refersTo="='Supplement'!$M$8"/>
      <definedName name="F071F1000Personnel" refersTo="='Supplement'!$E$8"/>
      <definedName name="F071F2100" refersTo="='Supplement'!$M$10"/>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20"/>
      <definedName name="F072F1000Personnel" refersTo="='Supplement'!$E$20"/>
      <definedName name="F072F2100" refersTo="='Supplement'!$M$22"/>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5"/>
      <definedName name="F300399OtherPersonnel" refersTo="='Page 6'!$G$25"/>
      <definedName name="F349BudFY" refersTo="='Page 6'!$J$21"/>
      <definedName name="F349Personnel" refersTo="='Page 6'!$G$21"/>
      <definedName name="F353BudgFY" refersTo="='Page 6'!$J$22"/>
      <definedName name="F353Personnel" refersTo="='Page 6'!$G$22"/>
      <definedName name="F374BudgFY" refersTo="='Page 6'!$J$23"/>
      <definedName name="F374Personnel" refersTo="='Page 6'!$G$23"/>
      <definedName name="F378BudgFY" refersTo="='Page 6'!$J$24"/>
      <definedName name="F378Personnel" refersTo="='Page 6'!$G$24"/>
      <definedName name="F400BudgFY" refersTo="='Page 6'!$J$29"/>
      <definedName name="F400Personnel" refersTo="='Page 6'!$G$29"/>
      <definedName name="F410BudgFY" refersTo="='Page 6'!$J$30"/>
      <definedName name="F410Personnel" refersTo="='Page 6'!$G$30"/>
      <definedName name="F420BudgFY" refersTo="='Page 6'!$J$31"/>
      <definedName name="F420Personnel" refersTo="='Page 6'!$G$31"/>
      <definedName name="F425BudgFY" refersTo="='Page 6'!$J$32"/>
      <definedName name="F425Personnel" refersTo="='Page 6'!$G$32"/>
      <definedName name="F430BudgFY" refersTo="='Page 6'!$J$33"/>
      <definedName name="F430Personnel" refersTo="='Page 6'!$G$33"/>
      <definedName name="F435BudgFY" refersTo="='Page 6'!$J$34"/>
      <definedName name="F435Personnel" refersTo="='Page 6'!$G$34"/>
      <definedName name="F450BudgFY" refersTo="='Page 6'!$J$35"/>
      <definedName name="F450Personnel" refersTo="='Page 6'!$G$35"/>
      <definedName name="F456BudgFY" refersTo="='Page 6'!$J$36"/>
      <definedName name="F456Personnel" refersTo="='Page 6'!$G$36"/>
      <definedName name="F460BudgFY" refersTo="='Page 6'!$J$37"/>
      <definedName name="F460Personnel" refersTo="='Page 6'!$G$37"/>
      <definedName name="F465499BudgFY" refersTo="='Page 6'!$J$38"/>
      <definedName name="F465499Personnel" refersTo="='Page 6'!$G$38"/>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10"/>
      <definedName name="F610F21002200" refersTo="='Page 4'!$L$12"/>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699BudgFY" refersTo="='Page 6'!$J$26"/>
      <definedName name="F699Personnel" refersTo="='Page 6'!$G$26"/>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3"/>
      <definedName name="UCBLBudgFY" refersTo="='Page 8'!$K$32"/>
    </definedNames>
    <sheetDataSet>
      <sheetData sheetId="0"/>
      <sheetData sheetId="1"/>
      <sheetData sheetId="2">
        <row r="8">
          <cell r="E8">
            <v>51</v>
          </cell>
          <cell r="L8">
            <v>4835732</v>
          </cell>
        </row>
        <row r="10">
          <cell r="E10">
            <v>8</v>
          </cell>
          <cell r="L10">
            <v>736949</v>
          </cell>
        </row>
        <row r="11">
          <cell r="E11">
            <v>1</v>
          </cell>
          <cell r="L11">
            <v>184000</v>
          </cell>
        </row>
        <row r="12">
          <cell r="E12">
            <v>3</v>
          </cell>
          <cell r="L12">
            <v>708000</v>
          </cell>
        </row>
        <row r="13">
          <cell r="E13">
            <v>6</v>
          </cell>
          <cell r="L13">
            <v>494743</v>
          </cell>
        </row>
        <row r="14">
          <cell r="E14">
            <v>7.5</v>
          </cell>
          <cell r="L14">
            <v>1361793</v>
          </cell>
        </row>
        <row r="15">
          <cell r="E15">
            <v>17.5</v>
          </cell>
          <cell r="L15">
            <v>3677250</v>
          </cell>
        </row>
        <row r="16">
          <cell r="E16"/>
          <cell r="L16">
            <v>0</v>
          </cell>
        </row>
        <row r="17">
          <cell r="E17"/>
          <cell r="L17">
            <v>30750</v>
          </cell>
        </row>
        <row r="18">
          <cell r="E18"/>
          <cell r="L18">
            <v>0</v>
          </cell>
        </row>
        <row r="19">
          <cell r="E19">
            <v>5</v>
          </cell>
          <cell r="L19">
            <v>115000</v>
          </cell>
        </row>
        <row r="20">
          <cell r="E20"/>
          <cell r="L20">
            <v>0</v>
          </cell>
        </row>
        <row r="21">
          <cell r="E21"/>
          <cell r="L21">
            <v>0</v>
          </cell>
        </row>
        <row r="24">
          <cell r="E24">
            <v>11.5</v>
          </cell>
          <cell r="L24">
            <v>1231000</v>
          </cell>
        </row>
        <row r="26">
          <cell r="E26">
            <v>3</v>
          </cell>
          <cell r="L26">
            <v>516916</v>
          </cell>
        </row>
        <row r="27">
          <cell r="E27">
            <v>1</v>
          </cell>
          <cell r="L27">
            <v>131812</v>
          </cell>
        </row>
        <row r="28">
          <cell r="E28">
            <v>0</v>
          </cell>
        </row>
        <row r="29">
          <cell r="E29">
            <v>0</v>
          </cell>
        </row>
        <row r="30">
          <cell r="E30">
            <v>0</v>
          </cell>
          <cell r="L30">
            <v>4000</v>
          </cell>
        </row>
        <row r="31">
          <cell r="E31">
            <v>0</v>
          </cell>
        </row>
        <row r="32">
          <cell r="E32">
            <v>0</v>
          </cell>
        </row>
        <row r="33">
          <cell r="E33">
            <v>0</v>
          </cell>
        </row>
        <row r="35">
          <cell r="E35">
            <v>6</v>
          </cell>
          <cell r="L35">
            <v>2400000</v>
          </cell>
        </row>
        <row r="38">
          <cell r="E38"/>
        </row>
        <row r="40">
          <cell r="E40">
            <v>0</v>
          </cell>
        </row>
        <row r="41">
          <cell r="E41">
            <v>2</v>
          </cell>
          <cell r="L41">
            <v>77087</v>
          </cell>
        </row>
        <row r="43">
          <cell r="L43">
            <v>16505032</v>
          </cell>
        </row>
      </sheetData>
      <sheetData sheetId="3">
        <row r="7">
          <cell r="G7">
            <v>1818728</v>
          </cell>
        </row>
        <row r="8">
          <cell r="G8"/>
        </row>
        <row r="9">
          <cell r="G9"/>
        </row>
        <row r="10">
          <cell r="G10"/>
        </row>
        <row r="11">
          <cell r="G11">
            <v>65000</v>
          </cell>
        </row>
        <row r="12">
          <cell r="G12"/>
        </row>
        <row r="13">
          <cell r="G13"/>
        </row>
        <row r="14">
          <cell r="G14"/>
        </row>
        <row r="19">
          <cell r="G19">
            <v>0</v>
          </cell>
        </row>
      </sheetData>
      <sheetData sheetId="4">
        <row r="6">
          <cell r="K6">
            <v>1154134</v>
          </cell>
        </row>
        <row r="7">
          <cell r="K7">
            <v>923230</v>
          </cell>
        </row>
        <row r="8">
          <cell r="K8">
            <v>0</v>
          </cell>
        </row>
        <row r="9">
          <cell r="K9">
            <v>0</v>
          </cell>
        </row>
        <row r="10">
          <cell r="K10">
            <v>0</v>
          </cell>
        </row>
        <row r="11">
          <cell r="K11">
            <v>0</v>
          </cell>
        </row>
        <row r="12">
          <cell r="K12">
            <v>0</v>
          </cell>
        </row>
        <row r="13">
          <cell r="K13">
            <v>0</v>
          </cell>
        </row>
        <row r="38">
          <cell r="D38">
            <v>2077364</v>
          </cell>
        </row>
      </sheetData>
      <sheetData sheetId="5">
        <row r="8">
          <cell r="L8">
            <v>500000</v>
          </cell>
        </row>
        <row r="10">
          <cell r="L10">
            <v>419396</v>
          </cell>
        </row>
        <row r="12">
          <cell r="L12">
            <v>235000</v>
          </cell>
        </row>
        <row r="13">
          <cell r="L13">
            <v>240000</v>
          </cell>
        </row>
        <row r="14">
          <cell r="L14">
            <v>365856</v>
          </cell>
        </row>
        <row r="15">
          <cell r="L15">
            <v>360660</v>
          </cell>
        </row>
        <row r="16">
          <cell r="L16">
            <v>322000</v>
          </cell>
        </row>
        <row r="17">
          <cell r="L17">
            <v>350000</v>
          </cell>
        </row>
        <row r="18">
          <cell r="L18">
            <v>0</v>
          </cell>
        </row>
        <row r="19">
          <cell r="L19">
            <v>2292912</v>
          </cell>
        </row>
      </sheetData>
      <sheetData sheetId="6">
        <row r="8">
          <cell r="G8"/>
          <cell r="I8"/>
          <cell r="K8">
            <v>900000</v>
          </cell>
        </row>
        <row r="10">
          <cell r="E10"/>
          <cell r="G10"/>
          <cell r="I10"/>
          <cell r="K10"/>
        </row>
        <row r="11">
          <cell r="E11"/>
          <cell r="G11"/>
          <cell r="I11"/>
          <cell r="K11"/>
        </row>
        <row r="12">
          <cell r="E12"/>
          <cell r="G12"/>
          <cell r="I12"/>
          <cell r="K12"/>
        </row>
        <row r="13">
          <cell r="E13"/>
          <cell r="G13"/>
          <cell r="I13"/>
          <cell r="K13"/>
        </row>
        <row r="14">
          <cell r="E14"/>
          <cell r="G14"/>
          <cell r="I14"/>
          <cell r="K14">
            <v>900000</v>
          </cell>
        </row>
        <row r="15">
          <cell r="E15">
            <v>481185</v>
          </cell>
          <cell r="G15"/>
          <cell r="I15"/>
          <cell r="K15" t="str">
            <v xml:space="preserve"> </v>
          </cell>
        </row>
        <row r="16">
          <cell r="E16">
            <v>700000</v>
          </cell>
          <cell r="G16"/>
          <cell r="I16"/>
          <cell r="K16"/>
        </row>
        <row r="17">
          <cell r="E17">
            <v>300000</v>
          </cell>
          <cell r="G17"/>
          <cell r="I17"/>
          <cell r="K17"/>
        </row>
        <row r="18">
          <cell r="E18"/>
          <cell r="G18"/>
          <cell r="I18"/>
          <cell r="K18"/>
        </row>
        <row r="19">
          <cell r="E19"/>
          <cell r="G19"/>
          <cell r="I19"/>
          <cell r="K19"/>
        </row>
        <row r="22">
          <cell r="E22">
            <v>350000</v>
          </cell>
          <cell r="G22"/>
          <cell r="K22">
            <v>600000</v>
          </cell>
        </row>
        <row r="23">
          <cell r="E23"/>
          <cell r="G23"/>
          <cell r="I23"/>
          <cell r="K23">
            <v>300000</v>
          </cell>
        </row>
        <row r="24">
          <cell r="E24">
            <v>1131185</v>
          </cell>
          <cell r="G24"/>
          <cell r="I24"/>
          <cell r="K24"/>
        </row>
      </sheetData>
      <sheetData sheetId="7">
        <row r="5">
          <cell r="T5"/>
        </row>
        <row r="7">
          <cell r="G7">
            <v>14</v>
          </cell>
          <cell r="J7">
            <v>1481537</v>
          </cell>
        </row>
        <row r="8">
          <cell r="G8">
            <v>1</v>
          </cell>
          <cell r="J8">
            <v>201758</v>
          </cell>
          <cell r="T8">
            <v>1000000</v>
          </cell>
        </row>
        <row r="9">
          <cell r="G9"/>
          <cell r="J9"/>
          <cell r="T9">
            <v>1500000</v>
          </cell>
        </row>
        <row r="10">
          <cell r="G10"/>
          <cell r="J10"/>
          <cell r="T10">
            <v>35000</v>
          </cell>
        </row>
        <row r="11">
          <cell r="G11">
            <v>1</v>
          </cell>
          <cell r="J11">
            <v>105631</v>
          </cell>
          <cell r="T11">
            <v>2250</v>
          </cell>
        </row>
        <row r="12">
          <cell r="G12"/>
          <cell r="J12"/>
          <cell r="T12">
            <v>1950</v>
          </cell>
        </row>
        <row r="13">
          <cell r="G13"/>
          <cell r="J13"/>
          <cell r="T13">
            <v>102000</v>
          </cell>
        </row>
        <row r="14">
          <cell r="G14">
            <v>6</v>
          </cell>
          <cell r="J14">
            <v>436853</v>
          </cell>
          <cell r="T14"/>
        </row>
        <row r="15">
          <cell r="G15"/>
          <cell r="J15"/>
          <cell r="T15"/>
        </row>
        <row r="16">
          <cell r="G16"/>
          <cell r="J16"/>
          <cell r="T16">
            <v>800</v>
          </cell>
        </row>
        <row r="17">
          <cell r="G17"/>
          <cell r="J17"/>
          <cell r="T17"/>
        </row>
        <row r="18">
          <cell r="G18"/>
          <cell r="J18"/>
          <cell r="T18">
            <v>57000</v>
          </cell>
        </row>
        <row r="19">
          <cell r="G19"/>
          <cell r="J19"/>
          <cell r="T19">
            <v>11000</v>
          </cell>
        </row>
        <row r="20">
          <cell r="G20"/>
          <cell r="J20"/>
          <cell r="T20">
            <v>450</v>
          </cell>
        </row>
        <row r="21">
          <cell r="G21"/>
          <cell r="J21"/>
          <cell r="T21">
            <v>1000000</v>
          </cell>
        </row>
        <row r="22">
          <cell r="G22"/>
          <cell r="J22"/>
          <cell r="T22">
            <v>199000</v>
          </cell>
        </row>
        <row r="23">
          <cell r="G23"/>
          <cell r="J23"/>
          <cell r="T23"/>
        </row>
        <row r="24">
          <cell r="G24"/>
          <cell r="J24"/>
          <cell r="T24"/>
        </row>
        <row r="25">
          <cell r="G25"/>
          <cell r="J25">
            <v>1485731</v>
          </cell>
          <cell r="T25"/>
        </row>
        <row r="26">
          <cell r="G26"/>
          <cell r="J26"/>
          <cell r="T26"/>
        </row>
        <row r="27">
          <cell r="T27"/>
        </row>
        <row r="28">
          <cell r="T28"/>
        </row>
        <row r="29">
          <cell r="G29"/>
          <cell r="J29"/>
          <cell r="T29"/>
        </row>
        <row r="30">
          <cell r="G30"/>
          <cell r="J30"/>
          <cell r="T30">
            <v>17000</v>
          </cell>
        </row>
        <row r="31">
          <cell r="G31"/>
          <cell r="J31"/>
          <cell r="T31"/>
        </row>
        <row r="32">
          <cell r="G32"/>
          <cell r="J32"/>
          <cell r="T32"/>
        </row>
        <row r="33">
          <cell r="G33"/>
          <cell r="J33"/>
          <cell r="T33"/>
        </row>
        <row r="34">
          <cell r="G34"/>
          <cell r="J34"/>
          <cell r="T34">
            <v>16582</v>
          </cell>
        </row>
        <row r="35">
          <cell r="G35"/>
          <cell r="J35"/>
          <cell r="T35">
            <v>922992</v>
          </cell>
        </row>
        <row r="36">
          <cell r="G36"/>
          <cell r="J36"/>
          <cell r="T36"/>
        </row>
        <row r="37">
          <cell r="G37"/>
          <cell r="J37"/>
          <cell r="T37">
            <v>25000</v>
          </cell>
        </row>
        <row r="38">
          <cell r="G38"/>
          <cell r="J38">
            <v>330330</v>
          </cell>
          <cell r="T38">
            <v>1200000</v>
          </cell>
        </row>
        <row r="40">
          <cell r="T40"/>
        </row>
        <row r="41">
          <cell r="T41"/>
        </row>
        <row r="42">
          <cell r="T42"/>
        </row>
        <row r="43">
          <cell r="J43"/>
          <cell r="T43">
            <v>2070</v>
          </cell>
        </row>
        <row r="44">
          <cell r="J44">
            <v>150000</v>
          </cell>
        </row>
        <row r="45">
          <cell r="J45"/>
        </row>
        <row r="46">
          <cell r="J46">
            <v>50000</v>
          </cell>
        </row>
        <row r="47">
          <cell r="J47">
            <v>200000</v>
          </cell>
        </row>
      </sheetData>
      <sheetData sheetId="8">
        <row r="21">
          <cell r="J21"/>
        </row>
        <row r="34">
          <cell r="J34"/>
        </row>
        <row r="36">
          <cell r="J36"/>
        </row>
        <row r="39">
          <cell r="J39"/>
        </row>
        <row r="55">
          <cell r="J55">
            <v>16505032</v>
          </cell>
        </row>
      </sheetData>
      <sheetData sheetId="9">
        <row r="32">
          <cell r="K32">
            <v>2292912</v>
          </cell>
        </row>
      </sheetData>
      <sheetData sheetId="10">
        <row r="8">
          <cell r="E8"/>
          <cell r="M8">
            <v>0</v>
          </cell>
        </row>
        <row r="10">
          <cell r="E10"/>
          <cell r="M10">
            <v>0</v>
          </cell>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20">
          <cell r="E20"/>
          <cell r="M20">
            <v>0</v>
          </cell>
        </row>
        <row r="22">
          <cell r="E22"/>
          <cell r="M22">
            <v>0</v>
          </cell>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3">
          <cell r="D33">
            <v>4212732</v>
          </cell>
          <cell r="F33">
            <v>623000</v>
          </cell>
        </row>
        <row r="35">
          <cell r="D35">
            <v>610949</v>
          </cell>
          <cell r="F35">
            <v>126000</v>
          </cell>
        </row>
        <row r="36">
          <cell r="D36">
            <v>164000</v>
          </cell>
          <cell r="F36">
            <v>20000</v>
          </cell>
        </row>
        <row r="37">
          <cell r="D37">
            <v>1632368</v>
          </cell>
          <cell r="F37">
            <v>932168</v>
          </cell>
        </row>
        <row r="38">
          <cell r="D38">
            <v>1200000</v>
          </cell>
          <cell r="F38">
            <v>2477250</v>
          </cell>
        </row>
        <row r="39">
          <cell r="D39">
            <v>0</v>
          </cell>
          <cell r="F39">
            <v>0</v>
          </cell>
        </row>
        <row r="40">
          <cell r="D40">
            <v>0</v>
          </cell>
          <cell r="F40">
            <v>30750</v>
          </cell>
        </row>
        <row r="41">
          <cell r="D41">
            <v>0</v>
          </cell>
          <cell r="F41">
            <v>0</v>
          </cell>
        </row>
        <row r="42">
          <cell r="D42">
            <v>70000</v>
          </cell>
          <cell r="F42">
            <v>45000</v>
          </cell>
        </row>
        <row r="43">
          <cell r="D43">
            <v>0</v>
          </cell>
          <cell r="F43">
            <v>0</v>
          </cell>
        </row>
        <row r="46">
          <cell r="D46">
            <v>476000</v>
          </cell>
          <cell r="F46">
            <v>755000</v>
          </cell>
        </row>
        <row r="48">
          <cell r="D48">
            <v>403000</v>
          </cell>
          <cell r="F48">
            <v>113916</v>
          </cell>
        </row>
        <row r="49">
          <cell r="D49">
            <v>128312</v>
          </cell>
          <cell r="F49">
            <v>3500</v>
          </cell>
        </row>
        <row r="50">
          <cell r="D50">
            <v>0</v>
          </cell>
          <cell r="F50">
            <v>4000</v>
          </cell>
        </row>
        <row r="51">
          <cell r="D51">
            <v>0</v>
          </cell>
          <cell r="F51">
            <v>0</v>
          </cell>
        </row>
        <row r="52">
          <cell r="D52">
            <v>0</v>
          </cell>
          <cell r="F52">
            <v>0</v>
          </cell>
        </row>
        <row r="53">
          <cell r="D53">
            <v>0</v>
          </cell>
          <cell r="F53">
            <v>0</v>
          </cell>
        </row>
        <row r="55">
          <cell r="D55">
            <v>550000</v>
          </cell>
          <cell r="F55">
            <v>1850000</v>
          </cell>
        </row>
        <row r="56">
          <cell r="D56">
            <v>0</v>
          </cell>
          <cell r="F56">
            <v>0</v>
          </cell>
        </row>
        <row r="57">
          <cell r="D57">
            <v>0</v>
          </cell>
          <cell r="F57">
            <v>0</v>
          </cell>
        </row>
        <row r="59">
          <cell r="D59">
            <v>0</v>
          </cell>
          <cell r="F59">
            <v>0</v>
          </cell>
        </row>
        <row r="60">
          <cell r="D60">
            <v>77087</v>
          </cell>
          <cell r="F60">
            <v>0</v>
          </cell>
        </row>
      </sheetData>
      <sheetData sheetId="12">
        <row r="32">
          <cell r="E32">
            <v>0</v>
          </cell>
        </row>
      </sheetData>
      <sheetData sheetId="13">
        <row r="7">
          <cell r="I7">
            <v>0</v>
          </cell>
        </row>
        <row r="26">
          <cell r="I26">
            <v>0</v>
          </cell>
        </row>
      </sheetData>
      <sheetData sheetId="14"/>
      <sheetData sheetId="15"/>
      <sheetData sheetId="16"/>
      <sheetData sheetId="17">
        <row r="93">
          <cell r="E93">
            <v>97901.97</v>
          </cell>
        </row>
        <row r="105">
          <cell r="E105">
            <v>368235.53</v>
          </cell>
        </row>
      </sheetData>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4EXPBUD"/>
    </sheetNames>
    <definedNames>
      <definedName name="F001P200F2300" refersTo="='Page 1'!$L$28"/>
      <definedName name="F001P200F2400" refersTo="='Page 1'!$L$29"/>
      <definedName name="F001P200F2600" refersTo="='Page 1'!$L$31"/>
      <definedName name="F001P200F2900" refersTo="='Page 1'!$L$32"/>
      <definedName name="F001P200F3000" refersTo="='Page 1'!$L$33"/>
      <definedName name="F001P530" refersTo="='Page 1'!$L$38"/>
      <definedName name="F001P540" refersTo="='Page 1'!$L$39"/>
    </definedNames>
    <sheetDataSet>
      <sheetData sheetId="0"/>
      <sheetData sheetId="1"/>
      <sheetData sheetId="2">
        <row r="28">
          <cell r="L28">
            <v>0</v>
          </cell>
        </row>
        <row r="29">
          <cell r="L29">
            <v>0</v>
          </cell>
        </row>
        <row r="31">
          <cell r="L31">
            <v>0</v>
          </cell>
        </row>
        <row r="32">
          <cell r="L32">
            <v>0</v>
          </cell>
        </row>
        <row r="33">
          <cell r="L33">
            <v>0</v>
          </cell>
        </row>
        <row r="38">
          <cell r="L38">
            <v>0</v>
          </cell>
        </row>
        <row r="39">
          <cell r="L39">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Template"/>
      <sheetName val="Instructions"/>
      <sheetName val="2026DESEGBUD"/>
    </sheetNames>
    <definedNames>
      <definedName name="DesegFTEPY" refersTo="='Districtwide'!$D$66"/>
      <definedName name="DesegTotalMOPercent" refersTo="='Districtwide'!$M$66"/>
    </definedNames>
    <sheetDataSet>
      <sheetData sheetId="0">
        <row r="66">
          <cell r="D66">
            <v>0</v>
          </cell>
          <cell r="M66">
            <v>0</v>
          </cell>
        </row>
      </sheetData>
      <sheetData sheetId="1"/>
      <sheetData sheetId="2"/>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Template"/>
      <sheetName val="Instructions"/>
      <sheetName val="2025DESEGBUD"/>
      <sheetName val="Template Edition Information"/>
    </sheetNames>
    <definedNames>
      <definedName name="DesegFTEBY" refersTo="='Districtwide'!$E$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row>
      </sheetData>
      <sheetData sheetId="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sdaz.org/apps/pages/index.jsp?uREC_ID=3223185&amp;type=d&amp;pREC_ID=2362638"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6" Type="http://schemas.openxmlformats.org/officeDocument/2006/relationships/drawing" Target="../drawings/drawing12.xml"/><Relationship Id="rId5" Type="http://schemas.openxmlformats.org/officeDocument/2006/relationships/printerSettings" Target="../printerSettings/printerSettings13.bin"/><Relationship Id="rId4" Type="http://schemas.openxmlformats.org/officeDocument/2006/relationships/hyperlink" Target="../Files%20from%20ADE%20on%202025-05-22/TruthInTaxl1"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mailto:SFBudgetTeam@azed.gov" TargetMode="External"/><Relationship Id="rId13" Type="http://schemas.openxmlformats.org/officeDocument/2006/relationships/hyperlink" Target="http://www.azed.gov/finance/certificates-of-educational-convenience/" TargetMode="External"/><Relationship Id="rId18" Type="http://schemas.openxmlformats.org/officeDocument/2006/relationships/hyperlink" Target="http://www.azed.gov/mowr/" TargetMode="External"/><Relationship Id="rId3" Type="http://schemas.openxmlformats.org/officeDocument/2006/relationships/hyperlink" Target="mailto:SFBudgetTeam@azed.gov" TargetMode="External"/><Relationship Id="rId7" Type="http://schemas.openxmlformats.org/officeDocument/2006/relationships/hyperlink" Target="mailto:SFBudgetTeam@azed.gov" TargetMode="External"/><Relationship Id="rId12" Type="http://schemas.openxmlformats.org/officeDocument/2006/relationships/hyperlink" Target="http://www.azed.gov/mowr/" TargetMode="External"/><Relationship Id="rId17" Type="http://schemas.openxmlformats.org/officeDocument/2006/relationships/hyperlink" Target="http://www.azed.gov/finance/certificates-of-educational-convenience/" TargetMode="External"/><Relationship Id="rId2" Type="http://schemas.openxmlformats.org/officeDocument/2006/relationships/hyperlink" Target="mailto:SFBudgetTeam@azed.gov" TargetMode="External"/><Relationship Id="rId16" Type="http://schemas.openxmlformats.org/officeDocument/2006/relationships/hyperlink" Target="https://schoolfinancereports.azed.gov/" TargetMode="External"/><Relationship Id="rId20" Type="http://schemas.openxmlformats.org/officeDocument/2006/relationships/printerSettings" Target="../printerSettings/printerSettings18.bin"/><Relationship Id="rId1" Type="http://schemas.openxmlformats.org/officeDocument/2006/relationships/hyperlink" Target="https://schoolfinancereports.azed.gov/" TargetMode="External"/><Relationship Id="rId6" Type="http://schemas.openxmlformats.org/officeDocument/2006/relationships/hyperlink" Target="mailto:SFBudgetTeam@azed.gov" TargetMode="External"/><Relationship Id="rId11" Type="http://schemas.openxmlformats.org/officeDocument/2006/relationships/hyperlink" Target="mailto:SFBudgetTeam@azed.gov" TargetMode="External"/><Relationship Id="rId5" Type="http://schemas.openxmlformats.org/officeDocument/2006/relationships/hyperlink" Target="mailto:SFBudgetTeam@azed.gov" TargetMode="External"/><Relationship Id="rId15" Type="http://schemas.openxmlformats.org/officeDocument/2006/relationships/hyperlink" Target="mailto:SFAnalystTeam@azed.gov" TargetMode="External"/><Relationship Id="rId10" Type="http://schemas.openxmlformats.org/officeDocument/2006/relationships/hyperlink" Target="mailto:SFPaymentTeam@azed.gov" TargetMode="External"/><Relationship Id="rId19" Type="http://schemas.openxmlformats.org/officeDocument/2006/relationships/hyperlink" Target="mailto:SFPaymentTeam@azed.gov" TargetMode="External"/><Relationship Id="rId4" Type="http://schemas.openxmlformats.org/officeDocument/2006/relationships/hyperlink" Target="https://www.azed.gov/sites/default/files/2022/06/MO%20Override%20Estimator%20FY23.xlsm" TargetMode="External"/><Relationship Id="rId9" Type="http://schemas.openxmlformats.org/officeDocument/2006/relationships/hyperlink" Target="mailto:SFBudgetTeam@azed.gov" TargetMode="External"/><Relationship Id="rId14" Type="http://schemas.openxmlformats.org/officeDocument/2006/relationships/hyperlink" Target="https://schoolfinancereports.azed.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56"/>
  <sheetViews>
    <sheetView showGridLines="0" tabSelected="1" topLeftCell="F1" zoomScale="96" zoomScaleNormal="96" workbookViewId="0">
      <selection activeCell="W6" sqref="W6"/>
    </sheetView>
  </sheetViews>
  <sheetFormatPr defaultColWidth="12.90625" defaultRowHeight="15.6"/>
  <cols>
    <col min="1" max="1" width="4.90625" style="97" customWidth="1"/>
    <col min="2" max="2" width="14.08984375" style="97" customWidth="1"/>
    <col min="3" max="3" width="9.08984375" style="97" customWidth="1"/>
    <col min="4" max="4" width="12.90625" style="97" customWidth="1"/>
    <col min="5" max="5" width="10.08984375" style="97" customWidth="1"/>
    <col min="6" max="6" width="9" style="97" customWidth="1"/>
    <col min="7" max="7" width="9.90625" style="97" customWidth="1"/>
    <col min="8" max="8" width="10.90625" style="97" customWidth="1"/>
    <col min="9" max="10" width="2.453125" style="97" customWidth="1"/>
    <col min="11" max="11" width="2.90625" style="97" customWidth="1"/>
    <col min="12" max="12" width="13.54296875" style="97" customWidth="1"/>
    <col min="13" max="13" width="9.90625" style="97" customWidth="1"/>
    <col min="14" max="14" width="12.90625" style="97" customWidth="1"/>
    <col min="15" max="15" width="8.90625" style="97" customWidth="1"/>
    <col min="16" max="16" width="2.90625" style="97" customWidth="1"/>
    <col min="17" max="17" width="12.90625" style="97" customWidth="1"/>
    <col min="18" max="18" width="2.90625" style="97" customWidth="1"/>
    <col min="19" max="19" width="12.90625" style="97" customWidth="1"/>
    <col min="20" max="20" width="2.6328125" style="97" customWidth="1"/>
    <col min="21" max="21" width="12.81640625" style="97" customWidth="1"/>
    <col min="22" max="22" width="2.54296875" style="97" customWidth="1"/>
    <col min="23" max="23" width="13.08984375" style="97" customWidth="1"/>
    <col min="24" max="28" width="12.90625" style="97" customWidth="1"/>
    <col min="29" max="16384" width="12.90625" style="97"/>
  </cols>
  <sheetData>
    <row r="1" spans="1:19">
      <c r="A1" s="96"/>
      <c r="B1" s="1298" t="s">
        <v>0</v>
      </c>
      <c r="C1" s="1586" t="s">
        <v>1416</v>
      </c>
      <c r="D1" s="1588"/>
      <c r="E1" s="1588"/>
      <c r="F1" s="1588"/>
      <c r="G1" s="1298" t="s">
        <v>1</v>
      </c>
      <c r="H1" s="1586" t="s">
        <v>1417</v>
      </c>
      <c r="I1" s="1586"/>
      <c r="J1" s="1586"/>
      <c r="K1" s="1586"/>
      <c r="L1" s="96"/>
      <c r="M1" s="96"/>
      <c r="N1" s="96"/>
      <c r="R1" s="1298" t="s">
        <v>2</v>
      </c>
      <c r="S1" s="24" t="s">
        <v>1418</v>
      </c>
    </row>
    <row r="2" spans="1:19" ht="3.75" customHeight="1">
      <c r="A2" s="96"/>
      <c r="B2" s="96"/>
      <c r="C2" s="96"/>
      <c r="D2" s="96"/>
      <c r="E2" s="96"/>
      <c r="F2" s="96"/>
      <c r="G2" s="96"/>
      <c r="H2" s="96"/>
      <c r="I2" s="99"/>
      <c r="J2" s="96"/>
      <c r="K2" s="99"/>
      <c r="L2" s="96"/>
      <c r="M2" s="96"/>
      <c r="N2" s="96"/>
      <c r="O2" s="96"/>
      <c r="P2" s="96"/>
      <c r="Q2" s="96"/>
      <c r="R2" s="100" t="e">
        <f>0/0</f>
        <v>#DIV/0!</v>
      </c>
    </row>
    <row r="3" spans="1:19">
      <c r="A3" s="96"/>
      <c r="B3" s="96"/>
      <c r="C3" s="96"/>
      <c r="D3" s="1299" t="s">
        <v>3</v>
      </c>
      <c r="E3" s="101">
        <v>2026</v>
      </c>
      <c r="F3" s="96"/>
      <c r="G3" s="96"/>
      <c r="H3" s="96"/>
      <c r="I3" s="96"/>
      <c r="K3" s="1344" t="s">
        <v>4</v>
      </c>
      <c r="L3" s="3"/>
      <c r="M3" s="3"/>
      <c r="N3" s="3"/>
      <c r="O3" s="3"/>
      <c r="P3" s="3"/>
      <c r="Q3" s="3"/>
      <c r="R3" s="3"/>
      <c r="S3" s="3"/>
    </row>
    <row r="4" spans="1:19">
      <c r="A4" s="1580" t="s">
        <v>5</v>
      </c>
      <c r="B4" s="1580"/>
      <c r="C4" s="1580"/>
      <c r="D4" s="1580"/>
      <c r="E4" s="1580"/>
      <c r="F4" s="1580"/>
      <c r="G4" s="1580"/>
      <c r="H4" s="1580"/>
      <c r="I4" s="1594"/>
      <c r="J4" s="102"/>
      <c r="K4" s="1299" t="s">
        <v>6</v>
      </c>
      <c r="L4" s="96" t="s">
        <v>1121</v>
      </c>
      <c r="M4" s="3"/>
      <c r="N4" s="3"/>
      <c r="O4" s="1591">
        <v>18000000</v>
      </c>
      <c r="P4" s="1591"/>
      <c r="Q4" s="3"/>
      <c r="R4" s="3"/>
      <c r="S4" s="96"/>
    </row>
    <row r="5" spans="1:19">
      <c r="A5" s="1580" t="s">
        <v>7</v>
      </c>
      <c r="B5" s="1580"/>
      <c r="C5" s="1580"/>
      <c r="D5" s="1580"/>
      <c r="E5" s="1580"/>
      <c r="F5" s="1580"/>
      <c r="G5" s="1580"/>
      <c r="H5" s="1580"/>
      <c r="I5" s="1594"/>
      <c r="J5" s="102"/>
      <c r="K5" s="1299" t="s">
        <v>8</v>
      </c>
      <c r="L5" s="96" t="s">
        <v>1122</v>
      </c>
      <c r="M5" s="96"/>
      <c r="N5" s="96"/>
      <c r="O5" s="96"/>
      <c r="P5" s="96"/>
      <c r="Q5" s="96"/>
      <c r="R5" s="96"/>
      <c r="S5" s="96"/>
    </row>
    <row r="6" spans="1:19" ht="15.75" customHeight="1">
      <c r="A6" s="1580" t="s">
        <v>9</v>
      </c>
      <c r="B6" s="1580"/>
      <c r="C6" s="1580"/>
      <c r="D6" s="1580"/>
      <c r="E6" s="1580"/>
      <c r="F6" s="1580"/>
      <c r="G6" s="1580"/>
      <c r="H6" s="1580"/>
      <c r="I6" s="1594"/>
      <c r="J6" s="102"/>
      <c r="K6" s="1299"/>
      <c r="L6" s="96" t="s">
        <v>10</v>
      </c>
      <c r="M6" s="1299" t="s">
        <v>11</v>
      </c>
      <c r="N6" s="14">
        <v>5800000</v>
      </c>
      <c r="O6" s="1593"/>
      <c r="P6" s="1593"/>
      <c r="Q6" s="1593"/>
      <c r="R6" s="1593"/>
      <c r="S6" s="1593"/>
    </row>
    <row r="7" spans="1:19" ht="17.25" customHeight="1">
      <c r="A7" s="96"/>
      <c r="B7" s="96"/>
      <c r="C7" s="96"/>
      <c r="D7" s="96"/>
      <c r="E7" s="96"/>
      <c r="F7" s="96"/>
      <c r="G7" s="96"/>
      <c r="H7" s="96"/>
      <c r="I7" s="96"/>
      <c r="J7" s="102"/>
      <c r="K7" s="1299"/>
      <c r="L7" s="96" t="s">
        <v>12</v>
      </c>
      <c r="M7" s="1299" t="s">
        <v>13</v>
      </c>
      <c r="N7" s="14">
        <v>3000</v>
      </c>
      <c r="O7" s="1593"/>
      <c r="P7" s="1593"/>
      <c r="Q7" s="1593"/>
      <c r="R7" s="1593"/>
      <c r="S7" s="1593"/>
    </row>
    <row r="8" spans="1:19" ht="15.75" customHeight="1">
      <c r="A8" s="104"/>
      <c r="B8" s="104"/>
      <c r="C8" s="1578" t="s">
        <v>1411</v>
      </c>
      <c r="D8" s="1578"/>
      <c r="E8" s="1578"/>
      <c r="F8" s="1578"/>
      <c r="G8" s="1578"/>
      <c r="H8" s="104"/>
      <c r="I8" s="104"/>
      <c r="J8" s="102"/>
      <c r="K8" s="1299"/>
      <c r="L8" s="96" t="s">
        <v>14</v>
      </c>
      <c r="M8" s="1299" t="s">
        <v>15</v>
      </c>
      <c r="N8" s="14">
        <v>6000000</v>
      </c>
      <c r="O8" s="1593" t="str">
        <f>IF(OR('Page 7'!J10&gt;'Page 7'!H10,'Page 7'!J17&gt;'Page 7'!H17),"Please correct error on Page 7","")</f>
        <v/>
      </c>
      <c r="P8" s="1593"/>
      <c r="Q8" s="1593"/>
      <c r="R8" s="1593"/>
      <c r="S8" s="1593"/>
    </row>
    <row r="9" spans="1:19" ht="15.75" customHeight="1">
      <c r="A9" s="3"/>
      <c r="B9" s="3"/>
      <c r="C9" s="1584" t="s">
        <v>16</v>
      </c>
      <c r="D9" s="1584"/>
      <c r="E9" s="1584"/>
      <c r="F9" s="1584"/>
      <c r="G9" s="1584"/>
      <c r="H9" s="3"/>
      <c r="I9" s="2"/>
      <c r="J9" s="102"/>
      <c r="K9" s="1299"/>
      <c r="L9" s="96" t="s">
        <v>17</v>
      </c>
      <c r="M9" s="1299" t="s">
        <v>18</v>
      </c>
      <c r="N9" s="14">
        <v>4300000</v>
      </c>
      <c r="O9" s="1593" t="str">
        <f>IF('Data Entry'!G16="","Please enter a SIS Vendor on  the Data Entry Tab","")</f>
        <v/>
      </c>
      <c r="P9" s="1593"/>
      <c r="Q9" s="1593"/>
      <c r="R9" s="1593"/>
      <c r="S9" s="1593"/>
    </row>
    <row r="10" spans="1:19" ht="16.2" thickBot="1">
      <c r="A10" s="1596" t="s">
        <v>19</v>
      </c>
      <c r="B10" s="1597"/>
      <c r="C10" s="1597"/>
      <c r="D10" s="1597"/>
      <c r="E10" s="1597"/>
      <c r="F10" s="1597"/>
      <c r="G10" s="1597"/>
      <c r="H10" s="1597"/>
      <c r="I10" s="1598"/>
      <c r="J10" s="102"/>
      <c r="K10" s="1299"/>
      <c r="L10" s="96" t="s">
        <v>20</v>
      </c>
      <c r="M10" s="1299" t="s">
        <v>21</v>
      </c>
      <c r="N10" s="105">
        <f>SUM(N6:N9)</f>
        <v>16103000</v>
      </c>
      <c r="O10" s="1593"/>
      <c r="P10" s="1593"/>
      <c r="Q10" s="1593"/>
      <c r="R10" s="1593"/>
      <c r="S10" s="1593"/>
    </row>
    <row r="11" spans="1:19" ht="16.2" thickTop="1">
      <c r="A11" s="1597"/>
      <c r="B11" s="1597"/>
      <c r="C11" s="1597"/>
      <c r="D11" s="1597"/>
      <c r="E11" s="1597"/>
      <c r="F11" s="1597"/>
      <c r="G11" s="1597"/>
      <c r="H11" s="1597"/>
      <c r="I11" s="1598"/>
      <c r="J11" s="102"/>
      <c r="K11" s="1299" t="s">
        <v>22</v>
      </c>
      <c r="L11" s="106" t="s">
        <v>23</v>
      </c>
      <c r="M11" s="107"/>
      <c r="N11" s="107"/>
      <c r="O11" s="107"/>
      <c r="P11" s="107"/>
      <c r="Q11" s="96"/>
      <c r="R11" s="96"/>
      <c r="S11" s="96"/>
    </row>
    <row r="12" spans="1:19" ht="15" customHeight="1">
      <c r="A12" s="1580" t="s">
        <v>1123</v>
      </c>
      <c r="B12" s="1580"/>
      <c r="C12" s="1580"/>
      <c r="D12" s="1580"/>
      <c r="E12" s="1580"/>
      <c r="F12" s="1580"/>
      <c r="G12" s="1580"/>
      <c r="H12" s="1580"/>
      <c r="I12" s="1594"/>
      <c r="J12" s="102"/>
      <c r="K12" s="96"/>
      <c r="L12" s="96"/>
      <c r="M12" s="96"/>
      <c r="N12" s="3" t="s">
        <v>1124</v>
      </c>
      <c r="O12" s="3"/>
      <c r="P12" s="96"/>
      <c r="Q12" s="3" t="s">
        <v>1125</v>
      </c>
      <c r="R12" s="3"/>
      <c r="S12" s="96"/>
    </row>
    <row r="13" spans="1:19">
      <c r="A13" s="96"/>
      <c r="B13" s="96"/>
      <c r="C13" s="101" t="s">
        <v>24</v>
      </c>
      <c r="D13" s="96"/>
      <c r="E13" s="1595">
        <v>45817</v>
      </c>
      <c r="F13" s="1595"/>
      <c r="G13" s="108" t="str">
        <f>IF(AND(OR(ISNUMBER(SEARCH("Proposed*",C8)),ISNUMBER(SEARCH("Adopted*",C8)),ISNUMBER(SEARCH("Revised*",C8))),E13=""),"Please enter a Proposed Date","")</f>
        <v/>
      </c>
      <c r="H13" s="96"/>
      <c r="I13" s="96"/>
      <c r="J13" s="102"/>
      <c r="K13" s="96"/>
      <c r="L13" s="96" t="s">
        <v>25</v>
      </c>
      <c r="M13" s="96"/>
      <c r="N13" s="16">
        <v>1.6880999999999999</v>
      </c>
      <c r="O13" s="109"/>
      <c r="P13" s="110"/>
      <c r="Q13" s="16">
        <v>1.734</v>
      </c>
      <c r="R13" s="109"/>
      <c r="S13" s="96" t="str">
        <f>IF('Page 7'!J10&gt;'Page 7'!H10,"Please correct error on Page 7","")</f>
        <v/>
      </c>
    </row>
    <row r="14" spans="1:19">
      <c r="A14" s="96"/>
      <c r="B14" s="96"/>
      <c r="C14" s="101" t="s">
        <v>26</v>
      </c>
      <c r="D14" s="96"/>
      <c r="E14" s="1592"/>
      <c r="F14" s="1592"/>
      <c r="G14" s="108" t="str">
        <f>IF(AND(OR(ISNUMBER(SEARCH("Adopted*",C8)),ISNUMBER(SEARCH("Revised*",C8))),E14=""),"Please enter an Adopted Date","")</f>
        <v/>
      </c>
      <c r="H14" s="96"/>
      <c r="I14" s="96"/>
      <c r="J14" s="102"/>
      <c r="K14" s="96"/>
      <c r="L14" s="96" t="s">
        <v>27</v>
      </c>
      <c r="M14" s="96"/>
      <c r="N14" s="109"/>
      <c r="O14" s="109"/>
      <c r="P14" s="110"/>
      <c r="Q14" s="111"/>
      <c r="R14" s="111"/>
      <c r="S14" s="96"/>
    </row>
    <row r="15" spans="1:19">
      <c r="A15" s="96"/>
      <c r="B15" s="96"/>
      <c r="C15" s="101" t="s">
        <v>28</v>
      </c>
      <c r="D15" s="96"/>
      <c r="E15" s="1587"/>
      <c r="F15" s="1587"/>
      <c r="G15" s="112" t="str">
        <f>IF(AND(ISNUMBER(SEARCH("Revised*",C8)),E15=""),"Please enter a Revised Date","")</f>
        <v/>
      </c>
      <c r="H15" s="96"/>
      <c r="I15" s="96"/>
      <c r="J15" s="102"/>
      <c r="K15" s="96"/>
      <c r="L15" s="96" t="s">
        <v>29</v>
      </c>
      <c r="M15" s="96"/>
      <c r="N15" s="16">
        <v>0.89490000000000003</v>
      </c>
      <c r="O15" s="109"/>
      <c r="P15" s="110"/>
      <c r="Q15" s="16">
        <v>0.85770000000000002</v>
      </c>
      <c r="R15" s="109"/>
      <c r="S15" s="96"/>
    </row>
    <row r="16" spans="1:19" ht="15" customHeight="1">
      <c r="A16" s="96"/>
      <c r="B16" s="96"/>
      <c r="E16" s="1584" t="s">
        <v>30</v>
      </c>
      <c r="F16" s="1584"/>
      <c r="G16" s="96"/>
      <c r="H16" s="96"/>
      <c r="I16" s="96"/>
      <c r="J16" s="102"/>
      <c r="K16" s="96"/>
      <c r="L16" s="96" t="s">
        <v>31</v>
      </c>
      <c r="M16" s="96"/>
      <c r="N16" s="15"/>
      <c r="O16" s="109"/>
      <c r="P16" s="110"/>
      <c r="Q16" s="15">
        <v>0.69530000000000003</v>
      </c>
      <c r="R16" s="109"/>
      <c r="S16" s="96"/>
    </row>
    <row r="17" spans="1:24" ht="15.75" customHeight="1">
      <c r="A17" s="113"/>
      <c r="B17" s="1474"/>
      <c r="C17" s="106" t="s">
        <v>1271</v>
      </c>
      <c r="D17" s="106"/>
      <c r="E17" s="1589" t="s">
        <v>1424</v>
      </c>
      <c r="F17" s="1589"/>
      <c r="G17" s="1589"/>
      <c r="H17" s="1589"/>
      <c r="I17" s="114"/>
      <c r="J17" s="102"/>
      <c r="K17" s="96"/>
      <c r="L17" s="96" t="s">
        <v>32</v>
      </c>
      <c r="M17" s="96"/>
      <c r="N17" s="15">
        <v>0.38369999999999999</v>
      </c>
      <c r="O17" s="109"/>
      <c r="P17" s="110"/>
      <c r="Q17" s="15"/>
      <c r="R17" s="109"/>
      <c r="S17" s="96"/>
    </row>
    <row r="18" spans="1:24">
      <c r="A18" s="115"/>
      <c r="B18" s="113"/>
      <c r="C18" s="113"/>
      <c r="D18" s="113"/>
      <c r="E18" s="1590"/>
      <c r="F18" s="1590"/>
      <c r="G18" s="1590"/>
      <c r="H18" s="1590"/>
      <c r="I18" s="114"/>
      <c r="J18" s="102"/>
      <c r="K18" s="96"/>
      <c r="L18" s="101" t="s">
        <v>33</v>
      </c>
      <c r="M18" s="3"/>
      <c r="N18" s="15"/>
      <c r="O18" s="109"/>
      <c r="P18" s="110"/>
      <c r="Q18" s="15"/>
      <c r="R18" s="109"/>
      <c r="S18" s="96"/>
    </row>
    <row r="19" spans="1:24">
      <c r="A19" s="96"/>
      <c r="B19" s="96"/>
      <c r="C19" s="1581"/>
      <c r="D19" s="1581"/>
      <c r="E19" s="96"/>
      <c r="F19" s="1581"/>
      <c r="G19" s="1581"/>
      <c r="H19" s="96"/>
      <c r="I19" s="96"/>
      <c r="J19" s="102"/>
      <c r="K19" s="96"/>
      <c r="L19" s="101" t="s">
        <v>34</v>
      </c>
      <c r="M19" s="96"/>
      <c r="N19" s="15">
        <v>0.69989999999999997</v>
      </c>
      <c r="O19" s="109"/>
      <c r="P19" s="110"/>
      <c r="Q19" s="15">
        <v>0.68320000000000003</v>
      </c>
      <c r="R19" s="109"/>
      <c r="S19" s="96"/>
    </row>
    <row r="20" spans="1:24">
      <c r="A20" s="96"/>
      <c r="B20" s="96"/>
      <c r="C20" s="1562"/>
      <c r="D20" s="1562"/>
      <c r="E20" s="96"/>
      <c r="F20" s="1562"/>
      <c r="G20" s="1562"/>
      <c r="H20" s="96"/>
      <c r="I20" s="96"/>
      <c r="J20" s="102"/>
      <c r="K20" s="96"/>
      <c r="L20" s="96" t="s">
        <v>35</v>
      </c>
      <c r="M20" s="96"/>
      <c r="N20" s="16"/>
      <c r="O20" s="109"/>
      <c r="P20" s="96"/>
      <c r="Q20" s="16"/>
      <c r="R20" s="109"/>
      <c r="S20" s="96"/>
    </row>
    <row r="21" spans="1:24">
      <c r="A21" s="96"/>
      <c r="B21" s="96"/>
      <c r="C21" s="1562"/>
      <c r="D21" s="1562"/>
      <c r="E21" s="96"/>
      <c r="F21" s="1562"/>
      <c r="G21" s="1562"/>
      <c r="H21" s="96"/>
      <c r="I21" s="96"/>
      <c r="J21" s="102"/>
      <c r="K21" s="96"/>
      <c r="L21" s="96" t="s">
        <v>36</v>
      </c>
      <c r="M21" s="96"/>
      <c r="N21" s="16"/>
      <c r="O21" s="109"/>
      <c r="P21" s="96"/>
      <c r="Q21" s="16"/>
      <c r="R21" s="109"/>
      <c r="S21" s="96"/>
    </row>
    <row r="22" spans="1:24" ht="16.2" thickBot="1">
      <c r="A22" s="96"/>
      <c r="B22" s="96"/>
      <c r="C22" s="1562"/>
      <c r="D22" s="1562"/>
      <c r="E22" s="96"/>
      <c r="F22" s="1562"/>
      <c r="G22" s="1562"/>
      <c r="H22" s="96"/>
      <c r="I22" s="96"/>
      <c r="J22" s="102"/>
      <c r="K22" s="96"/>
      <c r="L22" s="96" t="s">
        <v>37</v>
      </c>
      <c r="M22" s="96"/>
      <c r="N22" s="116">
        <f>SUM(N15:N21)</f>
        <v>1.9784999999999999</v>
      </c>
      <c r="O22" s="109"/>
      <c r="P22" s="96"/>
      <c r="Q22" s="116">
        <f>SUM(Q15:Q21)</f>
        <v>2.2362000000000002</v>
      </c>
      <c r="R22" s="109"/>
      <c r="S22" s="3"/>
    </row>
    <row r="23" spans="1:24" ht="16.2" thickTop="1">
      <c r="A23" s="96"/>
      <c r="B23" s="96"/>
      <c r="C23" s="1562"/>
      <c r="D23" s="1562"/>
      <c r="E23" s="96"/>
      <c r="F23" s="1562"/>
      <c r="G23" s="1562"/>
      <c r="H23" s="96"/>
      <c r="I23" s="96"/>
      <c r="J23" s="102"/>
      <c r="K23" s="117" t="s">
        <v>38</v>
      </c>
      <c r="M23" s="96"/>
      <c r="N23" s="96"/>
      <c r="O23" s="96"/>
      <c r="P23" s="96"/>
      <c r="Q23" s="96"/>
      <c r="R23" s="96"/>
      <c r="S23" s="96"/>
    </row>
    <row r="24" spans="1:24">
      <c r="A24" s="96"/>
      <c r="B24" s="96"/>
      <c r="C24" s="1562"/>
      <c r="D24" s="1562"/>
      <c r="E24" s="96"/>
      <c r="F24" s="1562"/>
      <c r="G24" s="1562"/>
      <c r="H24" s="96"/>
      <c r="I24" s="96"/>
      <c r="J24" s="102"/>
      <c r="K24" s="117"/>
      <c r="M24" s="96"/>
      <c r="N24" s="96"/>
      <c r="O24" s="96"/>
      <c r="P24" s="96"/>
      <c r="Q24" s="118" t="s">
        <v>39</v>
      </c>
      <c r="R24" s="118"/>
      <c r="S24" s="1504" t="s">
        <v>1312</v>
      </c>
      <c r="T24" s="118"/>
      <c r="U24" s="118" t="s">
        <v>40</v>
      </c>
    </row>
    <row r="25" spans="1:24">
      <c r="A25" s="96"/>
      <c r="B25" s="96"/>
      <c r="C25" s="1562"/>
      <c r="D25" s="1562"/>
      <c r="E25" s="96"/>
      <c r="F25" s="1562"/>
      <c r="G25" s="1562"/>
      <c r="H25" s="96"/>
      <c r="I25" s="96"/>
      <c r="J25" s="102"/>
      <c r="K25" s="1299" t="s">
        <v>6</v>
      </c>
      <c r="L25" s="96" t="s">
        <v>1334</v>
      </c>
      <c r="M25" s="96"/>
      <c r="N25" s="96"/>
      <c r="O25" s="96"/>
      <c r="P25" s="1299" t="s">
        <v>21</v>
      </c>
      <c r="Q25" s="103">
        <f>F001TotalExp</f>
        <v>11154364</v>
      </c>
      <c r="R25" s="1299" t="s">
        <v>21</v>
      </c>
      <c r="S25" s="103">
        <f>F001Carryforward</f>
        <v>4920125</v>
      </c>
      <c r="T25" s="1299" t="s">
        <v>21</v>
      </c>
      <c r="U25" s="103">
        <f>GBLBudgFY</f>
        <v>16074489</v>
      </c>
      <c r="V25" s="119" t="str">
        <f>IF((Q25+S25)&gt;U25,"GBL Exceeded","")</f>
        <v/>
      </c>
    </row>
    <row r="26" spans="1:24">
      <c r="A26" s="96"/>
      <c r="B26" s="96"/>
      <c r="C26" s="1565" t="s">
        <v>41</v>
      </c>
      <c r="D26" s="1565"/>
      <c r="E26" s="120"/>
      <c r="F26" s="1565" t="s">
        <v>41</v>
      </c>
      <c r="G26" s="1565"/>
      <c r="H26" s="96"/>
      <c r="I26" s="96"/>
      <c r="J26" s="102"/>
      <c r="K26" s="1299" t="s">
        <v>8</v>
      </c>
      <c r="L26" s="96" t="s">
        <v>1335</v>
      </c>
      <c r="M26" s="96"/>
      <c r="N26" s="96"/>
      <c r="O26" s="96"/>
      <c r="P26" s="1299" t="s">
        <v>21</v>
      </c>
      <c r="Q26" s="103">
        <f>F610TotalBudgFY</f>
        <v>1278960</v>
      </c>
      <c r="R26" s="1299" t="s">
        <v>21</v>
      </c>
      <c r="S26" s="103">
        <f>F610Carryforward</f>
        <v>326392</v>
      </c>
      <c r="T26" s="1299" t="s">
        <v>21</v>
      </c>
      <c r="U26" s="103">
        <f>UCBLBudgFY</f>
        <v>1605352</v>
      </c>
      <c r="V26" s="119" t="str">
        <f>IF((Q26+S26)&gt;U26,"UCBL Exceeded","")</f>
        <v/>
      </c>
    </row>
    <row r="27" spans="1:24">
      <c r="A27" s="96"/>
      <c r="B27" s="96"/>
      <c r="C27" s="96"/>
      <c r="D27" s="96"/>
      <c r="E27" s="96"/>
      <c r="F27" s="96"/>
      <c r="G27" s="96"/>
      <c r="H27" s="96"/>
      <c r="I27" s="96"/>
      <c r="J27" s="102"/>
      <c r="K27" s="121" t="s">
        <v>22</v>
      </c>
      <c r="L27" s="96" t="s">
        <v>1347</v>
      </c>
      <c r="M27" s="96"/>
      <c r="N27" s="96"/>
      <c r="O27" s="96"/>
      <c r="P27" s="96"/>
      <c r="T27" s="1299" t="s">
        <v>21</v>
      </c>
      <c r="U27" s="103">
        <f>TotFedProjFundBudgFY-F378BudgFY</f>
        <v>2084637</v>
      </c>
    </row>
    <row r="28" spans="1:24" ht="16.2" thickBot="1">
      <c r="A28" s="96"/>
      <c r="C28" s="96" t="s">
        <v>1126</v>
      </c>
      <c r="D28" s="96"/>
      <c r="E28" s="96"/>
      <c r="F28" s="96"/>
      <c r="G28" s="96"/>
      <c r="H28" s="96"/>
      <c r="I28" s="96"/>
      <c r="J28" s="102"/>
      <c r="K28" s="121" t="s">
        <v>42</v>
      </c>
      <c r="L28" s="96" t="s">
        <v>43</v>
      </c>
      <c r="M28" s="96"/>
      <c r="N28" s="96"/>
      <c r="O28" s="96"/>
      <c r="P28" s="96"/>
      <c r="T28" s="1299" t="s">
        <v>21</v>
      </c>
      <c r="U28" s="105">
        <f>SUM(U25+U26+U27)</f>
        <v>19764478</v>
      </c>
    </row>
    <row r="29" spans="1:24" ht="16.5" customHeight="1" thickTop="1">
      <c r="A29" s="96"/>
      <c r="B29" s="97" t="s">
        <v>44</v>
      </c>
      <c r="C29" s="96" t="s">
        <v>45</v>
      </c>
      <c r="D29" s="1327"/>
      <c r="F29" s="1563">
        <v>45818</v>
      </c>
      <c r="G29" s="1563"/>
      <c r="H29" s="122" t="s">
        <v>46</v>
      </c>
      <c r="I29" s="123"/>
      <c r="J29" s="102"/>
      <c r="S29" s="124"/>
    </row>
    <row r="30" spans="1:24" ht="16.5" customHeight="1">
      <c r="A30" s="96"/>
      <c r="B30" s="1580"/>
      <c r="C30" s="1580"/>
      <c r="D30" s="125"/>
      <c r="E30" s="96"/>
      <c r="F30" s="1564" t="s">
        <v>30</v>
      </c>
      <c r="G30" s="1564"/>
      <c r="H30" s="96"/>
      <c r="I30" s="96"/>
      <c r="J30" s="102"/>
      <c r="K30" s="1339" t="s">
        <v>47</v>
      </c>
      <c r="L30" s="1339"/>
      <c r="M30" s="1339"/>
      <c r="N30" s="1339"/>
      <c r="O30" s="1339"/>
      <c r="P30" s="1339"/>
      <c r="Q30" s="1339"/>
      <c r="R30" s="124"/>
    </row>
    <row r="31" spans="1:24" ht="14.25" customHeight="1" thickBot="1">
      <c r="A31" s="96"/>
      <c r="B31" s="96"/>
      <c r="C31" s="96"/>
      <c r="D31" s="96"/>
      <c r="E31" s="1334"/>
      <c r="F31" s="126" t="str">
        <f>IF(F29="","Please enter upload by date",IF(F29&gt;=MAX(E13,E14,E15),"","Revise upload date for current submission"))</f>
        <v/>
      </c>
      <c r="G31" s="96"/>
      <c r="H31" s="1334"/>
      <c r="I31" s="96"/>
      <c r="J31" s="102"/>
      <c r="K31" s="121" t="s">
        <v>6</v>
      </c>
      <c r="L31" s="96" t="s">
        <v>1127</v>
      </c>
      <c r="M31" s="1305"/>
      <c r="N31" s="1305"/>
      <c r="O31" s="96"/>
      <c r="P31" s="1567" t="str">
        <f>IF(V32&lt;&gt;"","",IF(OR(S31=0,S32=0),"Average salary information is not complete",""))</f>
        <v/>
      </c>
      <c r="Q31" s="1567"/>
      <c r="R31" s="1299" t="s">
        <v>21</v>
      </c>
      <c r="S31" s="14">
        <v>56200</v>
      </c>
      <c r="T31" s="127" t="str">
        <f>IF(V32&lt;&gt;"","",IF(OR(S31=0,S32=0),1/ERROR,""))</f>
        <v/>
      </c>
    </row>
    <row r="32" spans="1:24" ht="17.25" customHeight="1" thickBot="1">
      <c r="A32" s="96"/>
      <c r="B32" s="1578"/>
      <c r="C32" s="1578"/>
      <c r="D32" s="1578"/>
      <c r="E32" s="96"/>
      <c r="F32" s="1581"/>
      <c r="G32" s="1581"/>
      <c r="H32" s="1581"/>
      <c r="I32" s="96"/>
      <c r="J32" s="102"/>
      <c r="K32" s="121" t="s">
        <v>8</v>
      </c>
      <c r="L32" s="96" t="s">
        <v>1128</v>
      </c>
      <c r="M32" s="96"/>
      <c r="N32" s="96"/>
      <c r="O32" s="96"/>
      <c r="P32" s="1567"/>
      <c r="Q32" s="1567"/>
      <c r="R32" s="1299" t="s">
        <v>21</v>
      </c>
      <c r="S32" s="14">
        <v>55067</v>
      </c>
      <c r="V32" s="57"/>
      <c r="W32" s="1566" t="s">
        <v>48</v>
      </c>
      <c r="X32" s="1566"/>
    </row>
    <row r="33" spans="1:24" ht="17.25" customHeight="1">
      <c r="A33" s="96"/>
      <c r="B33" s="1584" t="s">
        <v>49</v>
      </c>
      <c r="C33" s="1584"/>
      <c r="D33" s="1584"/>
      <c r="E33" s="96"/>
      <c r="F33" s="1580" t="s">
        <v>50</v>
      </c>
      <c r="G33" s="1580"/>
      <c r="H33" s="1580"/>
      <c r="I33" s="96"/>
      <c r="J33" s="102"/>
      <c r="K33" s="121" t="s">
        <v>22</v>
      </c>
      <c r="L33" s="96" t="s">
        <v>51</v>
      </c>
      <c r="M33" s="96"/>
      <c r="N33" s="96"/>
      <c r="O33" s="96"/>
      <c r="P33" s="1567"/>
      <c r="Q33" s="1567"/>
      <c r="R33" s="1299" t="s">
        <v>21</v>
      </c>
      <c r="S33" s="128">
        <f>BudgetYearSalary-PriorYearSalary</f>
        <v>1133</v>
      </c>
      <c r="W33" s="1566"/>
      <c r="X33" s="1566"/>
    </row>
    <row r="34" spans="1:24">
      <c r="A34" s="96"/>
      <c r="B34" s="96"/>
      <c r="C34" s="96"/>
      <c r="D34" s="96"/>
      <c r="E34" s="96"/>
      <c r="F34" s="96"/>
      <c r="G34" s="96"/>
      <c r="H34" s="96"/>
      <c r="I34" s="96"/>
      <c r="J34" s="102"/>
      <c r="K34" s="121" t="s">
        <v>42</v>
      </c>
      <c r="L34" s="96" t="s">
        <v>52</v>
      </c>
      <c r="M34" s="96"/>
      <c r="N34" s="96"/>
      <c r="O34" s="129"/>
      <c r="P34" s="1568"/>
      <c r="Q34" s="1568"/>
      <c r="R34" s="1299"/>
      <c r="S34" s="130">
        <f>IF(PriorYearSalary&gt;0,SalaryIncrease/PriorYearSalary,0)</f>
        <v>0.02</v>
      </c>
    </row>
    <row r="35" spans="1:24" ht="18" customHeight="1">
      <c r="A35" s="96"/>
      <c r="B35" s="1585" t="s">
        <v>1412</v>
      </c>
      <c r="C35" s="1585"/>
      <c r="D35" s="1585"/>
      <c r="E35" s="96"/>
      <c r="F35" s="1578" t="s">
        <v>1413</v>
      </c>
      <c r="G35" s="1578"/>
      <c r="H35" s="1578"/>
      <c r="I35" s="96"/>
      <c r="J35" s="102"/>
      <c r="K35" s="1569" t="s">
        <v>53</v>
      </c>
      <c r="L35" s="1570"/>
      <c r="M35" s="1570"/>
      <c r="N35" s="1570"/>
      <c r="O35" s="1570"/>
      <c r="P35" s="1570"/>
      <c r="Q35" s="1570"/>
      <c r="R35" s="1570"/>
      <c r="S35" s="1571"/>
    </row>
    <row r="36" spans="1:24" ht="15" customHeight="1">
      <c r="A36" s="96"/>
      <c r="B36" s="1584" t="s">
        <v>54</v>
      </c>
      <c r="C36" s="1584"/>
      <c r="D36" s="1584"/>
      <c r="E36" s="96"/>
      <c r="F36" s="1580" t="s">
        <v>55</v>
      </c>
      <c r="G36" s="1580"/>
      <c r="H36" s="1580"/>
      <c r="I36" s="96"/>
      <c r="J36" s="102"/>
      <c r="K36" s="1572"/>
      <c r="L36" s="1573"/>
      <c r="M36" s="1573"/>
      <c r="N36" s="1573"/>
      <c r="O36" s="1573"/>
      <c r="P36" s="1573"/>
      <c r="Q36" s="1573"/>
      <c r="R36" s="1573"/>
      <c r="S36" s="1574"/>
    </row>
    <row r="37" spans="1:24" ht="15" customHeight="1">
      <c r="A37" s="96"/>
      <c r="B37" s="3"/>
      <c r="C37" s="3"/>
      <c r="D37" s="3"/>
      <c r="E37" s="96"/>
      <c r="F37" s="3"/>
      <c r="G37" s="3"/>
      <c r="H37" s="3"/>
      <c r="I37" s="96"/>
      <c r="J37" s="131"/>
      <c r="K37" s="1572"/>
      <c r="L37" s="1573"/>
      <c r="M37" s="1573"/>
      <c r="N37" s="1573"/>
      <c r="O37" s="1573"/>
      <c r="P37" s="1573"/>
      <c r="Q37" s="1573"/>
      <c r="R37" s="1573"/>
      <c r="S37" s="1574"/>
    </row>
    <row r="38" spans="1:24" ht="15" customHeight="1">
      <c r="A38" s="96"/>
      <c r="B38" s="1579" t="s">
        <v>56</v>
      </c>
      <c r="C38" s="1579"/>
      <c r="D38" s="1578" t="s">
        <v>1413</v>
      </c>
      <c r="E38" s="1578"/>
      <c r="F38" s="1578"/>
      <c r="G38" s="1578"/>
      <c r="H38" s="96"/>
      <c r="I38" s="96"/>
      <c r="J38" s="132"/>
      <c r="K38" s="1572"/>
      <c r="L38" s="1573"/>
      <c r="M38" s="1573"/>
      <c r="N38" s="1573"/>
      <c r="O38" s="1573"/>
      <c r="P38" s="1573"/>
      <c r="Q38" s="1573"/>
      <c r="R38" s="1573"/>
      <c r="S38" s="1574"/>
    </row>
    <row r="39" spans="1:24" ht="15" customHeight="1">
      <c r="A39" s="100"/>
      <c r="B39" s="101"/>
      <c r="C39" s="101"/>
      <c r="D39" s="3"/>
      <c r="E39" s="3"/>
      <c r="F39" s="3"/>
      <c r="G39" s="1"/>
      <c r="H39" s="96"/>
      <c r="I39" s="133"/>
      <c r="J39" s="134"/>
      <c r="K39" s="1575"/>
      <c r="L39" s="1576"/>
      <c r="M39" s="1576"/>
      <c r="N39" s="1576"/>
      <c r="O39" s="1576"/>
      <c r="P39" s="1576"/>
      <c r="Q39" s="1576"/>
      <c r="R39" s="1576"/>
      <c r="S39" s="1577"/>
      <c r="V39" s="1172">
        <f>E3-1</f>
        <v>2025</v>
      </c>
    </row>
    <row r="40" spans="1:24" ht="15" customHeight="1">
      <c r="A40" s="135"/>
      <c r="B40" s="96" t="s">
        <v>57</v>
      </c>
      <c r="C40" s="1582" t="s">
        <v>1414</v>
      </c>
      <c r="D40" s="1582"/>
      <c r="E40" s="96"/>
      <c r="F40" s="1299" t="s">
        <v>58</v>
      </c>
      <c r="G40" s="1583" t="s">
        <v>1415</v>
      </c>
      <c r="H40" s="1578"/>
      <c r="I40" s="133"/>
      <c r="J40" s="136"/>
      <c r="K40" s="121"/>
      <c r="L40" s="96"/>
      <c r="M40" s="96"/>
      <c r="N40" s="96"/>
      <c r="O40" s="124"/>
      <c r="P40" s="124"/>
      <c r="Q40" s="96"/>
      <c r="R40" s="1299"/>
      <c r="S40" s="137"/>
      <c r="V40" s="1172">
        <f>E3-2</f>
        <v>2024</v>
      </c>
    </row>
    <row r="41" spans="1:24" ht="15.75" customHeight="1">
      <c r="A41" s="135"/>
      <c r="B41" s="96"/>
      <c r="C41" s="96"/>
      <c r="D41" s="96"/>
      <c r="E41" s="1315"/>
      <c r="F41" s="96"/>
      <c r="G41" s="96"/>
      <c r="H41" s="96"/>
      <c r="I41" s="133"/>
      <c r="J41" s="138"/>
      <c r="K41" s="121"/>
      <c r="L41" s="96"/>
      <c r="R41" s="1299"/>
      <c r="S41" s="130"/>
      <c r="T41" s="138"/>
    </row>
    <row r="42" spans="1:24">
      <c r="A42" s="139"/>
      <c r="B42" s="96"/>
      <c r="C42" s="96"/>
      <c r="D42" s="96"/>
      <c r="E42" s="1315"/>
      <c r="F42" s="96"/>
      <c r="G42" s="96"/>
      <c r="H42" s="96"/>
      <c r="J42" s="140"/>
      <c r="K42" s="141"/>
      <c r="L42" s="140"/>
      <c r="M42" s="142"/>
      <c r="N42" s="142"/>
      <c r="O42" s="142"/>
      <c r="P42" s="142"/>
      <c r="Q42" s="143"/>
      <c r="R42" s="143"/>
      <c r="S42" s="144"/>
      <c r="T42" s="138"/>
    </row>
    <row r="43" spans="1:24" ht="6.75" customHeight="1">
      <c r="B43" s="100"/>
      <c r="C43" s="1315"/>
      <c r="D43" s="1315"/>
      <c r="E43" s="145"/>
      <c r="F43" s="1315"/>
      <c r="G43" s="1315"/>
      <c r="H43" s="1315"/>
      <c r="S43" s="146"/>
    </row>
    <row r="44" spans="1:24">
      <c r="E44" s="145"/>
      <c r="F44" s="145"/>
      <c r="G44" s="147"/>
      <c r="H44" s="145"/>
    </row>
    <row r="45" spans="1:24">
      <c r="E45" s="139"/>
      <c r="F45" s="145"/>
      <c r="G45" s="145"/>
      <c r="H45" s="145"/>
    </row>
    <row r="56" spans="2:2">
      <c r="B56" s="148"/>
    </row>
  </sheetData>
  <sheetProtection formatCells="0" formatColumns="0" formatRows="0"/>
  <mergeCells count="53">
    <mergeCell ref="E18:H18"/>
    <mergeCell ref="O4:P4"/>
    <mergeCell ref="E14:F14"/>
    <mergeCell ref="O8:S8"/>
    <mergeCell ref="C8:G8"/>
    <mergeCell ref="A4:I4"/>
    <mergeCell ref="A6:I6"/>
    <mergeCell ref="A12:I12"/>
    <mergeCell ref="A5:I5"/>
    <mergeCell ref="E13:F13"/>
    <mergeCell ref="A10:I11"/>
    <mergeCell ref="O6:S7"/>
    <mergeCell ref="O9:S10"/>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E17:H17"/>
    <mergeCell ref="C40:D40"/>
    <mergeCell ref="D38:G38"/>
    <mergeCell ref="G40:H40"/>
    <mergeCell ref="B33:D33"/>
    <mergeCell ref="F33:H33"/>
    <mergeCell ref="B36:D36"/>
    <mergeCell ref="F36:H36"/>
    <mergeCell ref="B35:D35"/>
    <mergeCell ref="F35:H35"/>
    <mergeCell ref="W32:X33"/>
    <mergeCell ref="P31:Q34"/>
    <mergeCell ref="C25:D25"/>
    <mergeCell ref="K35:S39"/>
    <mergeCell ref="C26:D26"/>
    <mergeCell ref="B32:D32"/>
    <mergeCell ref="B38:C38"/>
    <mergeCell ref="B30:C30"/>
    <mergeCell ref="F32:H32"/>
    <mergeCell ref="F24:G24"/>
    <mergeCell ref="C24:D24"/>
    <mergeCell ref="F29:G29"/>
    <mergeCell ref="F30:G30"/>
    <mergeCell ref="F26:G26"/>
    <mergeCell ref="F25:G25"/>
  </mergeCells>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or Adopted" sqref="C8:G8" xr:uid="{00000000-0002-0000-0000-000001000000}">
      <formula1>"Proposed, Adopted"</formula1>
    </dataValidation>
    <dataValidation operator="greaterThan" allowBlank="1" showInputMessage="1" showErrorMessage="1" errorTitle="Date" error="Revised date must be greater than adopted date" promptTitle="Enter Date as" prompt="Month Day, Year_x000a_(ex. July 1, 20XX)" sqref="E15:F15" xr:uid="{00000000-0002-0000-0000-000002000000}"/>
    <dataValidation operator="greaterThan" allowBlank="1" showInputMessage="1" showErrorMessage="1" errorTitle="Date" error="Adopted date must be greater than proposed date" promptTitle="Enter Date as" prompt="Month Day, Year_x000a_(ex. July 1, 20XX)" sqref="E14:F14" xr:uid="{00000000-0002-0000-0000-000003000000}"/>
    <dataValidation operator="greaterThanOrEqual" allowBlank="1" showInputMessage="1" errorTitle="Date" error="Enter a Valid Date_x000a_MM/DD/YYYY" promptTitle="Enter Date as" prompt="Month Day, Year_x000a_(ex. July 1, 20XX)" sqref="E13:F13 F29:G29" xr:uid="{00000000-0002-0000-0000-000004000000}"/>
    <dataValidation type="list" allowBlank="1" showInputMessage="1" showErrorMessage="1" sqref="V32" xr:uid="{00000000-0002-0000-0000-000005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 ref="B17:D17" location="WebsiteLink" display="District website link of posted budget" xr:uid="{00000000-0004-0000-0000-000002000000}"/>
    <hyperlink ref="E17" r:id="rId1" xr:uid="{BABB07BD-4BFB-49E7-BA9D-A7AE6CBE216A}"/>
  </hyperlinks>
  <printOptions horizontalCentered="1"/>
  <pageMargins left="0.25" right="0.25" top="0.25" bottom="0.25" header="0" footer="0.15"/>
  <pageSetup paperSize="5" scale="68" orientation="landscape" r:id="rId2"/>
  <headerFooter alignWithMargins="0">
    <oddFooter>&amp;L&amp;"Times New Roman,Bold"&amp;9Rev. 5/25&amp;K000000 Arizona Department of Education and Auditor General&amp;C&amp;"Times New Roman,Regular"&amp;9&amp;D  &amp;T</oddFooter>
  </headerFooter>
  <ignoredErrors>
    <ignoredError sqref="R2" evalError="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O49"/>
  <sheetViews>
    <sheetView showGridLines="0" tabSelected="1" topLeftCell="A21" workbookViewId="0">
      <selection activeCell="W6" sqref="W6"/>
    </sheetView>
  </sheetViews>
  <sheetFormatPr defaultColWidth="9.90625" defaultRowHeight="15.6"/>
  <cols>
    <col min="1" max="1" width="16.90625" style="97" customWidth="1"/>
    <col min="2" max="2" width="19.6328125" style="97" customWidth="1"/>
    <col min="3" max="3" width="3.90625" style="97" customWidth="1"/>
    <col min="4" max="5" width="5.90625" style="97" customWidth="1"/>
    <col min="6" max="12" width="11.90625" style="97" customWidth="1"/>
    <col min="13" max="13" width="6.90625" style="97" customWidth="1"/>
    <col min="14" max="14" width="3.90625" style="159" customWidth="1"/>
    <col min="15" max="19" width="9.90625" style="97" customWidth="1"/>
    <col min="20" max="16384" width="9.90625" style="97"/>
  </cols>
  <sheetData>
    <row r="1" spans="1:15">
      <c r="A1" s="1298" t="s">
        <v>59</v>
      </c>
      <c r="B1" s="1601" t="str">
        <f>DistrictName</f>
        <v>Murphy Elementary School District #21</v>
      </c>
      <c r="C1" s="1602"/>
      <c r="D1" s="1602"/>
      <c r="E1" s="1602"/>
      <c r="F1" s="1298" t="s">
        <v>1</v>
      </c>
      <c r="G1" s="1297" t="str">
        <f>Cover!H1</f>
        <v>Maricopa</v>
      </c>
      <c r="H1"/>
      <c r="I1" s="1298" t="s">
        <v>60</v>
      </c>
      <c r="J1" s="1312" t="str">
        <f>CTD</f>
        <v>070421000</v>
      </c>
      <c r="K1" s="149"/>
      <c r="L1" s="1298" t="s">
        <v>16</v>
      </c>
      <c r="M1" s="1599" t="str">
        <f>Cover!C8</f>
        <v>Proposed</v>
      </c>
      <c r="N1" s="1600"/>
      <c r="O1" s="139"/>
    </row>
    <row r="2" spans="1:15" ht="16.5" customHeight="1">
      <c r="A2" s="157" t="s">
        <v>82</v>
      </c>
      <c r="B2" s="157"/>
      <c r="C2" s="157"/>
      <c r="D2" s="1141" t="s">
        <v>83</v>
      </c>
      <c r="E2" s="1141"/>
      <c r="F2" s="1142"/>
      <c r="G2" s="1142"/>
      <c r="H2" s="1142"/>
      <c r="I2" s="1142"/>
      <c r="J2" s="1142"/>
      <c r="K2" s="1142"/>
      <c r="L2" s="1142"/>
      <c r="M2" s="158"/>
    </row>
    <row r="3" spans="1:15" ht="12" customHeight="1">
      <c r="A3" s="160"/>
      <c r="B3" s="96"/>
      <c r="C3" s="96"/>
      <c r="D3" s="161"/>
      <c r="E3" s="104"/>
      <c r="F3" s="162"/>
      <c r="G3" s="162" t="s">
        <v>84</v>
      </c>
      <c r="H3" s="162" t="s">
        <v>85</v>
      </c>
      <c r="I3" s="162"/>
      <c r="J3" s="162"/>
      <c r="K3" s="163" t="s">
        <v>86</v>
      </c>
      <c r="L3" s="163"/>
      <c r="M3" s="164"/>
    </row>
    <row r="4" spans="1:15" ht="12" customHeight="1">
      <c r="A4" s="102"/>
      <c r="B4" s="96"/>
      <c r="C4" s="96"/>
      <c r="D4" s="165" t="s">
        <v>87</v>
      </c>
      <c r="E4" s="163"/>
      <c r="F4" s="162" t="s">
        <v>88</v>
      </c>
      <c r="G4" s="162" t="s">
        <v>89</v>
      </c>
      <c r="H4" s="162" t="s">
        <v>90</v>
      </c>
      <c r="I4" s="162" t="s">
        <v>91</v>
      </c>
      <c r="J4" s="162" t="s">
        <v>92</v>
      </c>
      <c r="K4" s="3" t="s">
        <v>93</v>
      </c>
      <c r="L4" s="166" t="s">
        <v>94</v>
      </c>
      <c r="M4" s="162" t="s">
        <v>95</v>
      </c>
    </row>
    <row r="5" spans="1:15" ht="12" customHeight="1">
      <c r="A5" s="1328" t="s">
        <v>96</v>
      </c>
      <c r="C5" s="96"/>
      <c r="D5" s="162" t="s">
        <v>93</v>
      </c>
      <c r="E5" s="3" t="s">
        <v>94</v>
      </c>
      <c r="F5" s="167"/>
      <c r="G5" s="167"/>
      <c r="H5" s="162" t="s">
        <v>97</v>
      </c>
      <c r="I5" s="162"/>
      <c r="J5" s="162"/>
      <c r="K5" s="3" t="s">
        <v>3</v>
      </c>
      <c r="L5" s="166" t="s">
        <v>3</v>
      </c>
      <c r="M5" s="162" t="s">
        <v>98</v>
      </c>
    </row>
    <row r="6" spans="1:15" ht="12" customHeight="1">
      <c r="A6" s="168"/>
      <c r="B6" s="169"/>
      <c r="C6" s="170"/>
      <c r="D6" s="162" t="s">
        <v>3</v>
      </c>
      <c r="E6" s="172" t="s">
        <v>3</v>
      </c>
      <c r="F6" s="171" t="s">
        <v>99</v>
      </c>
      <c r="G6" s="171" t="s">
        <v>100</v>
      </c>
      <c r="H6" s="171" t="s">
        <v>101</v>
      </c>
      <c r="I6" s="171">
        <v>6600</v>
      </c>
      <c r="J6" s="171" t="s">
        <v>102</v>
      </c>
      <c r="K6" s="1387">
        <f>PriorFiscalYear</f>
        <v>2025</v>
      </c>
      <c r="L6" s="166">
        <f>Cover!E3</f>
        <v>2026</v>
      </c>
      <c r="M6" s="162" t="s">
        <v>103</v>
      </c>
    </row>
    <row r="7" spans="1:15" ht="11.25" customHeight="1">
      <c r="A7" s="102" t="s">
        <v>104</v>
      </c>
      <c r="B7" s="96"/>
      <c r="C7" s="96"/>
      <c r="D7" s="1107"/>
      <c r="E7" s="1106"/>
      <c r="F7" s="175"/>
      <c r="G7" s="175"/>
      <c r="H7" s="175"/>
      <c r="I7" s="175"/>
      <c r="J7" s="175"/>
      <c r="K7" s="1107"/>
      <c r="L7" s="1107"/>
      <c r="M7" s="1107"/>
      <c r="N7" s="101"/>
    </row>
    <row r="8" spans="1:15" ht="11.25" customHeight="1">
      <c r="A8" s="102" t="s">
        <v>105</v>
      </c>
      <c r="B8" s="96"/>
      <c r="C8" s="176" t="s">
        <v>6</v>
      </c>
      <c r="D8" s="1173">
        <f>[1]!F001P100F1000Personnel</f>
        <v>51</v>
      </c>
      <c r="E8" s="1174">
        <v>50</v>
      </c>
      <c r="F8" s="7">
        <v>2554734</v>
      </c>
      <c r="G8" s="7">
        <v>990870</v>
      </c>
      <c r="H8" s="7">
        <v>10000</v>
      </c>
      <c r="I8" s="7">
        <v>15000</v>
      </c>
      <c r="J8" s="7"/>
      <c r="K8" s="1175">
        <f>[1]!F001P100F1000</f>
        <v>4835732</v>
      </c>
      <c r="L8" s="1175">
        <f>SUM(F8:J8)</f>
        <v>3570604</v>
      </c>
      <c r="M8" s="1176">
        <f>IF(K8=L8,0,IF(K8&gt;0,(L8-K8)/K8,""))</f>
        <v>-0.26200000000000001</v>
      </c>
      <c r="N8" s="178" t="s">
        <v>6</v>
      </c>
    </row>
    <row r="9" spans="1:15" ht="11.25" customHeight="1">
      <c r="A9" s="102" t="s">
        <v>106</v>
      </c>
      <c r="B9" s="96"/>
      <c r="C9" s="176" t="s">
        <v>44</v>
      </c>
      <c r="D9" s="1107"/>
      <c r="E9" s="1542"/>
      <c r="F9" s="1543"/>
      <c r="G9" s="1543"/>
      <c r="H9" s="1543"/>
      <c r="I9" s="1543"/>
      <c r="J9" s="1543"/>
      <c r="K9" s="1107"/>
      <c r="L9" s="1107"/>
      <c r="M9" s="1107"/>
      <c r="N9" s="178" t="s">
        <v>44</v>
      </c>
    </row>
    <row r="10" spans="1:15" ht="11.25" customHeight="1">
      <c r="A10" s="102" t="s">
        <v>107</v>
      </c>
      <c r="B10" s="96"/>
      <c r="C10" s="176" t="s">
        <v>8</v>
      </c>
      <c r="D10" s="1173">
        <f>[1]!F001P100F2100Personnel</f>
        <v>8</v>
      </c>
      <c r="E10" s="1174">
        <v>8</v>
      </c>
      <c r="F10" s="7">
        <v>400000</v>
      </c>
      <c r="G10" s="7">
        <v>158539</v>
      </c>
      <c r="H10" s="7">
        <v>50000</v>
      </c>
      <c r="I10" s="7">
        <v>25000</v>
      </c>
      <c r="J10" s="7">
        <v>1000</v>
      </c>
      <c r="K10" s="1175">
        <f>[1]!F001P100F2100</f>
        <v>736949</v>
      </c>
      <c r="L10" s="1175">
        <f>SUM(F10:J10)</f>
        <v>634539</v>
      </c>
      <c r="M10" s="1176">
        <f>IF(K10=L10,0,IF(K10&gt;0,(L10-K10)/K10,""))</f>
        <v>-0.13900000000000001</v>
      </c>
      <c r="N10" s="178" t="s">
        <v>8</v>
      </c>
    </row>
    <row r="11" spans="1:15" ht="11.25" customHeight="1">
      <c r="A11" s="102" t="s">
        <v>108</v>
      </c>
      <c r="B11" s="96"/>
      <c r="C11" s="176" t="s">
        <v>22</v>
      </c>
      <c r="D11" s="1177">
        <f>[1]!F001P100F2200Personnel</f>
        <v>1</v>
      </c>
      <c r="E11" s="1178">
        <v>1.5</v>
      </c>
      <c r="F11" s="1544">
        <v>81000</v>
      </c>
      <c r="G11" s="1544">
        <v>31000</v>
      </c>
      <c r="H11" s="1544">
        <v>15000</v>
      </c>
      <c r="I11" s="1544">
        <v>5000</v>
      </c>
      <c r="J11" s="1544"/>
      <c r="K11" s="177">
        <f>[1]!F001P100F2200</f>
        <v>184000</v>
      </c>
      <c r="L11" s="1179">
        <f t="shared" ref="L11:L21" si="0">SUM(F11:J11)</f>
        <v>132000</v>
      </c>
      <c r="M11" s="1180">
        <f t="shared" ref="M11:M22" si="1">IF(K11=L11,0,IF(K11&gt;0,(L11-K11)/K11,""))</f>
        <v>-0.28299999999999997</v>
      </c>
      <c r="N11" s="178" t="s">
        <v>22</v>
      </c>
    </row>
    <row r="12" spans="1:15" ht="11.25" customHeight="1">
      <c r="A12" s="102" t="s">
        <v>109</v>
      </c>
      <c r="B12" s="96"/>
      <c r="C12" s="181" t="s">
        <v>42</v>
      </c>
      <c r="D12" s="1177">
        <f>[1]!F001P100F2300Personnel</f>
        <v>3</v>
      </c>
      <c r="E12" s="1178">
        <v>3</v>
      </c>
      <c r="F12" s="1544">
        <v>300000</v>
      </c>
      <c r="G12" s="1544">
        <v>91000</v>
      </c>
      <c r="H12" s="1544">
        <v>65000</v>
      </c>
      <c r="I12" s="1544">
        <v>15000</v>
      </c>
      <c r="J12" s="1544">
        <v>15000</v>
      </c>
      <c r="K12" s="1181">
        <f>[1]!F001P100F2300</f>
        <v>708000</v>
      </c>
      <c r="L12" s="175">
        <f t="shared" si="0"/>
        <v>486000</v>
      </c>
      <c r="M12" s="1182">
        <f t="shared" si="1"/>
        <v>-0.314</v>
      </c>
      <c r="N12" s="178" t="s">
        <v>42</v>
      </c>
    </row>
    <row r="13" spans="1:15" ht="11.25" customHeight="1">
      <c r="A13" s="102" t="s">
        <v>110</v>
      </c>
      <c r="B13" s="96"/>
      <c r="C13" s="176" t="s">
        <v>111</v>
      </c>
      <c r="D13" s="1177">
        <f>[1]!F001P100F2400Personnel</f>
        <v>6</v>
      </c>
      <c r="E13" s="1178">
        <v>4</v>
      </c>
      <c r="F13" s="1544">
        <v>275000</v>
      </c>
      <c r="G13" s="1544">
        <v>96000</v>
      </c>
      <c r="H13" s="1544">
        <v>46743</v>
      </c>
      <c r="I13" s="1544">
        <v>20000</v>
      </c>
      <c r="J13" s="1544"/>
      <c r="K13" s="1181">
        <f>[1]!F001P100F2400</f>
        <v>494743</v>
      </c>
      <c r="L13" s="175">
        <f t="shared" si="0"/>
        <v>437743</v>
      </c>
      <c r="M13" s="1182">
        <f t="shared" si="1"/>
        <v>-0.115</v>
      </c>
      <c r="N13" s="178" t="s">
        <v>111</v>
      </c>
    </row>
    <row r="14" spans="1:15" ht="11.25" customHeight="1">
      <c r="A14" s="102" t="s">
        <v>112</v>
      </c>
      <c r="B14" s="96"/>
      <c r="C14" s="176" t="s">
        <v>113</v>
      </c>
      <c r="D14" s="1177">
        <f>[1]!F001P100F2500Personnel</f>
        <v>7.5</v>
      </c>
      <c r="E14" s="1178">
        <v>5</v>
      </c>
      <c r="F14" s="1544">
        <v>365000</v>
      </c>
      <c r="G14" s="1544">
        <v>124000</v>
      </c>
      <c r="H14" s="1544">
        <v>50000</v>
      </c>
      <c r="I14" s="1544">
        <v>25000</v>
      </c>
      <c r="J14" s="1544">
        <v>10000</v>
      </c>
      <c r="K14" s="1181">
        <f>[1]!F001P100F2500</f>
        <v>1361793</v>
      </c>
      <c r="L14" s="175">
        <f t="shared" si="0"/>
        <v>574000</v>
      </c>
      <c r="M14" s="1182">
        <f t="shared" si="1"/>
        <v>-0.57799999999999996</v>
      </c>
      <c r="N14" s="178" t="s">
        <v>113</v>
      </c>
    </row>
    <row r="15" spans="1:15" ht="11.25" customHeight="1">
      <c r="A15" s="102" t="s">
        <v>114</v>
      </c>
      <c r="B15" s="96"/>
      <c r="C15" s="176" t="s">
        <v>115</v>
      </c>
      <c r="D15" s="1177">
        <f>[1]!F001P100F2600Personnel</f>
        <v>17.5</v>
      </c>
      <c r="E15" s="1178">
        <v>15</v>
      </c>
      <c r="F15" s="1544">
        <v>610000</v>
      </c>
      <c r="G15" s="1544">
        <v>275000</v>
      </c>
      <c r="H15" s="1544">
        <v>700000</v>
      </c>
      <c r="I15" s="1544">
        <v>800000</v>
      </c>
      <c r="J15" s="1544">
        <v>8000</v>
      </c>
      <c r="K15" s="1181">
        <f>[1]!F001P100F2600</f>
        <v>3677250</v>
      </c>
      <c r="L15" s="175">
        <f t="shared" si="0"/>
        <v>2393000</v>
      </c>
      <c r="M15" s="1182">
        <f t="shared" si="1"/>
        <v>-0.34899999999999998</v>
      </c>
      <c r="N15" s="178" t="s">
        <v>115</v>
      </c>
    </row>
    <row r="16" spans="1:15" ht="11.25" customHeight="1">
      <c r="A16" s="102" t="s">
        <v>116</v>
      </c>
      <c r="B16" s="96"/>
      <c r="C16" s="176" t="s">
        <v>117</v>
      </c>
      <c r="D16" s="1177">
        <f>[1]!F001P100F2900Personnel</f>
        <v>0</v>
      </c>
      <c r="E16" s="1178"/>
      <c r="F16" s="1544"/>
      <c r="G16" s="1544"/>
      <c r="H16" s="1544"/>
      <c r="I16" s="1544"/>
      <c r="J16" s="1544"/>
      <c r="K16" s="1181">
        <f>[1]!F001P100F2900</f>
        <v>0</v>
      </c>
      <c r="L16" s="175">
        <f t="shared" si="0"/>
        <v>0</v>
      </c>
      <c r="M16" s="1182">
        <f t="shared" si="1"/>
        <v>0</v>
      </c>
      <c r="N16" s="178" t="s">
        <v>117</v>
      </c>
    </row>
    <row r="17" spans="1:14" ht="11.25" customHeight="1">
      <c r="A17" s="102" t="s">
        <v>118</v>
      </c>
      <c r="B17" s="96"/>
      <c r="C17" s="181" t="s">
        <v>119</v>
      </c>
      <c r="D17" s="1177">
        <f>[1]!F001P100F3000Personnel</f>
        <v>0</v>
      </c>
      <c r="E17" s="1178"/>
      <c r="F17" s="1544"/>
      <c r="G17" s="1544"/>
      <c r="H17" s="1544"/>
      <c r="I17" s="1544">
        <v>10000</v>
      </c>
      <c r="J17" s="1544">
        <v>20750</v>
      </c>
      <c r="K17" s="1181">
        <f>[1]!F001P100F3000</f>
        <v>30750</v>
      </c>
      <c r="L17" s="175">
        <f t="shared" si="0"/>
        <v>30750</v>
      </c>
      <c r="M17" s="1182">
        <f t="shared" si="1"/>
        <v>0</v>
      </c>
      <c r="N17" s="178" t="s">
        <v>119</v>
      </c>
    </row>
    <row r="18" spans="1:14" ht="11.25" customHeight="1">
      <c r="A18" s="102" t="s">
        <v>120</v>
      </c>
      <c r="B18" s="96"/>
      <c r="C18" s="182" t="s">
        <v>121</v>
      </c>
      <c r="D18" s="1177">
        <f>[1]!F001P610Personnel</f>
        <v>0</v>
      </c>
      <c r="E18" s="1178"/>
      <c r="F18" s="7"/>
      <c r="G18" s="7"/>
      <c r="H18" s="7"/>
      <c r="I18" s="7"/>
      <c r="J18" s="7"/>
      <c r="K18" s="177">
        <f>[1]!F001P610</f>
        <v>0</v>
      </c>
      <c r="L18" s="175">
        <f t="shared" si="0"/>
        <v>0</v>
      </c>
      <c r="M18" s="1180">
        <f t="shared" si="1"/>
        <v>0</v>
      </c>
      <c r="N18" s="178" t="s">
        <v>121</v>
      </c>
    </row>
    <row r="19" spans="1:14" ht="11.25" customHeight="1">
      <c r="A19" s="102" t="s">
        <v>122</v>
      </c>
      <c r="B19" s="96"/>
      <c r="C19" s="183" t="s">
        <v>123</v>
      </c>
      <c r="D19" s="1177">
        <f>[1]!F001P620Personnel</f>
        <v>5</v>
      </c>
      <c r="E19" s="1178">
        <v>5</v>
      </c>
      <c r="F19" s="7">
        <v>20000</v>
      </c>
      <c r="G19" s="1183">
        <v>5000</v>
      </c>
      <c r="H19" s="7"/>
      <c r="I19" s="7">
        <v>15000</v>
      </c>
      <c r="J19" s="7">
        <v>5000</v>
      </c>
      <c r="K19" s="177">
        <f>[1]!F001P620</f>
        <v>115000</v>
      </c>
      <c r="L19" s="175">
        <f t="shared" si="0"/>
        <v>45000</v>
      </c>
      <c r="M19" s="1180">
        <f t="shared" si="1"/>
        <v>-0.60899999999999999</v>
      </c>
      <c r="N19" s="178" t="s">
        <v>123</v>
      </c>
    </row>
    <row r="20" spans="1:14" ht="11.25" customHeight="1">
      <c r="A20" s="102" t="s">
        <v>124</v>
      </c>
      <c r="B20" s="96"/>
      <c r="C20" s="184" t="s">
        <v>125</v>
      </c>
      <c r="D20" s="1177">
        <f>[1]!F001P630Personnel</f>
        <v>0</v>
      </c>
      <c r="E20" s="1178"/>
      <c r="F20" s="44"/>
      <c r="G20" s="1184"/>
      <c r="H20" s="1185"/>
      <c r="I20" s="7"/>
      <c r="J20" s="7"/>
      <c r="K20" s="177">
        <f>[1]!F001P630</f>
        <v>0</v>
      </c>
      <c r="L20" s="175">
        <f t="shared" si="0"/>
        <v>0</v>
      </c>
      <c r="M20" s="1180">
        <f t="shared" si="1"/>
        <v>0</v>
      </c>
      <c r="N20" s="185" t="s">
        <v>125</v>
      </c>
    </row>
    <row r="21" spans="1:14" ht="11.25" customHeight="1">
      <c r="A21" s="186" t="s">
        <v>126</v>
      </c>
      <c r="B21" s="1337"/>
      <c r="C21" s="187" t="s">
        <v>127</v>
      </c>
      <c r="D21" s="188">
        <f>[1]!F001P700800900Personnel</f>
        <v>0</v>
      </c>
      <c r="E21" s="1545"/>
      <c r="F21" s="1544"/>
      <c r="G21" s="7"/>
      <c r="H21" s="1544"/>
      <c r="I21" s="1544"/>
      <c r="J21" s="1544"/>
      <c r="K21" s="1181">
        <f>[1]!F001P700800900</f>
        <v>0</v>
      </c>
      <c r="L21" s="175">
        <f t="shared" si="0"/>
        <v>0</v>
      </c>
      <c r="M21" s="1182">
        <f t="shared" si="1"/>
        <v>0</v>
      </c>
      <c r="N21" s="178" t="s">
        <v>127</v>
      </c>
    </row>
    <row r="22" spans="1:14" ht="11.25" customHeight="1">
      <c r="A22" s="189" t="s">
        <v>128</v>
      </c>
      <c r="B22" s="170"/>
      <c r="C22" s="190" t="s">
        <v>129</v>
      </c>
      <c r="D22" s="1186">
        <f>SUM(D8:D21)</f>
        <v>99</v>
      </c>
      <c r="E22" s="188">
        <f t="shared" ref="E22:J22" si="2">E8+SUM(E10:E21)</f>
        <v>91.5</v>
      </c>
      <c r="F22" s="192">
        <f t="shared" si="2"/>
        <v>4605734</v>
      </c>
      <c r="G22" s="192">
        <f t="shared" si="2"/>
        <v>1771409</v>
      </c>
      <c r="H22" s="192">
        <f t="shared" si="2"/>
        <v>936743</v>
      </c>
      <c r="I22" s="192">
        <f t="shared" si="2"/>
        <v>930000</v>
      </c>
      <c r="J22" s="192">
        <f t="shared" si="2"/>
        <v>59750</v>
      </c>
      <c r="K22" s="1187">
        <f>SUM(K8:K21)</f>
        <v>12144217</v>
      </c>
      <c r="L22" s="1187">
        <f>SUM(L8:L21)</f>
        <v>8303636</v>
      </c>
      <c r="M22" s="1188">
        <f t="shared" si="1"/>
        <v>-0.316</v>
      </c>
      <c r="N22" s="178" t="s">
        <v>129</v>
      </c>
    </row>
    <row r="23" spans="1:14" ht="11.25" customHeight="1">
      <c r="A23" s="193" t="s">
        <v>130</v>
      </c>
      <c r="B23" s="96"/>
      <c r="C23" s="176"/>
      <c r="D23" s="1107"/>
      <c r="E23" s="1106"/>
      <c r="F23" s="175"/>
      <c r="G23" s="175"/>
      <c r="H23" s="175"/>
      <c r="I23" s="175"/>
      <c r="J23" s="175"/>
      <c r="K23" s="1107"/>
      <c r="L23" s="1107"/>
      <c r="M23" s="1107"/>
      <c r="N23" s="178"/>
    </row>
    <row r="24" spans="1:14" ht="11.25" customHeight="1">
      <c r="A24" s="102" t="s">
        <v>105</v>
      </c>
      <c r="B24" s="96"/>
      <c r="C24" s="194" t="s">
        <v>131</v>
      </c>
      <c r="D24" s="1173">
        <f>[1]!F001P200F1000Personnel</f>
        <v>11.5</v>
      </c>
      <c r="E24" s="1174">
        <v>11.5</v>
      </c>
      <c r="F24" s="7">
        <v>345000</v>
      </c>
      <c r="G24" s="7">
        <v>131000</v>
      </c>
      <c r="H24" s="7">
        <v>750000</v>
      </c>
      <c r="I24" s="7">
        <v>5000</v>
      </c>
      <c r="J24" s="7"/>
      <c r="K24" s="1175">
        <f>[1]!F001P200F1000</f>
        <v>1231000</v>
      </c>
      <c r="L24" s="1175">
        <f>SUM(F24:J24)</f>
        <v>1231000</v>
      </c>
      <c r="M24" s="1176">
        <f>IF(K24=L24,0,IF(K24&gt;0,(L24-K24)/K24,""))</f>
        <v>0</v>
      </c>
      <c r="N24" s="178" t="s">
        <v>131</v>
      </c>
    </row>
    <row r="25" spans="1:14" ht="11.25" customHeight="1">
      <c r="A25" s="102" t="s">
        <v>106</v>
      </c>
      <c r="B25" s="96"/>
      <c r="C25" s="176"/>
      <c r="D25" s="1107"/>
      <c r="E25" s="1542"/>
      <c r="F25" s="1543"/>
      <c r="G25" s="1543"/>
      <c r="H25" s="1543"/>
      <c r="I25" s="1543"/>
      <c r="J25" s="1543"/>
      <c r="K25" s="1107"/>
      <c r="L25" s="1107"/>
      <c r="M25" s="1107"/>
      <c r="N25" s="178" t="s">
        <v>44</v>
      </c>
    </row>
    <row r="26" spans="1:14" ht="11.25" customHeight="1">
      <c r="A26" s="102" t="s">
        <v>107</v>
      </c>
      <c r="B26" s="96"/>
      <c r="C26" s="176" t="s">
        <v>132</v>
      </c>
      <c r="D26" s="1173">
        <f>[1]!F001P200F2100Personnel</f>
        <v>3</v>
      </c>
      <c r="E26" s="1174">
        <v>3</v>
      </c>
      <c r="F26" s="7">
        <v>310000</v>
      </c>
      <c r="G26" s="7">
        <v>93000</v>
      </c>
      <c r="H26" s="7">
        <v>107916</v>
      </c>
      <c r="I26" s="7">
        <v>5000</v>
      </c>
      <c r="J26" s="7">
        <v>1000</v>
      </c>
      <c r="K26" s="1175">
        <f>[1]!F001P200F2100</f>
        <v>516916</v>
      </c>
      <c r="L26" s="1175">
        <f>SUM(F26:J26)</f>
        <v>516916</v>
      </c>
      <c r="M26" s="1176">
        <f>IF(K26=L26,0,IF(K26&gt;0,(L26-K26)/K26,""))</f>
        <v>0</v>
      </c>
      <c r="N26" s="178" t="s">
        <v>132</v>
      </c>
    </row>
    <row r="27" spans="1:14" ht="11.25" customHeight="1">
      <c r="A27" s="102" t="s">
        <v>108</v>
      </c>
      <c r="B27" s="96"/>
      <c r="C27" s="176" t="s">
        <v>133</v>
      </c>
      <c r="D27" s="1177">
        <f>[1]!F001P200F2200Personnel</f>
        <v>1</v>
      </c>
      <c r="E27" s="1178">
        <v>1</v>
      </c>
      <c r="F27" s="1544">
        <v>97850</v>
      </c>
      <c r="G27" s="1544">
        <v>30462</v>
      </c>
      <c r="H27" s="1544">
        <v>2500</v>
      </c>
      <c r="I27" s="1544"/>
      <c r="J27" s="1544">
        <v>1000</v>
      </c>
      <c r="K27" s="177">
        <f>[1]!F001P200F2200</f>
        <v>131812</v>
      </c>
      <c r="L27" s="1179">
        <f t="shared" ref="L27:L33" si="3">SUM(F27:J27)</f>
        <v>131812</v>
      </c>
      <c r="M27" s="1180">
        <f t="shared" ref="M27:M35" si="4">IF(K27=L27,0,IF(K27&gt;0,(L27-K27)/K27,""))</f>
        <v>0</v>
      </c>
      <c r="N27" s="178" t="s">
        <v>133</v>
      </c>
    </row>
    <row r="28" spans="1:14" ht="11.25" customHeight="1">
      <c r="A28" s="102" t="s">
        <v>109</v>
      </c>
      <c r="B28" s="96"/>
      <c r="C28" s="176" t="s">
        <v>134</v>
      </c>
      <c r="D28" s="1177">
        <f>[1]!F001P200F2300Personnel</f>
        <v>0</v>
      </c>
      <c r="E28" s="1178">
        <v>0</v>
      </c>
      <c r="F28" s="1544"/>
      <c r="G28" s="1544"/>
      <c r="H28" s="1544"/>
      <c r="I28" s="1544"/>
      <c r="J28" s="1544"/>
      <c r="K28" s="1546">
        <f>[2]!F001P200F2300</f>
        <v>0</v>
      </c>
      <c r="L28" s="1543">
        <f t="shared" si="3"/>
        <v>0</v>
      </c>
      <c r="M28" s="1182">
        <f t="shared" si="4"/>
        <v>0</v>
      </c>
      <c r="N28" s="178" t="s">
        <v>134</v>
      </c>
    </row>
    <row r="29" spans="1:14" ht="11.25" customHeight="1">
      <c r="A29" s="102" t="s">
        <v>110</v>
      </c>
      <c r="B29" s="96"/>
      <c r="C29" s="176" t="s">
        <v>135</v>
      </c>
      <c r="D29" s="1177">
        <f>[1]!F001P200F2400Personnel</f>
        <v>0</v>
      </c>
      <c r="E29" s="1178">
        <v>0</v>
      </c>
      <c r="F29" s="1544"/>
      <c r="G29" s="1544"/>
      <c r="H29" s="1544"/>
      <c r="I29" s="1544"/>
      <c r="J29" s="1544"/>
      <c r="K29" s="1546">
        <f>[2]!F001P200F2400</f>
        <v>0</v>
      </c>
      <c r="L29" s="1543">
        <f t="shared" si="3"/>
        <v>0</v>
      </c>
      <c r="M29" s="1182">
        <f t="shared" si="4"/>
        <v>0</v>
      </c>
      <c r="N29" s="178" t="s">
        <v>135</v>
      </c>
    </row>
    <row r="30" spans="1:14" ht="11.25" customHeight="1">
      <c r="A30" s="102" t="s">
        <v>112</v>
      </c>
      <c r="B30" s="96"/>
      <c r="C30" s="176" t="s">
        <v>136</v>
      </c>
      <c r="D30" s="1177">
        <f>[1]!F001P200F2500Personnel</f>
        <v>0</v>
      </c>
      <c r="E30" s="1178">
        <v>0</v>
      </c>
      <c r="F30" s="1544"/>
      <c r="G30" s="1544"/>
      <c r="H30" s="1544">
        <v>4000</v>
      </c>
      <c r="I30" s="1544"/>
      <c r="J30" s="1544"/>
      <c r="K30" s="1546">
        <f>[1]!F001P200F2500</f>
        <v>4000</v>
      </c>
      <c r="L30" s="1543">
        <f>SUM(F30:J30)</f>
        <v>4000</v>
      </c>
      <c r="M30" s="1182">
        <f t="shared" si="4"/>
        <v>0</v>
      </c>
      <c r="N30" s="178" t="s">
        <v>136</v>
      </c>
    </row>
    <row r="31" spans="1:14" ht="11.25" customHeight="1">
      <c r="A31" s="102" t="s">
        <v>114</v>
      </c>
      <c r="B31" s="96"/>
      <c r="C31" s="176" t="s">
        <v>137</v>
      </c>
      <c r="D31" s="1177">
        <f>[1]!F001P200F2600Personnel</f>
        <v>0</v>
      </c>
      <c r="E31" s="1178">
        <v>0</v>
      </c>
      <c r="F31" s="1544"/>
      <c r="G31" s="1544"/>
      <c r="H31" s="1544"/>
      <c r="I31" s="1544"/>
      <c r="J31" s="1544"/>
      <c r="K31" s="1546">
        <f>[2]!F001P200F2600</f>
        <v>0</v>
      </c>
      <c r="L31" s="1543">
        <f t="shared" si="3"/>
        <v>0</v>
      </c>
      <c r="M31" s="1182">
        <f t="shared" si="4"/>
        <v>0</v>
      </c>
      <c r="N31" s="178" t="s">
        <v>137</v>
      </c>
    </row>
    <row r="32" spans="1:14" ht="11.25" customHeight="1">
      <c r="A32" s="102" t="s">
        <v>116</v>
      </c>
      <c r="B32" s="96"/>
      <c r="C32" s="176" t="s">
        <v>138</v>
      </c>
      <c r="D32" s="1177">
        <f>[1]!F001P200F2900Personnel</f>
        <v>0</v>
      </c>
      <c r="E32" s="1178">
        <v>0</v>
      </c>
      <c r="F32" s="1544"/>
      <c r="G32" s="1544"/>
      <c r="H32" s="1544"/>
      <c r="I32" s="1544"/>
      <c r="J32" s="1544"/>
      <c r="K32" s="1546">
        <f>[2]!F001P200F2900</f>
        <v>0</v>
      </c>
      <c r="L32" s="1543">
        <f t="shared" si="3"/>
        <v>0</v>
      </c>
      <c r="M32" s="1182">
        <f t="shared" si="4"/>
        <v>0</v>
      </c>
      <c r="N32" s="178" t="s">
        <v>138</v>
      </c>
    </row>
    <row r="33" spans="1:14" ht="11.25" customHeight="1">
      <c r="A33" s="102" t="s">
        <v>118</v>
      </c>
      <c r="B33" s="96"/>
      <c r="C33" s="176" t="s">
        <v>139</v>
      </c>
      <c r="D33" s="1177">
        <f>[1]!F001P200F3000Personnel</f>
        <v>0</v>
      </c>
      <c r="E33" s="1178">
        <v>0</v>
      </c>
      <c r="F33" s="1544"/>
      <c r="G33" s="1544"/>
      <c r="H33" s="1544"/>
      <c r="I33" s="1544"/>
      <c r="J33" s="1544"/>
      <c r="K33" s="1546">
        <f>[2]!F001P200F3000</f>
        <v>0</v>
      </c>
      <c r="L33" s="1543">
        <f t="shared" si="3"/>
        <v>0</v>
      </c>
      <c r="M33" s="1182">
        <f t="shared" si="4"/>
        <v>0</v>
      </c>
      <c r="N33" s="178" t="s">
        <v>139</v>
      </c>
    </row>
    <row r="34" spans="1:14" ht="11.25" customHeight="1">
      <c r="A34" s="189" t="s">
        <v>140</v>
      </c>
      <c r="B34" s="170"/>
      <c r="C34" s="190" t="s">
        <v>141</v>
      </c>
      <c r="D34" s="188">
        <f>SUM(D24:D33)</f>
        <v>15.5</v>
      </c>
      <c r="E34" s="1547">
        <f t="shared" ref="E34:J34" si="5">E24+SUM(E26:E33)</f>
        <v>15.5</v>
      </c>
      <c r="F34" s="1548">
        <f t="shared" si="5"/>
        <v>752850</v>
      </c>
      <c r="G34" s="1548">
        <f t="shared" si="5"/>
        <v>254462</v>
      </c>
      <c r="H34" s="1548">
        <f t="shared" si="5"/>
        <v>864416</v>
      </c>
      <c r="I34" s="1548">
        <f t="shared" si="5"/>
        <v>10000</v>
      </c>
      <c r="J34" s="1548">
        <f t="shared" si="5"/>
        <v>2000</v>
      </c>
      <c r="K34" s="1546">
        <f>SUM(K24:K33)</f>
        <v>1883728</v>
      </c>
      <c r="L34" s="1548">
        <f>SUM(L24:L33)</f>
        <v>1883728</v>
      </c>
      <c r="M34" s="1182">
        <f t="shared" si="4"/>
        <v>0</v>
      </c>
      <c r="N34" s="178" t="s">
        <v>141</v>
      </c>
    </row>
    <row r="35" spans="1:14" ht="11.25" customHeight="1">
      <c r="A35" s="102" t="s">
        <v>142</v>
      </c>
      <c r="B35" s="96"/>
      <c r="C35" s="176" t="s">
        <v>143</v>
      </c>
      <c r="D35" s="1186">
        <f>[1]!F001P400Personnel</f>
        <v>6</v>
      </c>
      <c r="E35" s="1549">
        <v>6</v>
      </c>
      <c r="F35" s="1550">
        <v>220000</v>
      </c>
      <c r="G35" s="1550">
        <v>105000</v>
      </c>
      <c r="H35" s="1550">
        <v>500000</v>
      </c>
      <c r="I35" s="1550">
        <v>50000</v>
      </c>
      <c r="J35" s="1550"/>
      <c r="K35" s="1551">
        <f>[1]!F001P400</f>
        <v>2400000</v>
      </c>
      <c r="L35" s="1543">
        <f>SUM(F35:J35)</f>
        <v>875000</v>
      </c>
      <c r="M35" s="1188">
        <f t="shared" si="4"/>
        <v>-0.63500000000000001</v>
      </c>
      <c r="N35" s="178" t="s">
        <v>143</v>
      </c>
    </row>
    <row r="36" spans="1:14" ht="11.25" customHeight="1">
      <c r="A36" s="160" t="s">
        <v>144</v>
      </c>
      <c r="B36" s="99"/>
      <c r="C36" s="195"/>
      <c r="D36" s="1107"/>
      <c r="E36" s="1107"/>
      <c r="F36" s="1107"/>
      <c r="G36" s="1107"/>
      <c r="H36" s="1107"/>
      <c r="I36" s="1107"/>
      <c r="J36" s="1107"/>
      <c r="K36" s="1107"/>
      <c r="L36" s="1107"/>
      <c r="M36" s="1107"/>
      <c r="N36" s="178"/>
    </row>
    <row r="37" spans="1:14" ht="11.25" customHeight="1">
      <c r="A37" s="189" t="s">
        <v>145</v>
      </c>
      <c r="B37" s="170"/>
      <c r="C37" s="190" t="s">
        <v>146</v>
      </c>
      <c r="D37" s="1173">
        <f>[3]!DesegFTEPY</f>
        <v>0</v>
      </c>
      <c r="E37" s="1173">
        <f>[4]!DesegFTEBY</f>
        <v>0</v>
      </c>
      <c r="F37" s="1175">
        <f>[4]!DesegTotalMOO6100</f>
        <v>0</v>
      </c>
      <c r="G37" s="1175">
        <f>[4]!DesegTotalMOO6200</f>
        <v>0</v>
      </c>
      <c r="H37" s="1175">
        <f>[4]!DesegTotalMOO630064006500</f>
        <v>0</v>
      </c>
      <c r="I37" s="1175">
        <f>[4]!DesegTotalMOO6600</f>
        <v>0</v>
      </c>
      <c r="J37" s="1175">
        <f>[4]!DesegTotalMOO6800</f>
        <v>0</v>
      </c>
      <c r="K37" s="1175">
        <f>[4]!DesegTotalMOPY</f>
        <v>0</v>
      </c>
      <c r="L37" s="1175">
        <f>[4]!DesegTotalMOBY</f>
        <v>0</v>
      </c>
      <c r="M37" s="1176">
        <f>[3]!DesegTotalMOPercent</f>
        <v>0</v>
      </c>
      <c r="N37" s="178" t="s">
        <v>146</v>
      </c>
    </row>
    <row r="38" spans="1:14" ht="12.75" customHeight="1">
      <c r="A38" s="189" t="s">
        <v>147</v>
      </c>
      <c r="B38" s="170"/>
      <c r="C38" s="197" t="s">
        <v>148</v>
      </c>
      <c r="D38" s="1189">
        <f>[1]!F001P530Personnel</f>
        <v>0</v>
      </c>
      <c r="E38" s="1190"/>
      <c r="F38" s="1191"/>
      <c r="G38" s="1191"/>
      <c r="H38" s="1191"/>
      <c r="I38" s="1191"/>
      <c r="J38" s="1191"/>
      <c r="K38" s="1179">
        <f>[2]!F001P530</f>
        <v>0</v>
      </c>
      <c r="L38" s="1179">
        <f>SUM(F38:J38)</f>
        <v>0</v>
      </c>
      <c r="M38" s="1192">
        <f>IF(K38=L38,0,IF(K38&gt;0,(L38-K38)/K38,""))</f>
        <v>0</v>
      </c>
      <c r="N38" s="178" t="s">
        <v>148</v>
      </c>
    </row>
    <row r="39" spans="1:14" ht="11.25" customHeight="1">
      <c r="A39" s="102" t="s">
        <v>149</v>
      </c>
      <c r="B39" s="96"/>
      <c r="C39" s="195" t="s">
        <v>44</v>
      </c>
      <c r="D39" s="1107"/>
      <c r="E39" s="1107"/>
      <c r="F39" s="1107"/>
      <c r="G39" s="1107"/>
      <c r="H39" s="1107"/>
      <c r="I39" s="1107"/>
      <c r="J39" s="1107"/>
      <c r="K39" s="1107"/>
      <c r="L39" s="1107"/>
      <c r="M39" s="1107"/>
      <c r="N39" s="178" t="s">
        <v>44</v>
      </c>
    </row>
    <row r="40" spans="1:14" ht="13.5" customHeight="1">
      <c r="A40" s="189" t="s">
        <v>150</v>
      </c>
      <c r="B40" s="170"/>
      <c r="C40" s="198" t="s">
        <v>151</v>
      </c>
      <c r="D40" s="1173">
        <f>[1]!F001P540Personnel</f>
        <v>0</v>
      </c>
      <c r="E40" s="1173">
        <v>0</v>
      </c>
      <c r="F40" s="1175">
        <v>0</v>
      </c>
      <c r="G40" s="1175">
        <v>0</v>
      </c>
      <c r="H40" s="1175">
        <v>0</v>
      </c>
      <c r="I40" s="1175">
        <v>0</v>
      </c>
      <c r="J40" s="1175">
        <v>0</v>
      </c>
      <c r="K40" s="1175">
        <f>[2]!F001P540</f>
        <v>0</v>
      </c>
      <c r="L40" s="1175">
        <f>SUM(F40:J40)</f>
        <v>0</v>
      </c>
      <c r="M40" s="1176">
        <f>IF(K40=L40,0,IF(K40&gt;0,(L40-K40)/K40,""))</f>
        <v>0</v>
      </c>
      <c r="N40" s="178" t="s">
        <v>151</v>
      </c>
    </row>
    <row r="41" spans="1:14" ht="13.5" customHeight="1">
      <c r="A41" s="1374" t="s">
        <v>152</v>
      </c>
      <c r="B41" s="1375"/>
      <c r="C41" s="1376" t="s">
        <v>153</v>
      </c>
      <c r="D41" s="1177">
        <f>[1]!F001P550Personnel</f>
        <v>2</v>
      </c>
      <c r="E41" s="1552">
        <v>2</v>
      </c>
      <c r="F41" s="1191">
        <v>60000</v>
      </c>
      <c r="G41" s="1191">
        <v>32000</v>
      </c>
      <c r="H41" s="1191"/>
      <c r="I41" s="1191"/>
      <c r="J41" s="1191"/>
      <c r="K41" s="1179">
        <f>[1]!F001P550</f>
        <v>77087</v>
      </c>
      <c r="L41" s="1553">
        <f>SUM(F41:J41)</f>
        <v>92000</v>
      </c>
      <c r="M41" s="1180">
        <f>IF(K41=L41,0,IF(K41&gt;0,(L41-K41)/K41,""))</f>
        <v>0.193</v>
      </c>
      <c r="N41" s="178" t="s">
        <v>153</v>
      </c>
    </row>
    <row r="42" spans="1:14" ht="13.5" customHeight="1">
      <c r="A42" s="1420" t="s">
        <v>1317</v>
      </c>
      <c r="B42" s="1420"/>
      <c r="C42" s="181" t="s">
        <v>154</v>
      </c>
      <c r="D42" s="1490">
        <f t="shared" ref="D42:K42" si="6">SUM(D34:D41)+D22</f>
        <v>122.5</v>
      </c>
      <c r="E42" s="1490">
        <f t="shared" si="6"/>
        <v>115</v>
      </c>
      <c r="F42" s="175">
        <f t="shared" si="6"/>
        <v>5638584</v>
      </c>
      <c r="G42" s="175">
        <f t="shared" si="6"/>
        <v>2162871</v>
      </c>
      <c r="H42" s="175">
        <f t="shared" si="6"/>
        <v>2301159</v>
      </c>
      <c r="I42" s="175">
        <f t="shared" si="6"/>
        <v>990000</v>
      </c>
      <c r="J42" s="175">
        <f t="shared" si="6"/>
        <v>61750</v>
      </c>
      <c r="K42" s="175">
        <f t="shared" si="6"/>
        <v>16505032</v>
      </c>
      <c r="L42" s="175">
        <f>SUM(F42:J42)</f>
        <v>11154364</v>
      </c>
      <c r="M42" s="1491">
        <f>IF(K42=L42,0,IF(K42&gt;0,(L42-K42)/K42,""))</f>
        <v>-0.32400000000000001</v>
      </c>
      <c r="N42" s="178" t="s">
        <v>154</v>
      </c>
    </row>
    <row r="43" spans="1:14" ht="15.75" customHeight="1">
      <c r="A43" s="1420" t="s">
        <v>1318</v>
      </c>
      <c r="B43" s="1420"/>
      <c r="C43" s="1376" t="s">
        <v>336</v>
      </c>
      <c r="D43" s="1377"/>
      <c r="E43" s="1378"/>
      <c r="F43" s="1537"/>
      <c r="G43" s="1537"/>
      <c r="H43" s="1537"/>
      <c r="I43" s="1537"/>
      <c r="J43" s="1537"/>
      <c r="K43" s="1539"/>
      <c r="L43" s="1541">
        <v>4920125</v>
      </c>
      <c r="M43" s="1540"/>
      <c r="N43" s="178" t="s">
        <v>336</v>
      </c>
    </row>
    <row r="44" spans="1:14" ht="25.5" customHeight="1">
      <c r="A44" s="1604" t="s">
        <v>1319</v>
      </c>
      <c r="B44" s="1605"/>
      <c r="C44" s="1520" t="s">
        <v>339</v>
      </c>
      <c r="D44" s="1173">
        <f>D42</f>
        <v>122.5</v>
      </c>
      <c r="E44" s="1173">
        <f>E42</f>
        <v>115</v>
      </c>
      <c r="F44" s="1538">
        <f t="shared" ref="F44:K44" si="7">F42</f>
        <v>5638584</v>
      </c>
      <c r="G44" s="1538">
        <f t="shared" si="7"/>
        <v>2162871</v>
      </c>
      <c r="H44" s="1538">
        <f t="shared" si="7"/>
        <v>2301159</v>
      </c>
      <c r="I44" s="1538">
        <f t="shared" si="7"/>
        <v>990000</v>
      </c>
      <c r="J44" s="1538">
        <f t="shared" si="7"/>
        <v>61750</v>
      </c>
      <c r="K44" s="1538">
        <f t="shared" si="7"/>
        <v>16505032</v>
      </c>
      <c r="L44" s="1538">
        <f>L42+L43</f>
        <v>16074489</v>
      </c>
      <c r="M44" s="1176">
        <f>IF(K44=L44,0,IF(K44&gt;0,(L44-K44)/K44,""))</f>
        <v>-2.5999999999999999E-2</v>
      </c>
      <c r="N44" s="420" t="s">
        <v>339</v>
      </c>
    </row>
    <row r="45" spans="1:14" ht="12.75" customHeight="1">
      <c r="A45" s="96"/>
      <c r="G45" s="1603" t="str">
        <f>IF(ROUND(L44,0)&lt;ROUND(GBLBudgFY,0),CONCATENATE("The district has budgeted less in the M&amp;O Fund than the General Budget Limit as calculated on page 7 of 8 by ",TEXT(GBLBudgFY-L44,"$#,###"),"."),IF(ROUND(L44,0)&gt;ROUND(GBLBudgFY,0),CONCATENATE("The district has budgeted greater in the M&amp;O Fund than the General Budget Limit as calculated on page 7 of 8 by ",TEXT(-GBLBudgFY+L44,"$#,###"),"."),IF(ROUND(L44,0)=ROUND(GBLBudgFY,0),CONCATENATE("The district has budgeted an amount in the M&amp;O Fund equal to the General Budget Limit as calculated on page 7 of 8."))))</f>
        <v>The district has budgeted an amount in the M&amp;O Fund equal to the General Budget Limit as calculated on page 7 of 8.</v>
      </c>
      <c r="H45" s="1603"/>
      <c r="I45" s="1603"/>
      <c r="J45" s="1603"/>
      <c r="K45" s="1603"/>
      <c r="L45" s="1603"/>
      <c r="M45" s="1603"/>
    </row>
    <row r="46" spans="1:14" ht="12.75" customHeight="1">
      <c r="A46" s="96" t="s">
        <v>155</v>
      </c>
      <c r="B46" s="139"/>
      <c r="C46" s="139"/>
      <c r="D46" s="139"/>
      <c r="E46" s="139"/>
      <c r="F46" s="139"/>
      <c r="G46" s="139"/>
      <c r="I46" s="199"/>
      <c r="J46" s="139"/>
      <c r="K46" s="139"/>
      <c r="L46" s="139"/>
      <c r="M46" s="199"/>
      <c r="N46" s="1319"/>
    </row>
    <row r="47" spans="1:14" s="96" customFormat="1" ht="12.75" customHeight="1">
      <c r="A47" s="200"/>
      <c r="B47" s="201"/>
      <c r="C47" s="201"/>
      <c r="D47" s="201"/>
      <c r="E47" s="202"/>
      <c r="F47" s="202"/>
      <c r="G47" s="202"/>
      <c r="H47" s="202"/>
      <c r="I47" s="202"/>
      <c r="J47" s="202"/>
      <c r="K47" s="202"/>
      <c r="L47" s="202"/>
      <c r="M47" s="202"/>
      <c r="N47" s="101"/>
    </row>
    <row r="48" spans="1:14" s="96" customFormat="1" ht="11.25" customHeight="1">
      <c r="A48" s="200"/>
      <c r="B48" s="201"/>
      <c r="C48" s="203"/>
      <c r="D48" s="201"/>
      <c r="E48" s="204"/>
      <c r="F48" s="205"/>
      <c r="G48" s="205"/>
      <c r="H48" s="205"/>
      <c r="I48" s="205"/>
      <c r="J48" s="205"/>
      <c r="K48" s="201"/>
      <c r="L48" s="205"/>
      <c r="M48" s="206"/>
      <c r="N48" s="101"/>
    </row>
    <row r="49" spans="1:13" ht="11.25" customHeight="1">
      <c r="A49" s="207"/>
      <c r="B49" s="96"/>
      <c r="C49" s="1299"/>
      <c r="D49" s="96"/>
      <c r="E49" s="208"/>
      <c r="F49" s="209"/>
      <c r="G49" s="209"/>
      <c r="H49" s="209"/>
      <c r="I49" s="209"/>
      <c r="J49" s="209"/>
      <c r="K49" s="96"/>
      <c r="L49" s="205"/>
      <c r="M49" s="210"/>
    </row>
  </sheetData>
  <sheetProtection formatCells="0" formatColumns="0" formatRows="0"/>
  <mergeCells count="4">
    <mergeCell ref="M1:N1"/>
    <mergeCell ref="B1:E1"/>
    <mergeCell ref="G45:M45"/>
    <mergeCell ref="A44:B44"/>
  </mergeCells>
  <conditionalFormatting sqref="G45:M45">
    <cfRule type="expression" dxfId="24" priority="17">
      <formula>ROUND(L44,0)&gt;ROUND(GBLBudgFY,0)</formula>
    </cfRule>
  </conditionalFormatting>
  <conditionalFormatting sqref="L43">
    <cfRule type="expression" dxfId="23" priority="1">
      <formula>L43=""</formula>
    </cfRule>
  </conditionalFormatting>
  <hyperlinks>
    <hyperlink ref="C12" location="Page1l4" display="4." xr:uid="{00000000-0004-0000-0100-000000000000}"/>
    <hyperlink ref="C17" location="Page1l9" display="9." xr:uid="{00000000-0004-0000-0100-000001000000}"/>
    <hyperlink ref="C38" location="Page1l27" display="27." xr:uid="{00000000-0004-0000-0100-000002000000}"/>
    <hyperlink ref="C40" location="Page1l28" display="28." xr:uid="{00000000-0004-0000-0100-000003000000}"/>
    <hyperlink ref="C41" location="Page1l29" display="29." xr:uid="{00000000-0004-0000-0100-000004000000}"/>
    <hyperlink ref="C43" location="PlannedCarryforward" display="30." xr:uid="{00000000-0004-0000-0100-000005000000}"/>
    <hyperlink ref="C42" location="Page1Line30" display="30." xr:uid="{00000000-0004-0000-0100-000006000000}"/>
    <hyperlink ref="C44" location="Page1Line32" display="32." xr:uid="{00000000-0004-0000-0100-000007000000}"/>
  </hyperlinks>
  <printOptions horizontalCentered="1"/>
  <pageMargins left="0.25" right="0.25" top="0.25" bottom="0.25" header="0" footer="0.15"/>
  <pageSetup paperSize="5" scale="98" orientation="landscape" r:id="rId1"/>
  <headerFooter alignWithMargins="0">
    <oddFooter>&amp;L&amp;"Times New Roman,Bold"&amp;9Rev. 5/25&amp;K000000 Arizona Department of Education and Auditor General&amp;C&amp;"Times New Roman,Regular"&amp;9&amp;D  &amp;T</oddFooter>
  </headerFooter>
  <rowBreaks count="1" manualBreakCount="1">
    <brk id="47" max="6553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pageSetUpPr fitToPage="1"/>
  </sheetPr>
  <dimension ref="A1:Z49"/>
  <sheetViews>
    <sheetView showGridLines="0" tabSelected="1" workbookViewId="0">
      <selection activeCell="W6" sqref="W6"/>
    </sheetView>
  </sheetViews>
  <sheetFormatPr defaultColWidth="9.90625" defaultRowHeight="15.6"/>
  <cols>
    <col min="1" max="1" width="3.90625" style="97" customWidth="1"/>
    <col min="2" max="2" width="11.90625" style="97" customWidth="1"/>
    <col min="3" max="3" width="5.90625" style="97" customWidth="1"/>
    <col min="4" max="4" width="7.90625" style="97" customWidth="1"/>
    <col min="5" max="8" width="8.90625" style="97" customWidth="1"/>
    <col min="9" max="9" width="3" style="97" customWidth="1"/>
    <col min="10" max="10" width="9.90625" style="97" customWidth="1"/>
    <col min="11" max="11" width="2.90625" style="97" customWidth="1"/>
    <col min="12" max="12" width="8.90625" style="97" customWidth="1"/>
    <col min="13" max="13" width="10" style="97" customWidth="1"/>
    <col min="14" max="14" width="5" style="97" customWidth="1"/>
    <col min="15" max="15" width="11" style="97" customWidth="1"/>
    <col min="16" max="16" width="4.453125" style="97" customWidth="1"/>
    <col min="17" max="17" width="3.453125" style="97" customWidth="1"/>
    <col min="18" max="19" width="10" style="97" customWidth="1"/>
    <col min="20" max="20" width="3" style="97" customWidth="1"/>
    <col min="21" max="25" width="9.90625" style="97" customWidth="1"/>
    <col min="26" max="16384" width="9.90625" style="97"/>
  </cols>
  <sheetData>
    <row r="1" spans="1:26" ht="15" customHeight="1">
      <c r="A1" s="1612" t="s">
        <v>59</v>
      </c>
      <c r="B1" s="1613"/>
      <c r="C1" s="1601" t="str">
        <f>DistrictName</f>
        <v>Murphy Elementary School District #21</v>
      </c>
      <c r="D1" s="1602"/>
      <c r="E1" s="1602"/>
      <c r="F1" s="1602"/>
      <c r="H1" s="1298" t="s">
        <v>1</v>
      </c>
      <c r="I1" s="1610" t="str">
        <f>Cover!H1</f>
        <v>Maricopa</v>
      </c>
      <c r="J1" s="1611"/>
      <c r="K1" s="135"/>
      <c r="N1" s="1298" t="s">
        <v>60</v>
      </c>
      <c r="O1" s="1312" t="str">
        <f>CTD</f>
        <v>070421000</v>
      </c>
      <c r="Q1" s="1298" t="s">
        <v>16</v>
      </c>
      <c r="R1" s="1295" t="str">
        <f>Cover!C8</f>
        <v>Proposed</v>
      </c>
      <c r="T1" s="158"/>
    </row>
    <row r="2" spans="1:26" ht="12" customHeight="1">
      <c r="A2" s="159"/>
      <c r="H2" s="211"/>
      <c r="I2" s="212"/>
      <c r="J2" s="212"/>
      <c r="K2" s="212"/>
      <c r="R2" s="211"/>
    </row>
    <row r="3" spans="1:26" ht="11.25" customHeight="1">
      <c r="M3" s="1329"/>
      <c r="N3" s="1329"/>
      <c r="O3" s="213"/>
      <c r="T3" s="139"/>
    </row>
    <row r="4" spans="1:26" ht="12" customHeight="1">
      <c r="A4" s="214" t="s">
        <v>156</v>
      </c>
      <c r="B4" s="214"/>
      <c r="C4" s="214"/>
      <c r="D4" s="214"/>
      <c r="E4" s="214"/>
      <c r="F4" s="214"/>
      <c r="G4" s="214"/>
      <c r="I4" s="212" t="s">
        <v>44</v>
      </c>
      <c r="J4" s="212" t="s">
        <v>44</v>
      </c>
      <c r="K4" s="212"/>
      <c r="L4" s="1329"/>
      <c r="M4" s="1329"/>
      <c r="N4" s="213"/>
      <c r="O4" s="213"/>
      <c r="P4" s="213"/>
      <c r="Q4" s="139"/>
    </row>
    <row r="5" spans="1:26" ht="12" customHeight="1">
      <c r="B5" s="139"/>
      <c r="C5" s="139"/>
      <c r="D5" s="139"/>
      <c r="E5" s="213"/>
      <c r="F5" s="213"/>
      <c r="G5" s="213"/>
      <c r="H5" s="213"/>
      <c r="J5" s="139"/>
      <c r="K5" s="139"/>
      <c r="L5" s="139"/>
      <c r="M5" s="139"/>
      <c r="N5" s="139"/>
      <c r="O5" s="213"/>
      <c r="P5" s="213"/>
      <c r="Q5" s="213"/>
      <c r="R5" s="139"/>
    </row>
    <row r="6" spans="1:26" ht="15" customHeight="1" thickBot="1">
      <c r="A6" s="139" t="s">
        <v>157</v>
      </c>
      <c r="B6" s="139"/>
      <c r="C6" s="139"/>
      <c r="D6" s="139"/>
      <c r="E6" s="213"/>
      <c r="F6" s="213" t="s">
        <v>158</v>
      </c>
      <c r="G6" s="213" t="s">
        <v>159</v>
      </c>
      <c r="L6" s="139"/>
      <c r="M6" s="139"/>
      <c r="N6" s="149"/>
      <c r="O6" s="215"/>
      <c r="P6" s="215"/>
      <c r="Q6" s="215"/>
      <c r="R6" s="216"/>
    </row>
    <row r="7" spans="1:26" ht="12.75" customHeight="1">
      <c r="A7" s="217" t="s">
        <v>6</v>
      </c>
      <c r="B7" s="139" t="s">
        <v>1111</v>
      </c>
      <c r="C7" s="218"/>
      <c r="D7" s="218"/>
      <c r="E7" s="219"/>
      <c r="F7" s="220">
        <f>[1]!F001P200Subtotal</f>
        <v>1818728</v>
      </c>
      <c r="G7" s="50">
        <v>1818728</v>
      </c>
      <c r="H7" s="221" t="s">
        <v>6</v>
      </c>
      <c r="J7" s="222"/>
      <c r="K7" s="223" t="s">
        <v>160</v>
      </c>
      <c r="L7" s="224"/>
      <c r="M7" s="224"/>
      <c r="N7" s="224"/>
      <c r="O7" s="225"/>
      <c r="Y7" s="226"/>
      <c r="Z7" s="226"/>
    </row>
    <row r="8" spans="1:26" ht="12.75" customHeight="1">
      <c r="A8" s="227" t="s">
        <v>8</v>
      </c>
      <c r="B8" s="237" t="s">
        <v>161</v>
      </c>
      <c r="C8" s="139"/>
      <c r="D8" s="139"/>
      <c r="E8" s="228"/>
      <c r="F8" s="229">
        <f>[1]!SPEDGiftedEdBudgFY</f>
        <v>0</v>
      </c>
      <c r="G8" s="51"/>
      <c r="H8" s="221" t="s">
        <v>8</v>
      </c>
      <c r="J8" s="222"/>
      <c r="K8" s="139" t="s">
        <v>162</v>
      </c>
      <c r="N8" s="230">
        <v>6350</v>
      </c>
      <c r="O8" s="1486">
        <v>49000</v>
      </c>
      <c r="Y8" s="226"/>
      <c r="Z8" s="226"/>
    </row>
    <row r="9" spans="1:26" ht="12.75" customHeight="1">
      <c r="A9" s="227" t="s">
        <v>22</v>
      </c>
      <c r="B9" s="237" t="s">
        <v>163</v>
      </c>
      <c r="C9" s="139"/>
      <c r="D9" s="139"/>
      <c r="E9" s="228"/>
      <c r="F9" s="229">
        <f>[1]!SPEDRemedialEdBudgFY</f>
        <v>0</v>
      </c>
      <c r="G9" s="51"/>
      <c r="H9" s="221" t="s">
        <v>22</v>
      </c>
      <c r="J9" s="222"/>
      <c r="K9" s="139" t="s">
        <v>164</v>
      </c>
      <c r="N9" s="231">
        <v>6330</v>
      </c>
      <c r="O9" s="41">
        <v>4300</v>
      </c>
      <c r="Y9" s="226"/>
      <c r="Z9" s="226"/>
    </row>
    <row r="10" spans="1:26" ht="12.75" customHeight="1">
      <c r="A10" s="232" t="s">
        <v>42</v>
      </c>
      <c r="B10" s="237" t="s">
        <v>165</v>
      </c>
      <c r="C10" s="237"/>
      <c r="D10" s="139"/>
      <c r="E10" s="228"/>
      <c r="F10" s="229">
        <f>[1]!SPEDELLIncCostBudgFY</f>
        <v>0</v>
      </c>
      <c r="G10" s="51"/>
      <c r="H10" s="221" t="s">
        <v>42</v>
      </c>
      <c r="J10" s="222"/>
      <c r="K10" s="139"/>
      <c r="Y10" s="226"/>
      <c r="Z10" s="226"/>
    </row>
    <row r="11" spans="1:26" ht="12.75" customHeight="1">
      <c r="A11" s="217" t="s">
        <v>111</v>
      </c>
      <c r="B11" s="139" t="s">
        <v>166</v>
      </c>
      <c r="C11" s="237"/>
      <c r="D11" s="237"/>
      <c r="E11" s="228"/>
      <c r="F11" s="229">
        <f>[1]!SPEDELLCompInstrBudgFY</f>
        <v>65000</v>
      </c>
      <c r="G11" s="51">
        <v>65000</v>
      </c>
      <c r="H11" s="233" t="s">
        <v>111</v>
      </c>
      <c r="J11" s="222"/>
      <c r="L11" s="139"/>
      <c r="M11" s="1333"/>
      <c r="N11" s="215"/>
      <c r="O11" s="139"/>
      <c r="P11" s="139"/>
      <c r="Q11" s="139"/>
      <c r="R11" s="139"/>
      <c r="Y11" s="226"/>
      <c r="Z11" s="226"/>
    </row>
    <row r="12" spans="1:26" ht="12.75" customHeight="1">
      <c r="A12" s="234" t="s">
        <v>113</v>
      </c>
      <c r="B12" s="237" t="s">
        <v>167</v>
      </c>
      <c r="C12" s="261"/>
      <c r="D12" s="261"/>
      <c r="E12" s="238"/>
      <c r="F12" s="229">
        <f>[1]!SPEDVocTechEdBudgFY</f>
        <v>0</v>
      </c>
      <c r="G12" s="51"/>
      <c r="H12" s="221" t="s">
        <v>113</v>
      </c>
      <c r="J12" s="222"/>
      <c r="K12" s="1329" t="s">
        <v>1129</v>
      </c>
      <c r="N12" s="139"/>
      <c r="O12" s="1333"/>
      <c r="P12" s="215"/>
      <c r="Q12" s="139"/>
      <c r="R12" s="139"/>
      <c r="Y12" s="226"/>
      <c r="Z12" s="226"/>
    </row>
    <row r="13" spans="1:26" ht="12.75" customHeight="1">
      <c r="A13" s="234" t="s">
        <v>115</v>
      </c>
      <c r="B13" s="237" t="s">
        <v>168</v>
      </c>
      <c r="C13" s="139"/>
      <c r="D13" s="139"/>
      <c r="E13" s="228"/>
      <c r="F13" s="235">
        <f>[1]!SPEDCareerEdBudgFY</f>
        <v>0</v>
      </c>
      <c r="G13" s="52"/>
      <c r="H13" s="236" t="s">
        <v>115</v>
      </c>
      <c r="J13" s="222"/>
      <c r="K13" s="139" t="s">
        <v>169</v>
      </c>
      <c r="Q13" s="1333"/>
      <c r="R13" s="28">
        <v>0</v>
      </c>
      <c r="Y13" s="226"/>
      <c r="Z13" s="226"/>
    </row>
    <row r="14" spans="1:26" ht="12.75" customHeight="1" thickBot="1">
      <c r="A14" s="234" t="s">
        <v>117</v>
      </c>
      <c r="B14" s="237" t="s">
        <v>170</v>
      </c>
      <c r="C14" s="237"/>
      <c r="D14" s="237"/>
      <c r="E14" s="238"/>
      <c r="F14" s="1110">
        <f>[1]!JTEDBudgFY</f>
        <v>0</v>
      </c>
      <c r="G14" s="1111"/>
      <c r="H14" s="236" t="s">
        <v>117</v>
      </c>
      <c r="I14" s="1614" t="str">
        <f>IF(SUM(G7:G14)=SUM('Page 1'!L34:L34),"","Invalid. The amount should equal the total budgeted amount reported on line 24, page 1.")</f>
        <v/>
      </c>
      <c r="J14" s="1614"/>
      <c r="K14" s="139"/>
      <c r="Q14" s="1333"/>
      <c r="R14" s="239"/>
      <c r="Y14" s="226"/>
      <c r="Z14" s="226"/>
    </row>
    <row r="15" spans="1:26" ht="12.75" customHeight="1">
      <c r="A15" s="240" t="s">
        <v>119</v>
      </c>
      <c r="B15" s="139" t="s">
        <v>171</v>
      </c>
      <c r="C15" s="139"/>
      <c r="D15" s="139"/>
      <c r="E15" s="1608"/>
      <c r="F15" s="1108"/>
      <c r="G15" s="1109"/>
      <c r="H15" s="221"/>
      <c r="I15" s="1614"/>
      <c r="J15" s="1614"/>
      <c r="K15" s="241" t="s">
        <v>172</v>
      </c>
      <c r="Q15" s="242"/>
      <c r="R15" s="139"/>
      <c r="Y15" s="226"/>
      <c r="Z15" s="226"/>
    </row>
    <row r="16" spans="1:26" ht="12.75" customHeight="1" thickBot="1">
      <c r="A16" s="243"/>
      <c r="B16" s="139" t="s">
        <v>173</v>
      </c>
      <c r="C16" s="139"/>
      <c r="D16" s="139"/>
      <c r="E16" s="1609"/>
      <c r="F16" s="1220">
        <f>SUM(F7:F14)</f>
        <v>1883728</v>
      </c>
      <c r="G16" s="1220">
        <f>SUM(G7:G14)</f>
        <v>1883728</v>
      </c>
      <c r="H16" s="244" t="s">
        <v>119</v>
      </c>
      <c r="I16" s="1614"/>
      <c r="J16" s="1614"/>
      <c r="Y16" s="226"/>
      <c r="Z16" s="226"/>
    </row>
    <row r="17" spans="1:26" ht="12.75" customHeight="1" thickTop="1">
      <c r="A17" s="243"/>
      <c r="B17" s="139"/>
      <c r="C17" s="139"/>
      <c r="D17" s="139"/>
      <c r="E17" s="139"/>
      <c r="F17" s="139"/>
      <c r="G17" s="139"/>
      <c r="H17" s="1319"/>
      <c r="I17" s="1614"/>
      <c r="J17" s="1614"/>
      <c r="L17" s="139"/>
      <c r="N17" s="1333"/>
      <c r="O17" s="1299"/>
      <c r="P17" s="215"/>
      <c r="Q17" s="139"/>
      <c r="Y17" s="226"/>
      <c r="Z17" s="226"/>
    </row>
    <row r="18" spans="1:26" ht="12.75" customHeight="1">
      <c r="A18" s="240" t="s">
        <v>121</v>
      </c>
      <c r="B18" s="245" t="s">
        <v>174</v>
      </c>
      <c r="C18" s="245"/>
      <c r="D18" s="245"/>
      <c r="E18" s="245"/>
      <c r="F18" s="245"/>
      <c r="G18" s="245"/>
      <c r="H18" s="246"/>
      <c r="I18" s="1614"/>
      <c r="J18" s="1614"/>
      <c r="K18" s="223" t="s">
        <v>175</v>
      </c>
      <c r="L18" s="223"/>
      <c r="M18" s="224"/>
      <c r="N18" s="224"/>
      <c r="O18" s="224"/>
      <c r="P18" s="247"/>
      <c r="Q18" s="247"/>
      <c r="R18" s="247"/>
      <c r="Y18" s="226"/>
      <c r="Z18" s="226"/>
    </row>
    <row r="19" spans="1:26" ht="12.75" customHeight="1">
      <c r="A19" s="246"/>
      <c r="B19" s="245" t="s">
        <v>176</v>
      </c>
      <c r="C19" s="245"/>
      <c r="D19" s="245"/>
      <c r="E19" s="246"/>
      <c r="F19" s="248">
        <f t="array" ref="F19">[1]!IEPTransportCosts</f>
        <v>0</v>
      </c>
      <c r="G19" s="78"/>
      <c r="H19" s="249" t="s">
        <v>121</v>
      </c>
      <c r="J19" s="222"/>
      <c r="K19" s="250" t="s">
        <v>177</v>
      </c>
      <c r="L19" s="136"/>
      <c r="M19" s="136"/>
      <c r="N19" s="136"/>
      <c r="O19" s="136"/>
      <c r="P19" s="136"/>
      <c r="Q19" s="251"/>
      <c r="R19" s="29">
        <v>36048</v>
      </c>
      <c r="Y19" s="226"/>
      <c r="Z19" s="226"/>
    </row>
    <row r="20" spans="1:26" ht="12.75" customHeight="1">
      <c r="E20" s="252"/>
      <c r="K20" s="136" t="s">
        <v>178</v>
      </c>
      <c r="L20" s="136"/>
      <c r="M20" s="136"/>
      <c r="N20" s="136"/>
      <c r="O20" s="136"/>
      <c r="P20" s="136"/>
      <c r="Q20" s="247"/>
      <c r="R20" s="247"/>
      <c r="Y20" s="226"/>
      <c r="Z20" s="226"/>
    </row>
    <row r="21" spans="1:26" ht="12.75" customHeight="1">
      <c r="K21" s="136" t="s">
        <v>179</v>
      </c>
      <c r="L21" s="136"/>
      <c r="M21" s="136"/>
      <c r="N21" s="136"/>
      <c r="O21" s="136"/>
      <c r="P21" s="136"/>
      <c r="Q21" s="247"/>
      <c r="R21" s="247"/>
      <c r="Y21" s="226"/>
      <c r="Z21" s="226"/>
    </row>
    <row r="22" spans="1:26" ht="12" customHeight="1">
      <c r="A22" s="1143" t="s">
        <v>180</v>
      </c>
      <c r="C22" s="199"/>
      <c r="D22" s="199"/>
      <c r="E22" s="199"/>
      <c r="F22" s="253"/>
      <c r="G22" s="139"/>
      <c r="H22" s="139"/>
      <c r="I22" s="119"/>
      <c r="O22" s="139"/>
      <c r="P22" s="139"/>
      <c r="Q22" s="139"/>
      <c r="Y22" s="226"/>
      <c r="Z22" s="226"/>
    </row>
    <row r="23" spans="1:26" ht="12.75" customHeight="1">
      <c r="A23" s="254" t="s">
        <v>181</v>
      </c>
      <c r="C23" s="199"/>
      <c r="D23" s="199"/>
      <c r="F23" s="1333" t="s">
        <v>182</v>
      </c>
      <c r="G23" s="255">
        <f>SPEDTeacher</f>
        <v>31</v>
      </c>
      <c r="H23" s="139"/>
      <c r="K23" s="1329"/>
      <c r="O23" s="139"/>
      <c r="P23" s="256"/>
      <c r="Q23" s="242"/>
      <c r="R23" s="139"/>
      <c r="S23" s="139"/>
      <c r="Y23" s="226"/>
      <c r="Z23" s="226"/>
    </row>
    <row r="24" spans="1:26" ht="12.75" customHeight="1">
      <c r="F24" s="1333" t="s">
        <v>183</v>
      </c>
      <c r="G24" s="257">
        <f>SPEDStaff</f>
        <v>10</v>
      </c>
      <c r="H24" s="139"/>
      <c r="K24" s="1616"/>
      <c r="L24" s="1616"/>
      <c r="M24" s="1616"/>
      <c r="N24" s="1616"/>
      <c r="O24" s="1616"/>
      <c r="P24" s="1616"/>
      <c r="Q24" s="258"/>
      <c r="R24" s="259"/>
      <c r="Y24" s="226"/>
      <c r="Z24" s="226"/>
    </row>
    <row r="25" spans="1:26" ht="12.75" customHeight="1">
      <c r="F25" s="139"/>
      <c r="G25" s="139"/>
      <c r="H25" s="139"/>
      <c r="K25" s="1615"/>
      <c r="L25" s="1615"/>
      <c r="M25" s="1615"/>
      <c r="N25" s="1615"/>
      <c r="O25" s="1615"/>
      <c r="P25" s="260"/>
      <c r="Q25" s="261"/>
      <c r="R25" s="261"/>
      <c r="Y25" s="226"/>
      <c r="Z25" s="226"/>
    </row>
    <row r="26" spans="1:26" ht="13.5" customHeight="1">
      <c r="A26" s="1607"/>
      <c r="B26" s="1607"/>
      <c r="C26" s="1607"/>
      <c r="D26" s="1607"/>
      <c r="G26" s="139"/>
      <c r="H26" s="139"/>
      <c r="J26" s="262"/>
      <c r="K26" s="263"/>
      <c r="L26" s="237"/>
      <c r="M26" s="237"/>
      <c r="N26" s="237"/>
      <c r="O26" s="237"/>
      <c r="P26" s="261"/>
      <c r="Q26" s="261"/>
      <c r="R26" s="264"/>
      <c r="Y26" s="226"/>
      <c r="Z26" s="226"/>
    </row>
    <row r="27" spans="1:26" ht="12.75" customHeight="1">
      <c r="A27" s="1275"/>
      <c r="C27" s="212"/>
      <c r="F27" s="139"/>
      <c r="K27" s="263"/>
      <c r="L27" s="237"/>
      <c r="M27" s="237"/>
      <c r="N27" s="237"/>
      <c r="O27" s="237"/>
      <c r="P27" s="261"/>
      <c r="Q27" s="261"/>
      <c r="R27" s="264"/>
      <c r="S27" s="1319"/>
      <c r="Y27" s="226"/>
      <c r="Z27" s="226"/>
    </row>
    <row r="28" spans="1:26" ht="13.5" customHeight="1">
      <c r="C28" s="212"/>
      <c r="E28" s="1276"/>
      <c r="F28" s="270"/>
      <c r="K28" s="263"/>
      <c r="L28" s="265"/>
      <c r="M28" s="266"/>
      <c r="N28" s="266"/>
      <c r="O28" s="267"/>
      <c r="P28" s="261"/>
      <c r="Q28" s="261"/>
      <c r="R28" s="268"/>
      <c r="S28" s="1319"/>
      <c r="Y28" s="226"/>
      <c r="Z28" s="226"/>
    </row>
    <row r="29" spans="1:26" ht="15" customHeight="1">
      <c r="E29" s="1276"/>
      <c r="F29" s="272"/>
      <c r="G29" s="1322"/>
      <c r="K29" s="263"/>
      <c r="L29" s="265"/>
      <c r="M29" s="266"/>
      <c r="N29" s="266"/>
      <c r="O29" s="267"/>
      <c r="P29" s="261"/>
      <c r="Q29" s="261"/>
      <c r="R29" s="268"/>
      <c r="S29" s="1319"/>
      <c r="Y29" s="1606"/>
      <c r="Z29" s="1606"/>
    </row>
    <row r="30" spans="1:26" ht="13.5" customHeight="1">
      <c r="B30" s="139"/>
      <c r="D30" s="139"/>
      <c r="E30" s="1333"/>
      <c r="F30" s="1335"/>
      <c r="G30" s="1240"/>
      <c r="K30" s="263"/>
      <c r="L30" s="265"/>
      <c r="M30" s="237"/>
      <c r="N30" s="237"/>
      <c r="O30" s="269"/>
      <c r="P30" s="261"/>
      <c r="Q30" s="261"/>
      <c r="R30" s="268"/>
      <c r="S30" s="1319"/>
      <c r="Y30" s="1606"/>
      <c r="Z30" s="1606"/>
    </row>
    <row r="31" spans="1:26" ht="12.75" customHeight="1">
      <c r="A31" s="1329"/>
      <c r="C31" s="199"/>
      <c r="D31" s="199"/>
      <c r="I31" s="139"/>
      <c r="K31" s="271"/>
      <c r="L31" s="237"/>
      <c r="M31" s="237"/>
      <c r="N31" s="237"/>
      <c r="O31" s="269"/>
      <c r="P31" s="261"/>
      <c r="Q31" s="261"/>
      <c r="R31" s="268"/>
      <c r="S31" s="1319"/>
    </row>
    <row r="32" spans="1:26" ht="12.75" customHeight="1">
      <c r="A32" s="1319"/>
      <c r="B32" s="1325"/>
      <c r="C32" s="1325"/>
      <c r="D32" s="1325"/>
      <c r="E32" s="1325"/>
      <c r="I32" s="1329"/>
      <c r="K32" s="263"/>
      <c r="L32" s="237"/>
      <c r="M32" s="237"/>
      <c r="N32" s="237"/>
      <c r="O32" s="269"/>
      <c r="P32" s="261"/>
      <c r="Q32" s="261"/>
      <c r="R32" s="268"/>
      <c r="S32" s="1319"/>
    </row>
    <row r="33" spans="1:19" ht="13.5" customHeight="1">
      <c r="A33" s="1239"/>
      <c r="B33" s="1335"/>
      <c r="C33" s="1335"/>
      <c r="D33" s="1335"/>
      <c r="E33" s="1335"/>
      <c r="I33" s="139"/>
      <c r="K33" s="263"/>
      <c r="L33" s="237"/>
      <c r="M33" s="237"/>
      <c r="N33" s="237"/>
      <c r="O33" s="269"/>
      <c r="P33" s="261"/>
      <c r="Q33" s="261"/>
      <c r="R33" s="268"/>
      <c r="S33" s="1319"/>
    </row>
    <row r="34" spans="1:19" ht="12.75" customHeight="1">
      <c r="E34" s="273"/>
      <c r="I34" s="139"/>
      <c r="K34" s="271"/>
      <c r="L34" s="265"/>
      <c r="M34" s="237"/>
      <c r="N34" s="237"/>
      <c r="O34" s="269"/>
      <c r="P34" s="261"/>
      <c r="Q34" s="261"/>
      <c r="R34" s="268"/>
      <c r="S34" s="1319"/>
    </row>
    <row r="35" spans="1:19" ht="12.75" customHeight="1">
      <c r="I35" s="139"/>
      <c r="K35" s="261"/>
      <c r="L35" s="237"/>
      <c r="M35" s="237"/>
      <c r="N35" s="237"/>
      <c r="O35" s="237"/>
      <c r="P35" s="237"/>
      <c r="Q35" s="261"/>
      <c r="R35" s="237"/>
      <c r="S35" s="1319"/>
    </row>
    <row r="36" spans="1:19" ht="12.75" customHeight="1">
      <c r="I36" s="139"/>
      <c r="L36" s="139"/>
      <c r="M36" s="139"/>
      <c r="N36" s="139"/>
      <c r="O36" s="139"/>
      <c r="P36" s="139"/>
      <c r="R36" s="139"/>
      <c r="S36" s="1319"/>
    </row>
    <row r="37" spans="1:19" ht="12.75" customHeight="1">
      <c r="L37" s="233"/>
      <c r="M37" s="139"/>
      <c r="N37" s="139"/>
      <c r="O37" s="139"/>
      <c r="P37" s="139"/>
      <c r="R37" s="274"/>
    </row>
    <row r="38" spans="1:19" ht="12.75" customHeight="1">
      <c r="L38" s="233"/>
      <c r="M38" s="139"/>
      <c r="N38" s="139"/>
      <c r="O38" s="139"/>
      <c r="P38" s="139"/>
      <c r="R38" s="274"/>
    </row>
    <row r="39" spans="1:19" ht="12.75" customHeight="1">
      <c r="K39" s="139"/>
      <c r="L39" s="139"/>
      <c r="M39" s="139"/>
      <c r="N39" s="139"/>
      <c r="O39" s="139"/>
      <c r="P39" s="139"/>
    </row>
    <row r="40" spans="1:19" ht="12.75" customHeight="1">
      <c r="K40" s="139"/>
      <c r="L40" s="139"/>
      <c r="M40" s="139"/>
      <c r="N40" s="139"/>
      <c r="O40" s="139"/>
      <c r="P40" s="139"/>
    </row>
    <row r="41" spans="1:19" ht="13.5" customHeight="1">
      <c r="K41" s="139"/>
    </row>
    <row r="42" spans="1:19" ht="12.75" customHeight="1">
      <c r="I42" s="139"/>
      <c r="J42" s="275"/>
      <c r="S42" s="139"/>
    </row>
    <row r="43" spans="1:19" ht="13.5" hidden="1" customHeight="1"/>
    <row r="44" spans="1:19" ht="13.5" customHeight="1"/>
    <row r="45" spans="1:19" ht="13.5" customHeight="1">
      <c r="I45" s="139"/>
    </row>
    <row r="46" spans="1:19" ht="13.5" customHeight="1">
      <c r="I46" s="1329"/>
    </row>
    <row r="47" spans="1:19" ht="6" customHeight="1">
      <c r="I47" s="139"/>
      <c r="J47" s="139"/>
    </row>
    <row r="48" spans="1:19" ht="12" customHeight="1">
      <c r="J48" s="139"/>
    </row>
    <row r="49" spans="19:20" ht="12.75" customHeight="1">
      <c r="S49" s="139"/>
      <c r="T49" s="1333"/>
    </row>
  </sheetData>
  <sheetProtection sheet="1"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200-000000000000}">
      <formula1>R31*0.115</formula1>
    </dataValidation>
  </dataValidations>
  <hyperlinks>
    <hyperlink ref="A10" location="Page2l45" display="4." xr:uid="{00000000-0004-0000-0200-000000000000}"/>
    <hyperlink ref="A11" location="Page2l45" display="5." xr:uid="{00000000-0004-0000-0200-000001000000}"/>
    <hyperlink ref="A4:F4" location="Page2n1" display="SPECIAL EDUCATION PROGRAMS BY TYPE (M&amp;O Fund Program 200)" xr:uid="{00000000-0004-0000-0200-000002000000}"/>
    <hyperlink ref="A7" location="Page2n1" display="1." xr:uid="{00000000-0004-0000-0200-000003000000}"/>
    <hyperlink ref="K7:N7" location="AuditServices" display="Expenditures Budgeted for Audit Services" xr:uid="{00000000-0004-0000-0200-000004000000}"/>
    <hyperlink ref="K18:O18" location="MOFoodService" display="Expenditures Budgeted in the M&amp;O Fund for Food Service" xr:uid="{00000000-0004-0000-0200-000005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43"/>
  <sheetViews>
    <sheetView showGridLines="0" tabSelected="1" workbookViewId="0">
      <selection activeCell="W6" sqref="W6"/>
    </sheetView>
  </sheetViews>
  <sheetFormatPr defaultColWidth="8.90625" defaultRowHeight="15"/>
  <cols>
    <col min="1" max="1" width="38.1796875" customWidth="1"/>
    <col min="2" max="2" width="3.90625" customWidth="1"/>
    <col min="3" max="3" width="3.54296875" customWidth="1"/>
    <col min="4" max="11" width="11.90625" customWidth="1"/>
    <col min="12" max="12" width="6.90625" customWidth="1"/>
    <col min="13" max="13" width="3.90625" customWidth="1"/>
    <col min="14" max="14" width="2" customWidth="1"/>
    <col min="15" max="15" width="14" customWidth="1"/>
    <col min="16" max="16" width="7.453125" customWidth="1"/>
    <col min="17" max="17" width="8.90625" customWidth="1"/>
    <col min="18" max="18" width="20.90625" customWidth="1"/>
    <col min="19" max="25" width="8.90625" customWidth="1"/>
  </cols>
  <sheetData>
    <row r="1" spans="1:25" ht="16.5" customHeight="1">
      <c r="A1" s="1298" t="s">
        <v>184</v>
      </c>
      <c r="B1" s="1601" t="str">
        <f>DistrictName</f>
        <v>Murphy Elementary School District #21</v>
      </c>
      <c r="C1" s="1625"/>
      <c r="D1" s="1625"/>
      <c r="E1" s="1625"/>
      <c r="F1" s="1298" t="s">
        <v>1</v>
      </c>
      <c r="G1" s="276" t="str">
        <f>Cover!H1</f>
        <v>Maricopa</v>
      </c>
      <c r="J1" s="230" t="s">
        <v>60</v>
      </c>
      <c r="K1" s="98" t="str">
        <f>Cover!S1</f>
        <v>070421000</v>
      </c>
      <c r="M1" s="1298" t="s">
        <v>16</v>
      </c>
      <c r="N1" s="277" t="str">
        <f>Cover!C8</f>
        <v>Proposed</v>
      </c>
      <c r="O1" s="278"/>
    </row>
    <row r="2" spans="1:25" ht="22.5" customHeight="1">
      <c r="A2" s="1144" t="s">
        <v>185</v>
      </c>
      <c r="B2" s="279"/>
      <c r="C2" s="279"/>
      <c r="D2" s="1626" t="s">
        <v>186</v>
      </c>
      <c r="E2" s="1626"/>
      <c r="F2" s="1626"/>
      <c r="G2" s="1626"/>
      <c r="H2" s="1626"/>
      <c r="I2" s="1626"/>
      <c r="J2" s="1626"/>
      <c r="K2" s="1626"/>
      <c r="L2" s="1626"/>
      <c r="M2" s="96"/>
      <c r="N2" s="96"/>
    </row>
    <row r="3" spans="1:25" ht="11.25" customHeight="1">
      <c r="A3" s="280"/>
      <c r="B3" s="281"/>
      <c r="C3" s="282"/>
      <c r="D3" s="283"/>
      <c r="E3" s="284"/>
      <c r="F3" s="285"/>
      <c r="G3" s="286"/>
      <c r="H3" s="287"/>
      <c r="I3" s="1145" t="s">
        <v>187</v>
      </c>
      <c r="J3" s="1627" t="s">
        <v>86</v>
      </c>
      <c r="K3" s="1628"/>
      <c r="L3" s="287" t="s">
        <v>95</v>
      </c>
      <c r="M3" s="101"/>
      <c r="N3" s="101"/>
    </row>
    <row r="4" spans="1:25" ht="11.25" customHeight="1">
      <c r="A4" s="1425" t="s">
        <v>96</v>
      </c>
      <c r="B4" s="117"/>
      <c r="C4" s="1426"/>
      <c r="D4" s="1427" t="s">
        <v>88</v>
      </c>
      <c r="E4" s="1148" t="s">
        <v>188</v>
      </c>
      <c r="F4" s="1428" t="s">
        <v>189</v>
      </c>
      <c r="G4" s="3" t="s">
        <v>91</v>
      </c>
      <c r="H4" s="1428" t="s">
        <v>190</v>
      </c>
      <c r="I4" s="1428" t="s">
        <v>191</v>
      </c>
      <c r="J4" s="1429" t="s">
        <v>158</v>
      </c>
      <c r="K4" s="1429" t="s">
        <v>159</v>
      </c>
      <c r="L4" s="1148" t="s">
        <v>98</v>
      </c>
      <c r="M4" s="101"/>
      <c r="N4" s="101"/>
    </row>
    <row r="5" spans="1:25" ht="11.25" customHeight="1">
      <c r="A5" s="1430"/>
      <c r="B5" s="1431"/>
      <c r="C5" s="1432"/>
      <c r="D5" s="1433" t="s">
        <v>99</v>
      </c>
      <c r="E5" s="173" t="s">
        <v>100</v>
      </c>
      <c r="F5" s="1434" t="s">
        <v>192</v>
      </c>
      <c r="G5" s="172">
        <v>6600</v>
      </c>
      <c r="H5" s="1428">
        <v>6700</v>
      </c>
      <c r="I5" s="1428">
        <v>6800</v>
      </c>
      <c r="J5" s="1435">
        <f>PriorFiscalYear</f>
        <v>2025</v>
      </c>
      <c r="K5" s="1435">
        <f>Cover!E3</f>
        <v>2026</v>
      </c>
      <c r="L5" s="1435" t="s">
        <v>103</v>
      </c>
      <c r="M5" s="101"/>
      <c r="N5" s="101"/>
    </row>
    <row r="6" spans="1:25" ht="12" customHeight="1">
      <c r="A6" s="102" t="s">
        <v>193</v>
      </c>
      <c r="B6" s="96"/>
      <c r="C6" s="176" t="s">
        <v>6</v>
      </c>
      <c r="D6" s="1559">
        <v>810000</v>
      </c>
      <c r="E6" s="1559">
        <v>168000</v>
      </c>
      <c r="F6" s="1560">
        <v>30000</v>
      </c>
      <c r="G6" s="1436">
        <v>28526</v>
      </c>
      <c r="H6" s="1437"/>
      <c r="I6" s="1437"/>
      <c r="J6" s="1438">
        <f t="array" ref="J6">[1]!F010F1000</f>
        <v>1154134</v>
      </c>
      <c r="K6" s="1439">
        <f t="shared" ref="K6:K12" si="0">SUM(D6:I6)</f>
        <v>1036526</v>
      </c>
      <c r="L6" s="1440">
        <f t="shared" ref="L6:L11" si="1">IF(J6=K6,0,IF(J6&gt;0,(K6-J6)/J6,""))</f>
        <v>-0.10199999999999999</v>
      </c>
      <c r="M6" s="424" t="s">
        <v>6</v>
      </c>
      <c r="N6" s="178"/>
    </row>
    <row r="7" spans="1:25" ht="12" customHeight="1">
      <c r="A7" s="102" t="s">
        <v>194</v>
      </c>
      <c r="B7" s="96"/>
      <c r="C7" s="176" t="s">
        <v>8</v>
      </c>
      <c r="D7" s="1561">
        <v>50000</v>
      </c>
      <c r="E7" s="1561">
        <v>40000</v>
      </c>
      <c r="F7" s="1561">
        <v>45000</v>
      </c>
      <c r="G7" s="1441">
        <v>22500</v>
      </c>
      <c r="H7" s="1441"/>
      <c r="I7" s="1441"/>
      <c r="J7" s="1438">
        <f t="array" ref="J7">[1]!F010F2100</f>
        <v>923230</v>
      </c>
      <c r="K7" s="1439">
        <f t="shared" si="0"/>
        <v>157500</v>
      </c>
      <c r="L7" s="1440">
        <f t="shared" si="1"/>
        <v>-0.82899999999999996</v>
      </c>
      <c r="M7" s="1442" t="s">
        <v>8</v>
      </c>
      <c r="N7" s="293"/>
      <c r="O7" s="273"/>
      <c r="P7" s="273"/>
      <c r="Q7" s="275"/>
      <c r="R7" s="273"/>
      <c r="S7" s="294"/>
      <c r="T7" s="295"/>
      <c r="U7" s="295"/>
      <c r="V7" s="295"/>
      <c r="W7" s="295"/>
      <c r="X7" s="295"/>
      <c r="Y7" s="295"/>
    </row>
    <row r="8" spans="1:25" ht="12" customHeight="1">
      <c r="A8" s="102" t="s">
        <v>195</v>
      </c>
      <c r="B8" s="96"/>
      <c r="C8" s="176" t="s">
        <v>22</v>
      </c>
      <c r="D8" s="1443"/>
      <c r="E8" s="1443"/>
      <c r="F8" s="4"/>
      <c r="G8" s="4"/>
      <c r="H8" s="1444"/>
      <c r="I8" s="4"/>
      <c r="J8" s="1438">
        <f t="array" ref="J8">[1]!F010F2200</f>
        <v>0</v>
      </c>
      <c r="K8" s="1439">
        <f t="shared" si="0"/>
        <v>0</v>
      </c>
      <c r="L8" s="1440">
        <f t="shared" si="1"/>
        <v>0</v>
      </c>
      <c r="M8" s="1442" t="s">
        <v>22</v>
      </c>
      <c r="N8" s="178"/>
      <c r="O8" s="273"/>
    </row>
    <row r="9" spans="1:25" s="154" customFormat="1" ht="12" customHeight="1">
      <c r="A9" s="1445" t="s">
        <v>196</v>
      </c>
      <c r="B9" s="207"/>
      <c r="C9" s="1446" t="s">
        <v>42</v>
      </c>
      <c r="D9" s="1447"/>
      <c r="E9" s="1447"/>
      <c r="F9" s="1437"/>
      <c r="G9" s="1447"/>
      <c r="H9" s="1447"/>
      <c r="I9" s="1447"/>
      <c r="J9" s="1448">
        <f t="array" ref="J9">[1]!F010F2310</f>
        <v>0</v>
      </c>
      <c r="K9" s="1439">
        <f t="shared" si="0"/>
        <v>0</v>
      </c>
      <c r="L9" s="1449">
        <f t="shared" si="1"/>
        <v>0</v>
      </c>
      <c r="M9" s="424" t="s">
        <v>42</v>
      </c>
      <c r="N9" s="297"/>
    </row>
    <row r="10" spans="1:25" ht="12" customHeight="1">
      <c r="A10" s="1445" t="s">
        <v>197</v>
      </c>
      <c r="B10" s="96"/>
      <c r="C10" s="176" t="s">
        <v>111</v>
      </c>
      <c r="D10" s="1450"/>
      <c r="E10" s="1450"/>
      <c r="F10" s="1450"/>
      <c r="G10" s="1451"/>
      <c r="H10" s="1452"/>
      <c r="I10" s="1453"/>
      <c r="J10" s="1448">
        <f t="array" ref="J10">[1]!F010F2510</f>
        <v>0</v>
      </c>
      <c r="K10" s="1439">
        <f t="shared" si="0"/>
        <v>0</v>
      </c>
      <c r="L10" s="1454">
        <f t="shared" si="1"/>
        <v>0</v>
      </c>
      <c r="M10" s="424" t="s">
        <v>111</v>
      </c>
      <c r="N10" s="178"/>
    </row>
    <row r="11" spans="1:25" ht="12" customHeight="1">
      <c r="A11" s="1455" t="s">
        <v>198</v>
      </c>
      <c r="B11" s="96"/>
      <c r="C11" s="176" t="s">
        <v>113</v>
      </c>
      <c r="D11" s="1437"/>
      <c r="E11" s="1437"/>
      <c r="F11" s="1437"/>
      <c r="G11" s="1450"/>
      <c r="H11" s="1451"/>
      <c r="I11" s="1452"/>
      <c r="J11" s="1456">
        <f t="array" ref="J11">[1]!F010F3300</f>
        <v>0</v>
      </c>
      <c r="K11" s="1456">
        <f t="shared" si="0"/>
        <v>0</v>
      </c>
      <c r="L11" s="1457">
        <f t="shared" si="1"/>
        <v>0</v>
      </c>
      <c r="M11" s="424" t="s">
        <v>113</v>
      </c>
      <c r="N11" s="178"/>
    </row>
    <row r="12" spans="1:25" ht="12" customHeight="1">
      <c r="A12" s="1455" t="s">
        <v>199</v>
      </c>
      <c r="B12" s="1315"/>
      <c r="C12" s="176" t="s">
        <v>115</v>
      </c>
      <c r="D12" s="1458"/>
      <c r="E12" s="1458"/>
      <c r="F12" s="1458"/>
      <c r="G12" s="1458"/>
      <c r="H12" s="1094"/>
      <c r="I12" s="1458"/>
      <c r="J12" s="1124">
        <f t="array" ref="J12">[1]!F010F4000</f>
        <v>0</v>
      </c>
      <c r="K12" s="1124">
        <f t="shared" si="0"/>
        <v>0</v>
      </c>
      <c r="L12" s="1458"/>
      <c r="M12" s="424" t="s">
        <v>115</v>
      </c>
    </row>
    <row r="13" spans="1:25" ht="12" customHeight="1">
      <c r="A13" s="1455" t="s">
        <v>200</v>
      </c>
      <c r="B13" s="1315"/>
      <c r="C13" s="176" t="s">
        <v>117</v>
      </c>
      <c r="D13" s="1458"/>
      <c r="E13" s="1458"/>
      <c r="F13" s="1458"/>
      <c r="G13" s="1458"/>
      <c r="H13" s="1458"/>
      <c r="I13" s="1459"/>
      <c r="J13" s="1124">
        <f t="array" ref="J13">[1]!F010F5000</f>
        <v>0</v>
      </c>
      <c r="K13" s="1124">
        <f>SUM(D13:I13)</f>
        <v>0</v>
      </c>
      <c r="L13" s="1458"/>
      <c r="M13" s="424" t="s">
        <v>117</v>
      </c>
    </row>
    <row r="14" spans="1:25" ht="12" customHeight="1">
      <c r="A14" s="1468" t="s">
        <v>1322</v>
      </c>
      <c r="B14" s="1492"/>
      <c r="C14" s="1493" t="s">
        <v>119</v>
      </c>
      <c r="D14" s="1462">
        <f>SUM(D6:D13)</f>
        <v>860000</v>
      </c>
      <c r="E14" s="1462">
        <f t="shared" ref="E14:K14" si="2">SUM(E6:E13)</f>
        <v>208000</v>
      </c>
      <c r="F14" s="1462">
        <f t="shared" si="2"/>
        <v>75000</v>
      </c>
      <c r="G14" s="1462">
        <f t="shared" si="2"/>
        <v>51026</v>
      </c>
      <c r="H14" s="1462">
        <f t="shared" si="2"/>
        <v>0</v>
      </c>
      <c r="I14" s="1462">
        <f t="shared" si="2"/>
        <v>0</v>
      </c>
      <c r="J14" s="1462">
        <f t="shared" si="2"/>
        <v>2077364</v>
      </c>
      <c r="K14" s="1462">
        <f t="shared" si="2"/>
        <v>1194026</v>
      </c>
      <c r="L14" s="1440">
        <f>IF(J14=K14,0,IF(J14&gt;0,(K14-J14)/J14,""))</f>
        <v>-0.42499999999999999</v>
      </c>
      <c r="M14" s="424" t="s">
        <v>119</v>
      </c>
      <c r="O14" s="299"/>
      <c r="P14" s="299"/>
      <c r="Q14" s="299"/>
      <c r="R14" s="299"/>
      <c r="S14" s="1327"/>
      <c r="T14" s="1327"/>
      <c r="U14" s="1327"/>
      <c r="V14" s="1327"/>
      <c r="W14" s="1327"/>
      <c r="X14" s="1327"/>
    </row>
    <row r="15" spans="1:25" ht="12" customHeight="1">
      <c r="A15" s="1468" t="s">
        <v>1318</v>
      </c>
      <c r="B15" s="1492"/>
      <c r="C15" s="1493" t="s">
        <v>121</v>
      </c>
      <c r="D15" s="1458"/>
      <c r="E15" s="1458"/>
      <c r="F15" s="1458"/>
      <c r="G15" s="1458"/>
      <c r="H15" s="1458"/>
      <c r="I15" s="1458"/>
      <c r="J15" s="1458"/>
      <c r="K15" s="1437">
        <v>950000</v>
      </c>
      <c r="L15" s="1458"/>
      <c r="M15" s="424" t="s">
        <v>121</v>
      </c>
    </row>
    <row r="16" spans="1:25">
      <c r="A16" s="1461" t="s">
        <v>1320</v>
      </c>
      <c r="B16" s="339"/>
      <c r="C16" s="1460" t="s">
        <v>123</v>
      </c>
      <c r="D16" s="1462">
        <f>D14</f>
        <v>860000</v>
      </c>
      <c r="E16" s="1462">
        <f t="shared" ref="E16:I16" si="3">E14</f>
        <v>208000</v>
      </c>
      <c r="F16" s="1462">
        <f t="shared" si="3"/>
        <v>75000</v>
      </c>
      <c r="G16" s="1462">
        <f t="shared" si="3"/>
        <v>51026</v>
      </c>
      <c r="H16" s="1462">
        <f t="shared" si="3"/>
        <v>0</v>
      </c>
      <c r="I16" s="1462">
        <f t="shared" si="3"/>
        <v>0</v>
      </c>
      <c r="J16" s="1462">
        <f>F010TotalExpPY</f>
        <v>2077364</v>
      </c>
      <c r="K16" s="1462">
        <f>F010TotalExp+F010Carryforward</f>
        <v>2144026</v>
      </c>
      <c r="L16" s="1440">
        <f>IF(J16=K16,0,IF(J16&gt;0,(K16-J16)/J16,""))</f>
        <v>3.2000000000000001E-2</v>
      </c>
      <c r="M16" s="425" t="s">
        <v>123</v>
      </c>
    </row>
    <row r="17" spans="1:22">
      <c r="A17" s="1315"/>
      <c r="B17" s="1315"/>
      <c r="C17" s="1315"/>
      <c r="D17" s="1315"/>
      <c r="E17" s="1315"/>
      <c r="F17" s="1315"/>
      <c r="G17" s="1315"/>
      <c r="H17" s="1315"/>
      <c r="I17" s="1315"/>
      <c r="J17" s="1315"/>
      <c r="K17" s="1315"/>
      <c r="L17" s="1463" t="str">
        <f>IF(ROUND(K16,0)&lt;ROUND(CSFBLBudgFY,0),CONCATENATE("The district has budgeted an amount in Fund 010 which is less than the Classroom Site Fund Budget Limit as calculated below by ",TEXT(CSFBLBudgFY-K16,"$#,###"),"."),IF(ROUND(K16,0)&gt;ROUND(CSFBLBudgFY,0),CONCATENATE("The district has budgeted greater in Fund 010 than the Classroom Site Fund Budget Limit as calculated below by ",TEXT(-CSFBLBudgFY+K16,"$#,###"),"."),IF(ROUND(K16,0)=ROUND(CSFBLBudgFY,0),CONCATENATE("The district has budgeted an amount in Fund 010 equal to the Classroom Site Fund Budget Limit as calculated below."))))</f>
        <v>The district has budgeted an amount in Fund 010 equal to the Classroom Site Fund Budget Limit as calculated below.</v>
      </c>
      <c r="M17" s="1315"/>
    </row>
    <row r="18" spans="1:22" hidden="1">
      <c r="A18" s="1315"/>
      <c r="B18" s="1315"/>
      <c r="C18" s="1315"/>
      <c r="D18" s="1315"/>
      <c r="E18" s="1315"/>
      <c r="F18" s="1315"/>
      <c r="G18" s="1315"/>
      <c r="H18" s="1315"/>
      <c r="I18" s="1315"/>
      <c r="J18" s="1315"/>
      <c r="K18" s="1315"/>
      <c r="L18" s="1315"/>
      <c r="M18" s="1315"/>
    </row>
    <row r="19" spans="1:22" hidden="1">
      <c r="A19" s="1315"/>
      <c r="B19" s="1315"/>
      <c r="C19" s="1315"/>
      <c r="D19" s="1315"/>
      <c r="E19" s="1315"/>
      <c r="F19" s="1315"/>
      <c r="G19" s="1315"/>
      <c r="H19" s="1315"/>
      <c r="I19" s="1315"/>
      <c r="J19" s="1315"/>
      <c r="K19" s="1315"/>
      <c r="L19" s="1315"/>
      <c r="M19" s="1315"/>
    </row>
    <row r="20" spans="1:22" hidden="1">
      <c r="A20" s="1315"/>
      <c r="B20" s="1315"/>
      <c r="C20" s="1315"/>
      <c r="D20" s="1315"/>
      <c r="E20" s="1315"/>
      <c r="F20" s="1315"/>
      <c r="G20" s="1315"/>
      <c r="H20" s="1315"/>
      <c r="I20" s="1315"/>
      <c r="J20" s="1315"/>
      <c r="K20" s="1315"/>
      <c r="L20" s="1315"/>
      <c r="M20" s="1315"/>
    </row>
    <row r="21" spans="1:22" hidden="1">
      <c r="A21" s="1315"/>
      <c r="B21" s="1315"/>
      <c r="C21" s="1315"/>
      <c r="D21" s="1315"/>
      <c r="E21" s="1315"/>
      <c r="F21" s="1315"/>
      <c r="G21" s="1315"/>
      <c r="H21" s="1315"/>
      <c r="I21" s="1315"/>
      <c r="J21" s="1315"/>
      <c r="K21" s="1315"/>
      <c r="L21" s="1315"/>
      <c r="M21" s="1315"/>
    </row>
    <row r="22" spans="1:22" hidden="1">
      <c r="A22" s="1315"/>
      <c r="B22" s="1315"/>
      <c r="C22" s="1315"/>
      <c r="D22" s="1315"/>
      <c r="E22" s="1315"/>
      <c r="F22" s="1315"/>
      <c r="G22" s="1315"/>
      <c r="H22" s="1315"/>
      <c r="I22" s="1315"/>
      <c r="J22" s="1315"/>
      <c r="K22" s="1315"/>
      <c r="L22" s="1315"/>
      <c r="M22" s="1315"/>
    </row>
    <row r="23" spans="1:22" hidden="1">
      <c r="A23" s="1315"/>
      <c r="B23" s="1315"/>
      <c r="C23" s="1315"/>
      <c r="D23" s="1315"/>
      <c r="E23" s="1315"/>
      <c r="F23" s="1315"/>
      <c r="G23" s="1315"/>
      <c r="H23" s="1315"/>
      <c r="I23" s="1315"/>
      <c r="J23" s="1315"/>
      <c r="K23" s="1315"/>
      <c r="L23" s="1315"/>
      <c r="M23" s="1315"/>
    </row>
    <row r="24" spans="1:22" hidden="1">
      <c r="A24" s="1315"/>
      <c r="B24" s="1315"/>
      <c r="C24" s="1315"/>
      <c r="D24" s="1315"/>
      <c r="E24" s="1315"/>
      <c r="F24" s="1315"/>
      <c r="G24" s="1315"/>
      <c r="H24" s="1315"/>
      <c r="I24" s="1315"/>
      <c r="J24" s="1315"/>
      <c r="K24" s="1315"/>
      <c r="L24" s="1315"/>
      <c r="M24" s="1315"/>
    </row>
    <row r="25" spans="1:22" hidden="1">
      <c r="A25" s="1315"/>
      <c r="B25" s="1315"/>
      <c r="C25" s="1315"/>
      <c r="D25" s="1315"/>
      <c r="E25" s="1315"/>
      <c r="F25" s="1315"/>
      <c r="G25" s="1315"/>
      <c r="H25" s="1315"/>
      <c r="I25" s="1315"/>
      <c r="J25" s="1315"/>
      <c r="K25" s="1315"/>
      <c r="L25" s="1315"/>
      <c r="M25" s="1315"/>
    </row>
    <row r="26" spans="1:22" hidden="1">
      <c r="A26" s="1315"/>
      <c r="B26" s="1315"/>
      <c r="C26" s="1315"/>
      <c r="D26" s="1315"/>
      <c r="E26" s="1315"/>
      <c r="F26" s="1315"/>
      <c r="G26" s="1315"/>
      <c r="H26" s="1315"/>
      <c r="I26" s="1315"/>
      <c r="J26" s="1315"/>
      <c r="K26" s="1315"/>
      <c r="L26" s="1315"/>
      <c r="M26" s="1315"/>
    </row>
    <row r="27" spans="1:22" ht="22.5" hidden="1" customHeight="1">
      <c r="A27" s="1315"/>
      <c r="B27" s="1315"/>
      <c r="C27" s="1315"/>
      <c r="D27" s="1315"/>
      <c r="E27" s="1315"/>
      <c r="F27" s="1315"/>
      <c r="G27" s="1315"/>
      <c r="H27" s="1315"/>
      <c r="I27" s="1315"/>
      <c r="J27" s="1315"/>
      <c r="K27" s="1315"/>
      <c r="L27" s="1315"/>
      <c r="M27" s="1315"/>
    </row>
    <row r="28" spans="1:22" ht="19.5" hidden="1" customHeight="1">
      <c r="A28" s="1315"/>
      <c r="B28" s="1315"/>
      <c r="C28" s="1315"/>
      <c r="D28" s="1315"/>
      <c r="E28" s="1315"/>
      <c r="F28" s="1315"/>
      <c r="G28" s="1315"/>
      <c r="H28" s="1315"/>
      <c r="I28" s="1315"/>
      <c r="J28" s="1315"/>
      <c r="K28" s="1315"/>
      <c r="L28" s="1315"/>
      <c r="M28" s="1315"/>
    </row>
    <row r="29" spans="1:22" ht="12.75" hidden="1" customHeight="1">
      <c r="A29" s="1315"/>
      <c r="B29" s="1315"/>
      <c r="C29" s="1315"/>
      <c r="D29" s="1315"/>
      <c r="E29" s="1315"/>
      <c r="F29" s="1315"/>
      <c r="G29" s="1315"/>
      <c r="H29" s="1315"/>
      <c r="I29" s="1315"/>
      <c r="J29" s="1315"/>
      <c r="K29" s="1315"/>
      <c r="L29" s="1315"/>
      <c r="M29" s="1315"/>
    </row>
    <row r="30" spans="1:22" ht="18.75" customHeight="1">
      <c r="A30" s="1315"/>
      <c r="B30" s="1315"/>
      <c r="C30" s="1315"/>
      <c r="D30" s="1315"/>
      <c r="E30" s="1315"/>
      <c r="F30" s="1315"/>
      <c r="G30" s="1315"/>
      <c r="H30" s="1315"/>
      <c r="I30" s="1315"/>
      <c r="J30" s="1315"/>
      <c r="K30" s="1315"/>
      <c r="L30" s="1315"/>
      <c r="M30" s="1315"/>
    </row>
    <row r="31" spans="1:22" s="135" customFormat="1" ht="13.2">
      <c r="A31" s="1629" t="s">
        <v>201</v>
      </c>
      <c r="B31" s="1629"/>
      <c r="C31" s="1629"/>
      <c r="D31" s="1629"/>
      <c r="E31" s="1315"/>
      <c r="F31" s="96"/>
      <c r="G31" s="1315"/>
      <c r="H31" s="1315"/>
      <c r="I31" s="1315"/>
      <c r="J31" s="1315"/>
      <c r="K31" s="1315"/>
      <c r="L31" s="1315"/>
      <c r="M31" s="1315"/>
      <c r="N31" s="96"/>
      <c r="O31" s="96"/>
      <c r="P31" s="96"/>
      <c r="Q31" s="96"/>
      <c r="R31" s="96"/>
      <c r="S31" s="96"/>
      <c r="T31" s="1630"/>
      <c r="U31" s="1301"/>
      <c r="V31" s="300"/>
    </row>
    <row r="32" spans="1:22" s="135" customFormat="1" ht="25.5" customHeight="1">
      <c r="A32" s="1631" t="s">
        <v>1130</v>
      </c>
      <c r="B32" s="1632"/>
      <c r="C32" s="1496" t="s">
        <v>125</v>
      </c>
      <c r="D32" s="1464">
        <f t="array" ref="D32">'[1]Page 3'!CSFBLBudgFY</f>
        <v>2077364</v>
      </c>
      <c r="E32" s="1315"/>
      <c r="F32" s="1315"/>
      <c r="G32" s="1315"/>
      <c r="H32" s="1315"/>
      <c r="I32" s="1315"/>
      <c r="J32" s="1315"/>
      <c r="K32" s="1315"/>
      <c r="L32" s="1315"/>
      <c r="M32" s="1315"/>
      <c r="N32" s="96"/>
      <c r="O32" s="1579"/>
      <c r="P32" s="1579"/>
      <c r="Q32" s="1579"/>
      <c r="R32" s="1579"/>
      <c r="S32" s="96"/>
      <c r="T32" s="1630"/>
      <c r="U32" s="1307"/>
      <c r="V32" s="300"/>
    </row>
    <row r="33" spans="1:22" s="135" customFormat="1" ht="36" customHeight="1">
      <c r="A33" s="1617" t="s">
        <v>1131</v>
      </c>
      <c r="B33" s="1618"/>
      <c r="C33" s="1465" t="s">
        <v>127</v>
      </c>
      <c r="D33" s="1487">
        <v>907498</v>
      </c>
      <c r="E33" s="1344" t="str">
        <f>IF(AND(CSFBLCurrFY&lt;&gt;0,CSFActualCurrFY=""),"Please enter prior year CSF actual expenditures on line 11.","")</f>
        <v/>
      </c>
      <c r="F33" s="1315"/>
      <c r="G33" s="1315"/>
      <c r="H33" s="1315"/>
      <c r="I33" s="1315"/>
      <c r="J33" s="1315"/>
      <c r="K33" s="1315"/>
      <c r="L33" s="1315"/>
      <c r="M33" s="1315"/>
      <c r="N33" s="96"/>
      <c r="O33" s="96"/>
      <c r="P33" s="96"/>
      <c r="Q33" s="96"/>
      <c r="R33" s="96"/>
      <c r="S33" s="96"/>
      <c r="T33" s="96"/>
      <c r="U33" s="96"/>
      <c r="V33" s="300"/>
    </row>
    <row r="34" spans="1:22" s="135" customFormat="1" ht="24" customHeight="1">
      <c r="A34" s="1622" t="s">
        <v>1358</v>
      </c>
      <c r="B34" s="1623"/>
      <c r="C34" s="1466" t="s">
        <v>129</v>
      </c>
      <c r="D34" s="1467">
        <f>D32-D33</f>
        <v>1169866</v>
      </c>
      <c r="E34" s="1315"/>
      <c r="F34" s="1315"/>
      <c r="G34" s="1315"/>
      <c r="H34" s="1315"/>
      <c r="I34" s="1315"/>
      <c r="J34" s="1315"/>
      <c r="K34" s="1315"/>
      <c r="L34" s="1315"/>
      <c r="M34" s="1315"/>
      <c r="N34" s="121"/>
      <c r="O34" s="210"/>
      <c r="P34" s="210"/>
      <c r="Q34" s="210"/>
      <c r="R34" s="96"/>
      <c r="S34" s="96"/>
      <c r="T34" s="1299"/>
      <c r="U34" s="96"/>
      <c r="V34" s="300"/>
    </row>
    <row r="35" spans="1:22" s="135" customFormat="1" ht="22.5" customHeight="1">
      <c r="A35" s="1617" t="s">
        <v>1132</v>
      </c>
      <c r="B35" s="1618"/>
      <c r="C35" s="1465" t="s">
        <v>131</v>
      </c>
      <c r="D35" s="1488">
        <v>34864</v>
      </c>
      <c r="E35" s="1315"/>
      <c r="F35" s="1315"/>
      <c r="G35" s="1315"/>
      <c r="H35" s="1315"/>
      <c r="I35" s="1315"/>
      <c r="J35" s="1315"/>
      <c r="K35" s="1315"/>
      <c r="L35" s="1315"/>
      <c r="M35" s="1315"/>
      <c r="N35" s="96"/>
      <c r="O35" s="1579"/>
      <c r="P35" s="1579"/>
      <c r="Q35" s="1579"/>
      <c r="R35" s="1579"/>
      <c r="S35" s="96"/>
      <c r="T35" s="96"/>
      <c r="U35" s="96"/>
      <c r="V35" s="300"/>
    </row>
    <row r="36" spans="1:22" s="302" customFormat="1" ht="18.75" customHeight="1">
      <c r="A36" s="1468" t="s">
        <v>1369</v>
      </c>
      <c r="B36" s="1469">
        <f>CSFAllocation</f>
        <v>842</v>
      </c>
      <c r="C36" s="1465" t="s">
        <v>132</v>
      </c>
      <c r="D36" s="1488">
        <v>939296</v>
      </c>
      <c r="E36" s="1344"/>
      <c r="F36" s="1315"/>
      <c r="G36" s="1315"/>
      <c r="H36" s="1315"/>
      <c r="I36" s="1470"/>
      <c r="J36" s="1470"/>
      <c r="K36" s="1315"/>
      <c r="L36" s="1315"/>
      <c r="M36" s="1470"/>
      <c r="N36" s="303"/>
      <c r="O36" s="1624"/>
      <c r="P36" s="1624"/>
      <c r="Q36" s="1624"/>
      <c r="R36" s="1624"/>
      <c r="S36" s="303"/>
      <c r="T36" s="304"/>
      <c r="U36" s="305"/>
      <c r="V36" s="306"/>
    </row>
    <row r="37" spans="1:22" s="135" customFormat="1" ht="21.6" customHeight="1">
      <c r="A37" s="1617" t="s">
        <v>1133</v>
      </c>
      <c r="B37" s="1618"/>
      <c r="C37" s="1465" t="s">
        <v>133</v>
      </c>
      <c r="D37" s="1488"/>
      <c r="E37" s="1315"/>
      <c r="F37" s="1315"/>
      <c r="G37" s="1315"/>
      <c r="H37" s="1315"/>
      <c r="I37" s="1315"/>
      <c r="J37" s="1315"/>
      <c r="K37" s="1315"/>
      <c r="L37" s="1315"/>
      <c r="M37" s="1315"/>
      <c r="N37" s="121"/>
      <c r="O37" s="101"/>
      <c r="P37" s="96"/>
      <c r="Q37" s="96"/>
      <c r="R37" s="96"/>
      <c r="S37" s="96"/>
      <c r="T37" s="1299"/>
      <c r="U37" s="1307"/>
      <c r="V37" s="300"/>
    </row>
    <row r="38" spans="1:22" s="135" customFormat="1" ht="6.9" customHeight="1">
      <c r="A38" s="1471"/>
      <c r="B38" s="209"/>
      <c r="C38" s="209"/>
      <c r="D38" s="1472"/>
      <c r="E38" s="1315"/>
      <c r="F38" s="1315"/>
      <c r="G38" s="1315"/>
      <c r="H38" s="1315"/>
      <c r="I38" s="1315"/>
      <c r="J38" s="1315"/>
      <c r="K38" s="1315"/>
      <c r="L38" s="1315"/>
      <c r="M38" s="1315"/>
      <c r="N38" s="121"/>
      <c r="O38" s="96"/>
      <c r="P38" s="1579"/>
      <c r="Q38" s="1579"/>
      <c r="R38" s="1579"/>
      <c r="S38" s="96"/>
      <c r="T38" s="1299"/>
      <c r="U38" s="1307"/>
      <c r="V38" s="300"/>
    </row>
    <row r="39" spans="1:22" s="135" customFormat="1" ht="21.9" customHeight="1" thickBot="1">
      <c r="A39" s="1619" t="s">
        <v>1357</v>
      </c>
      <c r="B39" s="1620"/>
      <c r="C39" s="1473" t="s">
        <v>134</v>
      </c>
      <c r="D39" s="1489">
        <f>SUM(D34:D37)</f>
        <v>2144026</v>
      </c>
      <c r="E39" s="1315"/>
      <c r="F39" s="1315"/>
      <c r="G39" s="1315"/>
      <c r="H39" s="1315"/>
      <c r="I39" s="1315"/>
      <c r="J39" s="1315"/>
      <c r="K39" s="1315"/>
      <c r="L39" s="1315"/>
      <c r="M39" s="1315"/>
      <c r="N39" s="117"/>
      <c r="P39" s="117"/>
      <c r="Q39" s="117"/>
      <c r="R39" s="96"/>
      <c r="S39" s="96"/>
      <c r="T39" s="1299"/>
      <c r="U39" s="1307"/>
      <c r="V39" s="300"/>
    </row>
    <row r="40" spans="1:22" s="135" customFormat="1" ht="8.25" customHeight="1" thickTop="1">
      <c r="A40" s="96"/>
      <c r="B40" s="1315"/>
      <c r="C40" s="1315"/>
      <c r="D40" s="1315"/>
      <c r="E40" s="1315"/>
      <c r="F40" s="1315"/>
      <c r="G40" s="1315"/>
      <c r="H40" s="1315"/>
      <c r="I40" s="1315"/>
      <c r="J40" s="1315"/>
      <c r="K40" s="1307"/>
      <c r="L40" s="1315"/>
      <c r="M40" s="1315"/>
      <c r="N40" s="210"/>
      <c r="O40" s="96"/>
      <c r="P40" s="96"/>
      <c r="Q40" s="96"/>
      <c r="R40" s="1299"/>
      <c r="S40" s="1307"/>
      <c r="T40" s="1621"/>
      <c r="U40" s="1621"/>
      <c r="V40" s="308"/>
    </row>
    <row r="41" spans="1:22" s="135" customFormat="1" ht="13.2">
      <c r="A41" s="828" t="s">
        <v>202</v>
      </c>
      <c r="B41" s="1315"/>
      <c r="C41" s="120"/>
      <c r="D41" s="1315"/>
      <c r="E41" s="1315"/>
      <c r="F41" s="1315"/>
      <c r="G41" s="1315"/>
      <c r="H41" s="1315"/>
      <c r="I41" s="1315"/>
      <c r="J41" s="1315"/>
      <c r="K41" s="1315"/>
      <c r="L41" s="1315"/>
      <c r="M41" s="1315"/>
      <c r="N41" s="96"/>
      <c r="O41" s="309"/>
      <c r="P41" s="309"/>
      <c r="Q41" s="309"/>
      <c r="R41" s="96"/>
      <c r="S41" s="96"/>
      <c r="T41" s="96"/>
      <c r="U41" s="96"/>
      <c r="V41" s="308"/>
    </row>
    <row r="42" spans="1:22" s="135" customFormat="1" ht="13.2">
      <c r="A42" s="210" t="s">
        <v>1359</v>
      </c>
      <c r="N42" s="96"/>
      <c r="O42" s="96"/>
      <c r="P42" s="96"/>
      <c r="Q42" s="96"/>
      <c r="R42" s="96"/>
      <c r="S42" s="96"/>
      <c r="T42" s="96"/>
      <c r="U42" s="96"/>
      <c r="V42" s="308"/>
    </row>
    <row r="43" spans="1:22" s="135" customFormat="1" ht="15.6">
      <c r="A43" s="311"/>
      <c r="B43" s="1325"/>
      <c r="C43" s="1325"/>
      <c r="D43" s="1325"/>
      <c r="E43" s="1325"/>
      <c r="F43" s="1325"/>
      <c r="G43" s="1325"/>
      <c r="H43" s="1325"/>
      <c r="I43" s="1325"/>
      <c r="J43" s="1325"/>
      <c r="K43" s="1325"/>
      <c r="L43" s="1325"/>
    </row>
  </sheetData>
  <sheetProtection sheet="1" formatCells="0" formatColumns="0" formatRows="0"/>
  <mergeCells count="16">
    <mergeCell ref="B1:E1"/>
    <mergeCell ref="D2:L2"/>
    <mergeCell ref="J3:K3"/>
    <mergeCell ref="A31:D31"/>
    <mergeCell ref="T31:T32"/>
    <mergeCell ref="A32:B32"/>
    <mergeCell ref="O32:R32"/>
    <mergeCell ref="A37:B37"/>
    <mergeCell ref="P38:R38"/>
    <mergeCell ref="A39:B39"/>
    <mergeCell ref="T40:U40"/>
    <mergeCell ref="A33:B33"/>
    <mergeCell ref="A34:B34"/>
    <mergeCell ref="A35:B35"/>
    <mergeCell ref="O35:R35"/>
    <mergeCell ref="O36:R36"/>
  </mergeCells>
  <conditionalFormatting sqref="K15">
    <cfRule type="containsBlanks" dxfId="22" priority="1">
      <formula>LEN(TRIM(K15))=0</formula>
    </cfRule>
  </conditionalFormatting>
  <conditionalFormatting sqref="L17">
    <cfRule type="expression" dxfId="21" priority="2">
      <formula>ROUND(K16,0)&gt;ROUND(CSFBLBudgFY,0)</formula>
    </cfRule>
  </conditionalFormatting>
  <dataValidations disablePrompts="1" count="2">
    <dataValidation type="whole" operator="lessThanOrEqual" allowBlank="1" showInputMessage="1" showErrorMessage="1" promptTitle="Reductions/Decreases" prompt="Enter reductions/decreases as negative amounts." sqref="U31" xr:uid="{00000000-0002-0000-0300-000000000000}">
      <formula1>0</formula1>
    </dataValidation>
    <dataValidation type="whole" operator="lessThanOrEqual" allowBlank="1" showInputMessage="1" showErrorMessage="1" prompt="This amount must be negative." sqref="U32 U37" xr:uid="{00000000-0002-0000-0300-000001000000}">
      <formula1>0</formula1>
    </dataValidation>
  </dataValidations>
  <hyperlinks>
    <hyperlink ref="C16" location="Page3Line9" display="9." xr:uid="{00000000-0004-0000-0300-000000000000}"/>
    <hyperlink ref="C33" location="Page3Line12" display="12." xr:uid="{00000000-0004-0000-0300-000001000000}"/>
    <hyperlink ref="C35" location="Page3Line14" display="14." xr:uid="{00000000-0004-0000-0300-000002000000}"/>
    <hyperlink ref="C37" location="Page3Line16" display="16." xr:uid="{00000000-0004-0000-0300-000003000000}"/>
    <hyperlink ref="C9" location="Page3Line4" display="4." xr:uid="{00000000-0004-0000-0300-000004000000}"/>
    <hyperlink ref="C36" location="Page3Line15" display="15." xr:uid="{00000000-0004-0000-0300-000005000000}"/>
    <hyperlink ref="C15" location="PlannedCarryforward" display="9." xr:uid="{00000000-0004-0000-0300-000006000000}"/>
    <hyperlink ref="C14" location="Page3l9" display="9." xr:uid="{00000000-0004-0000-0300-000007000000}"/>
  </hyperlinks>
  <printOptions horizontalCentered="1"/>
  <pageMargins left="0.25" right="0.25" top="0.25" bottom="0.25" header="0" footer="0.15"/>
  <pageSetup paperSize="5" scale="86"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3"/>
  <sheetViews>
    <sheetView showGridLines="0" tabSelected="1" topLeftCell="A8" workbookViewId="0">
      <selection activeCell="W6" sqref="W6"/>
    </sheetView>
  </sheetViews>
  <sheetFormatPr defaultColWidth="8.90625" defaultRowHeight="15"/>
  <cols>
    <col min="1" max="1" width="25.6328125" customWidth="1"/>
    <col min="2" max="2" width="12.08984375" customWidth="1"/>
    <col min="3" max="3" width="3" customWidth="1"/>
    <col min="4" max="9" width="10.90625" customWidth="1"/>
    <col min="10" max="11" width="12.90625" customWidth="1"/>
    <col min="12" max="14" width="10.90625" customWidth="1"/>
    <col min="15" max="15" width="3.453125" style="295" customWidth="1"/>
    <col min="16" max="16" width="3" customWidth="1"/>
    <col min="17" max="18" width="8.90625" customWidth="1"/>
  </cols>
  <sheetData>
    <row r="1" spans="1:16">
      <c r="A1" s="1298" t="s">
        <v>59</v>
      </c>
      <c r="B1" s="1601" t="str">
        <f>DistrictName</f>
        <v>Murphy Elementary School District #21</v>
      </c>
      <c r="C1" s="1625"/>
      <c r="D1" s="1625"/>
      <c r="E1" s="1625"/>
      <c r="F1" s="312"/>
      <c r="G1" s="1298" t="s">
        <v>1</v>
      </c>
      <c r="H1" s="276" t="str">
        <f>Cover!H1</f>
        <v>Maricopa</v>
      </c>
      <c r="K1" s="230" t="s">
        <v>60</v>
      </c>
      <c r="L1" s="98" t="str">
        <f>Cover!S1</f>
        <v>070421000</v>
      </c>
      <c r="M1" s="1298" t="s">
        <v>16</v>
      </c>
      <c r="N1" s="313" t="str">
        <f>Cover!C8</f>
        <v>Proposed</v>
      </c>
      <c r="O1" s="149"/>
      <c r="P1" s="149"/>
    </row>
    <row r="2" spans="1:16">
      <c r="A2" s="1333"/>
      <c r="B2" s="139"/>
      <c r="C2" s="139"/>
      <c r="D2" s="139"/>
      <c r="E2" s="139"/>
      <c r="F2" s="139"/>
      <c r="G2" s="139"/>
      <c r="H2" s="1333"/>
      <c r="I2" s="139"/>
      <c r="J2" s="139"/>
      <c r="K2" s="139"/>
      <c r="L2" s="139"/>
      <c r="M2" s="1333"/>
      <c r="N2" s="139"/>
      <c r="O2" s="1319"/>
      <c r="P2" s="139"/>
    </row>
    <row r="3" spans="1:16" ht="15.6">
      <c r="A3" s="314" t="s">
        <v>203</v>
      </c>
      <c r="B3" s="315"/>
      <c r="C3" s="97"/>
      <c r="D3" s="1644" t="s">
        <v>204</v>
      </c>
      <c r="E3" s="1644"/>
      <c r="F3" s="1644"/>
      <c r="G3" s="1644"/>
      <c r="H3" s="1644"/>
      <c r="I3" s="1644"/>
      <c r="J3" s="1644"/>
      <c r="K3" s="1644"/>
      <c r="L3" s="1644"/>
      <c r="M3" s="1644"/>
      <c r="N3" s="158"/>
      <c r="O3" s="159"/>
      <c r="P3" s="97"/>
    </row>
    <row r="4" spans="1:16" ht="24.6">
      <c r="A4" s="160"/>
      <c r="B4" s="99"/>
      <c r="C4" s="99"/>
      <c r="D4" s="1635" t="s">
        <v>205</v>
      </c>
      <c r="E4" s="1146" t="s">
        <v>206</v>
      </c>
      <c r="F4" s="1637" t="s">
        <v>207</v>
      </c>
      <c r="G4" s="1637" t="s">
        <v>208</v>
      </c>
      <c r="H4" s="1637" t="s">
        <v>209</v>
      </c>
      <c r="I4" s="1637" t="s">
        <v>210</v>
      </c>
      <c r="J4" s="316"/>
      <c r="K4" s="317" t="s">
        <v>86</v>
      </c>
      <c r="L4" s="318"/>
      <c r="M4" s="319"/>
      <c r="N4" s="159"/>
      <c r="O4"/>
    </row>
    <row r="5" spans="1:16" ht="12" customHeight="1">
      <c r="A5" s="102"/>
      <c r="B5" s="96"/>
      <c r="C5" s="96"/>
      <c r="D5" s="1636"/>
      <c r="E5" s="1147" t="s">
        <v>211</v>
      </c>
      <c r="F5" s="1639"/>
      <c r="G5" s="1638"/>
      <c r="H5" s="1639"/>
      <c r="I5" s="1639"/>
      <c r="J5" s="1148" t="s">
        <v>212</v>
      </c>
      <c r="K5" s="3" t="s">
        <v>93</v>
      </c>
      <c r="L5" s="162" t="s">
        <v>94</v>
      </c>
      <c r="M5" s="162" t="s">
        <v>95</v>
      </c>
      <c r="N5" s="159"/>
      <c r="O5"/>
    </row>
    <row r="6" spans="1:16" ht="12" customHeight="1">
      <c r="A6" s="1328" t="s">
        <v>96</v>
      </c>
      <c r="B6" s="97"/>
      <c r="C6" s="96"/>
      <c r="D6" s="1636"/>
      <c r="E6" s="1147" t="s">
        <v>213</v>
      </c>
      <c r="F6" s="1639"/>
      <c r="G6" s="1638"/>
      <c r="H6" s="1639"/>
      <c r="I6" s="1639"/>
      <c r="J6" s="1148" t="s">
        <v>214</v>
      </c>
      <c r="K6" s="3" t="s">
        <v>3</v>
      </c>
      <c r="L6" s="162" t="s">
        <v>3</v>
      </c>
      <c r="M6" s="162" t="s">
        <v>98</v>
      </c>
      <c r="N6" s="159"/>
      <c r="O6"/>
    </row>
    <row r="7" spans="1:16" ht="24.6">
      <c r="A7" s="168"/>
      <c r="B7" s="169"/>
      <c r="C7" s="170"/>
      <c r="D7" s="171">
        <v>6440</v>
      </c>
      <c r="E7" s="171" t="s">
        <v>215</v>
      </c>
      <c r="F7" s="3">
        <v>6655</v>
      </c>
      <c r="G7" s="171">
        <v>6700</v>
      </c>
      <c r="H7" s="171" t="s">
        <v>216</v>
      </c>
      <c r="I7" s="320" t="s">
        <v>217</v>
      </c>
      <c r="J7" s="321" t="s">
        <v>218</v>
      </c>
      <c r="K7" s="172">
        <f>PriorFiscalYear</f>
        <v>2025</v>
      </c>
      <c r="L7" s="162">
        <f>Cover!E3</f>
        <v>2026</v>
      </c>
      <c r="M7" s="171" t="s">
        <v>103</v>
      </c>
      <c r="N7" s="159"/>
      <c r="O7"/>
    </row>
    <row r="8" spans="1:16" ht="13.5" customHeight="1">
      <c r="A8" s="322" t="s">
        <v>219</v>
      </c>
      <c r="B8" s="323"/>
      <c r="C8" s="324" t="s">
        <v>6</v>
      </c>
      <c r="D8" s="4"/>
      <c r="E8" s="4">
        <v>200000</v>
      </c>
      <c r="F8" s="4">
        <v>10000</v>
      </c>
      <c r="G8" s="4">
        <v>290000</v>
      </c>
      <c r="H8" s="4"/>
      <c r="I8" s="4"/>
      <c r="J8" s="4"/>
      <c r="K8" s="1116">
        <f>[1]!F610Override</f>
        <v>500000</v>
      </c>
      <c r="L8" s="1124">
        <f>SUM(D8:J8)</f>
        <v>500000</v>
      </c>
      <c r="M8" s="1119">
        <f>IF(K8=L8,0,IF(K8&gt;0,(L8-K8)/K8,""))</f>
        <v>0</v>
      </c>
      <c r="N8" s="327" t="s">
        <v>6</v>
      </c>
      <c r="O8"/>
    </row>
    <row r="9" spans="1:16" ht="12" customHeight="1">
      <c r="A9" s="328" t="s">
        <v>220</v>
      </c>
      <c r="B9" s="1329"/>
      <c r="C9" s="329"/>
      <c r="D9" s="330"/>
      <c r="E9" s="330"/>
      <c r="F9" s="1112"/>
      <c r="G9" s="331"/>
      <c r="H9" s="1112"/>
      <c r="I9" s="1113"/>
      <c r="J9" s="1116"/>
      <c r="K9" s="1123"/>
      <c r="L9" s="1123"/>
      <c r="M9" s="1123"/>
      <c r="N9" s="1352"/>
      <c r="O9"/>
    </row>
    <row r="10" spans="1:16" ht="12" customHeight="1">
      <c r="A10" s="102" t="s">
        <v>221</v>
      </c>
      <c r="B10" s="96"/>
      <c r="C10" s="333" t="s">
        <v>8</v>
      </c>
      <c r="D10" s="36"/>
      <c r="E10" s="36">
        <v>50000</v>
      </c>
      <c r="F10" s="1114"/>
      <c r="G10" s="37">
        <v>150000</v>
      </c>
      <c r="H10" s="1114"/>
      <c r="I10" s="1115"/>
      <c r="J10" s="1117"/>
      <c r="K10" s="1193">
        <f>[1]!F610F1000</f>
        <v>419396</v>
      </c>
      <c r="L10" s="1193">
        <f>SUM(D10:J10)</f>
        <v>200000</v>
      </c>
      <c r="M10" s="1194">
        <f>IF(K10=L10,0,IF(K10&gt;0,(L10-K10)/K10,""))</f>
        <v>-0.52300000000000002</v>
      </c>
      <c r="N10" s="1118" t="s">
        <v>8</v>
      </c>
      <c r="O10"/>
    </row>
    <row r="11" spans="1:16" ht="12" customHeight="1">
      <c r="A11" s="102" t="s">
        <v>222</v>
      </c>
      <c r="B11" s="96"/>
      <c r="D11" s="330"/>
      <c r="E11" s="330"/>
      <c r="F11" s="334"/>
      <c r="G11" s="335"/>
      <c r="H11" s="1112"/>
      <c r="I11" s="1113"/>
      <c r="J11" s="1116"/>
      <c r="K11" s="1123"/>
      <c r="L11" s="1123"/>
      <c r="M11" s="1123"/>
      <c r="N11" s="312"/>
      <c r="O11"/>
    </row>
    <row r="12" spans="1:16" ht="12" customHeight="1">
      <c r="A12" s="102" t="s">
        <v>223</v>
      </c>
      <c r="B12" s="96"/>
      <c r="C12" s="333" t="s">
        <v>22</v>
      </c>
      <c r="D12" s="11"/>
      <c r="E12" s="11"/>
      <c r="F12" s="87">
        <v>35000</v>
      </c>
      <c r="G12" s="38">
        <v>150000</v>
      </c>
      <c r="H12" s="1114"/>
      <c r="I12" s="1115"/>
      <c r="J12" s="1117"/>
      <c r="K12" s="1193">
        <f>[1]!F610F21002200</f>
        <v>235000</v>
      </c>
      <c r="L12" s="1193">
        <f>SUM(D12:J12)</f>
        <v>185000</v>
      </c>
      <c r="M12" s="1194">
        <f>IF(K12=L12,0,IF(K12&gt;0,(L12-K12)/K12,""))</f>
        <v>-0.21299999999999999</v>
      </c>
      <c r="N12" s="1118" t="s">
        <v>22</v>
      </c>
      <c r="O12"/>
    </row>
    <row r="13" spans="1:16" ht="12" customHeight="1">
      <c r="A13" s="102" t="s">
        <v>224</v>
      </c>
      <c r="B13" s="96"/>
      <c r="C13" s="333" t="s">
        <v>42</v>
      </c>
      <c r="D13" s="4"/>
      <c r="E13" s="337"/>
      <c r="F13" s="87">
        <v>30000</v>
      </c>
      <c r="G13" s="4">
        <v>243960</v>
      </c>
      <c r="H13" s="337"/>
      <c r="I13" s="4"/>
      <c r="J13" s="4"/>
      <c r="K13" s="1120">
        <f>[1]!F610F2300240025002900</f>
        <v>240000</v>
      </c>
      <c r="L13" s="1121">
        <f t="shared" ref="L13:L18" si="0">SUM(D13:J13)</f>
        <v>273960</v>
      </c>
      <c r="M13" s="1122">
        <f t="shared" ref="M13:M18" si="1">IF(K13=L13,0,IF(K13&gt;0,(L13-K13)/K13,""))</f>
        <v>0.14199999999999999</v>
      </c>
      <c r="N13" s="327" t="s">
        <v>42</v>
      </c>
      <c r="O13"/>
    </row>
    <row r="14" spans="1:16" ht="12" customHeight="1">
      <c r="A14" s="102" t="s">
        <v>225</v>
      </c>
      <c r="B14" s="96"/>
      <c r="C14" s="333" t="s">
        <v>111</v>
      </c>
      <c r="D14" s="4"/>
      <c r="E14" s="337"/>
      <c r="F14" s="87"/>
      <c r="G14" s="4">
        <v>150000</v>
      </c>
      <c r="H14" s="337"/>
      <c r="I14" s="337"/>
      <c r="J14" s="4"/>
      <c r="K14" s="325">
        <f>[1]!F610F2600</f>
        <v>365856</v>
      </c>
      <c r="L14" s="326">
        <f t="shared" si="0"/>
        <v>150000</v>
      </c>
      <c r="M14" s="196">
        <f t="shared" si="1"/>
        <v>-0.59</v>
      </c>
      <c r="N14" s="327" t="s">
        <v>111</v>
      </c>
      <c r="O14"/>
    </row>
    <row r="15" spans="1:16" ht="12" customHeight="1">
      <c r="A15" s="102" t="s">
        <v>226</v>
      </c>
      <c r="B15" s="96"/>
      <c r="C15" s="333" t="s">
        <v>113</v>
      </c>
      <c r="D15" s="4"/>
      <c r="E15" s="337"/>
      <c r="F15" s="87"/>
      <c r="G15" s="4">
        <v>370000</v>
      </c>
      <c r="H15" s="337"/>
      <c r="I15" s="337"/>
      <c r="J15" s="4"/>
      <c r="K15" s="338">
        <f>[1]!F610F2700</f>
        <v>360660</v>
      </c>
      <c r="L15" s="326">
        <f t="shared" si="0"/>
        <v>370000</v>
      </c>
      <c r="M15" s="196">
        <f t="shared" si="1"/>
        <v>2.5999999999999999E-2</v>
      </c>
      <c r="N15" s="327" t="s">
        <v>113</v>
      </c>
      <c r="O15"/>
    </row>
    <row r="16" spans="1:16" ht="12" customHeight="1">
      <c r="A16" s="102" t="s">
        <v>227</v>
      </c>
      <c r="B16" s="96"/>
      <c r="C16" s="333" t="s">
        <v>115</v>
      </c>
      <c r="D16" s="4"/>
      <c r="E16" s="337"/>
      <c r="F16" s="87"/>
      <c r="G16" s="4"/>
      <c r="H16" s="337"/>
      <c r="I16" s="337"/>
      <c r="J16" s="4"/>
      <c r="K16" s="338">
        <f>[1]!F610F3000</f>
        <v>322000</v>
      </c>
      <c r="L16" s="326">
        <f t="shared" si="0"/>
        <v>0</v>
      </c>
      <c r="M16" s="196">
        <f t="shared" si="1"/>
        <v>-1</v>
      </c>
      <c r="N16" s="327" t="s">
        <v>115</v>
      </c>
      <c r="O16"/>
    </row>
    <row r="17" spans="1:16" ht="12" customHeight="1">
      <c r="A17" s="102" t="s">
        <v>228</v>
      </c>
      <c r="B17" s="96"/>
      <c r="C17" s="333" t="s">
        <v>117</v>
      </c>
      <c r="D17" s="4"/>
      <c r="E17" s="337"/>
      <c r="F17" s="87"/>
      <c r="G17" s="4">
        <v>100000</v>
      </c>
      <c r="H17" s="337"/>
      <c r="I17" s="337"/>
      <c r="J17" s="4"/>
      <c r="K17" s="338">
        <f>[1]!F610F4000</f>
        <v>350000</v>
      </c>
      <c r="L17" s="326">
        <f t="shared" si="0"/>
        <v>100000</v>
      </c>
      <c r="M17" s="196">
        <f t="shared" si="1"/>
        <v>-0.71399999999999997</v>
      </c>
      <c r="N17" s="327" t="s">
        <v>117</v>
      </c>
      <c r="O17"/>
    </row>
    <row r="18" spans="1:16" ht="12" customHeight="1">
      <c r="A18" s="102" t="s">
        <v>229</v>
      </c>
      <c r="B18" s="209"/>
      <c r="C18" s="183" t="s">
        <v>119</v>
      </c>
      <c r="D18" s="1359"/>
      <c r="E18" s="1359"/>
      <c r="F18" s="1359"/>
      <c r="G18" s="1359"/>
      <c r="H18" s="1360"/>
      <c r="I18" s="1360"/>
      <c r="J18" s="1359"/>
      <c r="K18" s="1361">
        <f>[1]!F610F5000</f>
        <v>0</v>
      </c>
      <c r="L18" s="326">
        <f t="shared" si="0"/>
        <v>0</v>
      </c>
      <c r="M18" s="196">
        <f t="shared" si="1"/>
        <v>0</v>
      </c>
      <c r="N18" s="327" t="s">
        <v>119</v>
      </c>
      <c r="O18"/>
    </row>
    <row r="19" spans="1:16" ht="12" customHeight="1">
      <c r="A19" s="1494" t="s">
        <v>1323</v>
      </c>
      <c r="B19" s="1492"/>
      <c r="C19" s="1503" t="s">
        <v>121</v>
      </c>
      <c r="D19" s="1124">
        <f t="shared" ref="D19:L19" si="2">D10+SUM(D12:D18)</f>
        <v>0</v>
      </c>
      <c r="E19" s="1124">
        <f t="shared" si="2"/>
        <v>50000</v>
      </c>
      <c r="F19" s="1124">
        <f t="shared" si="2"/>
        <v>65000</v>
      </c>
      <c r="G19" s="1124">
        <f t="shared" si="2"/>
        <v>1163960</v>
      </c>
      <c r="H19" s="1124">
        <f t="shared" si="2"/>
        <v>0</v>
      </c>
      <c r="I19" s="1124">
        <f t="shared" si="2"/>
        <v>0</v>
      </c>
      <c r="J19" s="1124">
        <f t="shared" si="2"/>
        <v>0</v>
      </c>
      <c r="K19" s="1124">
        <f t="shared" si="2"/>
        <v>2292912</v>
      </c>
      <c r="L19" s="1124">
        <f t="shared" si="2"/>
        <v>1278960</v>
      </c>
      <c r="M19" s="1362">
        <f>IF(K19=L19,0,IF(K19&gt;0,(L19-K19)/K19,""))</f>
        <v>-0.442</v>
      </c>
      <c r="N19" s="327" t="s">
        <v>121</v>
      </c>
      <c r="O19"/>
    </row>
    <row r="20" spans="1:16" ht="12" customHeight="1">
      <c r="A20" s="1494" t="s">
        <v>1318</v>
      </c>
      <c r="B20" s="1492"/>
      <c r="C20" s="1502" t="s">
        <v>123</v>
      </c>
      <c r="D20" s="1359"/>
      <c r="E20" s="1359"/>
      <c r="F20" s="1359"/>
      <c r="G20" s="1359"/>
      <c r="H20" s="1359"/>
      <c r="I20" s="1359"/>
      <c r="J20" s="1359"/>
      <c r="K20" s="1359"/>
      <c r="L20" s="1517">
        <v>326392</v>
      </c>
      <c r="M20" s="1359"/>
      <c r="N20" s="327" t="s">
        <v>123</v>
      </c>
      <c r="O20"/>
    </row>
    <row r="21" spans="1:16" ht="24" customHeight="1">
      <c r="A21" s="1634" t="s">
        <v>1321</v>
      </c>
      <c r="B21" s="1620"/>
      <c r="C21" s="1519" t="s">
        <v>125</v>
      </c>
      <c r="D21" s="1495">
        <f>D19</f>
        <v>0</v>
      </c>
      <c r="E21" s="1495">
        <f t="shared" ref="E21:K21" si="3">E19</f>
        <v>50000</v>
      </c>
      <c r="F21" s="1495">
        <f t="shared" si="3"/>
        <v>65000</v>
      </c>
      <c r="G21" s="1495">
        <f t="shared" si="3"/>
        <v>1163960</v>
      </c>
      <c r="H21" s="1495">
        <f t="shared" si="3"/>
        <v>0</v>
      </c>
      <c r="I21" s="1495">
        <f t="shared" si="3"/>
        <v>0</v>
      </c>
      <c r="J21" s="1495">
        <f t="shared" si="3"/>
        <v>0</v>
      </c>
      <c r="K21" s="1495">
        <f t="shared" si="3"/>
        <v>2292912</v>
      </c>
      <c r="L21" s="1495">
        <f>F610TotalBudgFY+F610Carryforward</f>
        <v>1605352</v>
      </c>
      <c r="M21" s="1362">
        <f>IF(K21=L21,0,IF(K21&gt;0,(L21-K21)/K21,""))</f>
        <v>-0.3</v>
      </c>
      <c r="N21" s="327" t="s">
        <v>125</v>
      </c>
    </row>
    <row r="22" spans="1:16" ht="12" customHeight="1">
      <c r="A22" s="96"/>
      <c r="B22" s="96"/>
      <c r="C22" s="340"/>
      <c r="D22" s="1307"/>
      <c r="F22" s="1645" t="str">
        <f>IF(ROUND('Page 4'!L21,0)&lt;ROUND('Page 8'!K32,0),CONCATENATE("The district has budgeted an amount in the UCO Fund which is less than the Unrestricted Capital Budget Limit as calculated on Page 8 of 8 by ",TEXT('Page 8'!K32-'Page 4'!L21,"$#,###"),"."),IF(ROUND('Page 4'!L21,0)&gt;ROUND('Page 8'!K32,0),CONCATENATE("The district has budgeted greater in the UCO Fund than the Unrestricted Capital Budget Limit as calculated on Page 8 of 8 by ",TEXT(-'Page 8'!K32+'Page 4'!L21,"$#,###"),"."),IF(ROUND('Page 4'!L21,0)=ROUND('Page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2" s="1645"/>
      <c r="H22" s="1645"/>
      <c r="I22" s="1645"/>
      <c r="J22" s="1645"/>
      <c r="K22" s="1645"/>
      <c r="L22" s="1645"/>
      <c r="M22" s="1645"/>
      <c r="N22" s="1336"/>
      <c r="O22" s="1336"/>
      <c r="P22" s="1336"/>
    </row>
    <row r="23" spans="1:16" ht="12" customHeight="1">
      <c r="O23" s="185"/>
      <c r="P23" s="333"/>
    </row>
    <row r="24" spans="1:16" ht="11.25" customHeight="1">
      <c r="A24" s="1642" t="s">
        <v>1408</v>
      </c>
      <c r="B24" s="1643"/>
      <c r="C24" s="1643"/>
      <c r="D24" s="1643"/>
      <c r="E24" s="181" t="s">
        <v>230</v>
      </c>
      <c r="F24" s="120" t="s">
        <v>231</v>
      </c>
      <c r="G24" s="120"/>
      <c r="H24" s="120"/>
      <c r="I24" s="120"/>
      <c r="J24" s="120"/>
      <c r="K24" s="1327"/>
      <c r="L24" s="1380"/>
    </row>
    <row r="25" spans="1:16" ht="11.25" customHeight="1">
      <c r="A25" s="1643"/>
      <c r="B25" s="1643"/>
      <c r="C25" s="1643"/>
      <c r="D25" s="1643"/>
      <c r="G25" s="1325"/>
      <c r="H25" s="1325"/>
      <c r="I25" s="1325"/>
      <c r="J25" s="1325"/>
      <c r="K25" s="1325"/>
      <c r="L25" s="3"/>
    </row>
    <row r="26" spans="1:16" ht="12.75" customHeight="1">
      <c r="A26" s="1643"/>
      <c r="B26" s="1643"/>
      <c r="C26" s="1643"/>
      <c r="D26" s="1643"/>
      <c r="F26" s="96" t="s">
        <v>232</v>
      </c>
      <c r="G26" s="96"/>
      <c r="H26" s="96"/>
      <c r="I26" s="96"/>
      <c r="J26" s="96"/>
      <c r="L26" s="96"/>
      <c r="M26" s="96"/>
      <c r="N26" s="96"/>
    </row>
    <row r="27" spans="1:16" ht="12" customHeight="1">
      <c r="A27" s="1325"/>
      <c r="B27" s="1325"/>
      <c r="C27" s="1325"/>
      <c r="D27" s="1325"/>
      <c r="F27" s="96" t="s">
        <v>233</v>
      </c>
      <c r="G27" s="96"/>
      <c r="H27" s="96"/>
      <c r="I27" s="96"/>
      <c r="J27" s="96"/>
      <c r="K27" s="27"/>
      <c r="M27" s="96"/>
      <c r="N27" s="341"/>
    </row>
    <row r="28" spans="1:16" ht="11.25" customHeight="1">
      <c r="A28" s="96" t="s">
        <v>1409</v>
      </c>
      <c r="B28" s="96"/>
      <c r="C28" s="96"/>
      <c r="D28" s="96"/>
      <c r="E28" s="96"/>
      <c r="G28" s="96"/>
      <c r="H28" s="96"/>
      <c r="I28" s="96"/>
      <c r="J28" s="96"/>
      <c r="K28" s="96"/>
      <c r="L28" s="1315"/>
      <c r="M28" s="1315"/>
      <c r="N28" s="1315"/>
    </row>
    <row r="29" spans="1:16" ht="11.25" customHeight="1">
      <c r="A29" s="96"/>
      <c r="B29" s="1640" t="s">
        <v>234</v>
      </c>
      <c r="C29" s="96"/>
      <c r="D29" s="1640"/>
      <c r="G29" s="1336"/>
      <c r="H29" s="1336"/>
      <c r="I29" s="1336"/>
      <c r="J29" s="1336"/>
      <c r="K29" s="1336"/>
      <c r="L29" s="96"/>
    </row>
    <row r="30" spans="1:16" ht="11.25" customHeight="1">
      <c r="A30" s="96"/>
      <c r="B30" s="1641"/>
      <c r="C30" s="96"/>
      <c r="D30" s="1640"/>
      <c r="H30" s="1336"/>
      <c r="I30" s="1336"/>
      <c r="J30" s="1336"/>
      <c r="K30" s="1336"/>
    </row>
    <row r="31" spans="1:16" ht="11.25" customHeight="1">
      <c r="A31" s="96" t="s">
        <v>235</v>
      </c>
      <c r="B31" s="26">
        <v>25000</v>
      </c>
      <c r="C31" s="176"/>
      <c r="D31" s="1301"/>
      <c r="E31" s="181" t="s">
        <v>236</v>
      </c>
      <c r="F31" s="1633" t="s">
        <v>237</v>
      </c>
      <c r="G31" s="1633"/>
      <c r="H31" s="1633"/>
      <c r="I31" s="1633"/>
      <c r="J31" s="1633"/>
      <c r="K31" s="1336"/>
      <c r="L31" s="342"/>
      <c r="M31" s="1336"/>
      <c r="N31" s="1336"/>
      <c r="O31" s="101"/>
    </row>
    <row r="32" spans="1:16" ht="11.25" customHeight="1">
      <c r="A32" s="96" t="s">
        <v>238</v>
      </c>
      <c r="B32" s="17">
        <v>93960</v>
      </c>
      <c r="C32" s="176"/>
      <c r="D32" s="1301"/>
      <c r="F32" s="1633"/>
      <c r="G32" s="1633"/>
      <c r="H32" s="1633"/>
      <c r="I32" s="1633"/>
      <c r="J32" s="1633"/>
      <c r="K32" s="27"/>
      <c r="M32" s="1336"/>
      <c r="N32" s="1336"/>
    </row>
    <row r="33" spans="1:16" ht="11.25" customHeight="1">
      <c r="A33" s="96" t="s">
        <v>239</v>
      </c>
      <c r="B33" s="17">
        <v>125000</v>
      </c>
      <c r="C33" s="176"/>
      <c r="D33" s="1301"/>
      <c r="G33" s="1336"/>
      <c r="H33" s="1336"/>
      <c r="I33" s="1336"/>
      <c r="J33" s="1336"/>
      <c r="K33" s="1336"/>
      <c r="L33" s="1336"/>
      <c r="M33" s="1336"/>
      <c r="N33" s="1336"/>
    </row>
    <row r="34" spans="1:16" ht="11.25" customHeight="1">
      <c r="A34" s="96" t="s">
        <v>240</v>
      </c>
      <c r="B34" s="23">
        <v>350000</v>
      </c>
      <c r="C34" s="176"/>
      <c r="D34" s="1301"/>
      <c r="G34" s="344"/>
      <c r="H34" s="344"/>
      <c r="I34" s="344"/>
      <c r="J34" s="344"/>
      <c r="K34" s="344"/>
      <c r="L34" s="345"/>
      <c r="M34" s="1336"/>
      <c r="N34" s="1336"/>
    </row>
    <row r="35" spans="1:16" ht="12" customHeight="1">
      <c r="A35" s="96" t="s">
        <v>241</v>
      </c>
      <c r="B35" s="17">
        <v>370000</v>
      </c>
      <c r="C35" s="176"/>
      <c r="D35" s="1301"/>
      <c r="E35" s="96"/>
      <c r="G35" s="344"/>
      <c r="H35" s="344"/>
      <c r="I35" s="344"/>
      <c r="J35" s="344"/>
      <c r="K35" s="344"/>
      <c r="M35" s="1336"/>
      <c r="N35" s="1336"/>
    </row>
    <row r="36" spans="1:16" s="348" customFormat="1" ht="10.5" customHeight="1">
      <c r="A36" s="96" t="s">
        <v>242</v>
      </c>
      <c r="B36" s="1501">
        <v>641392</v>
      </c>
      <c r="C36" s="346"/>
      <c r="D36" s="347"/>
      <c r="E36" s="1338"/>
      <c r="F36"/>
      <c r="G36" s="346"/>
      <c r="H36" s="1338"/>
      <c r="I36" s="1338"/>
      <c r="J36" s="1338"/>
      <c r="K36" s="1338"/>
      <c r="L36" s="1338"/>
    </row>
    <row r="37" spans="1:16" ht="10.5" customHeight="1">
      <c r="A37" s="96"/>
      <c r="B37" s="96"/>
      <c r="C37" s="176"/>
      <c r="D37" s="96"/>
      <c r="E37" s="96"/>
      <c r="G37" s="178"/>
      <c r="H37" s="96"/>
      <c r="I37" s="96"/>
      <c r="J37" s="96"/>
      <c r="K37" s="96"/>
      <c r="L37" s="96"/>
    </row>
    <row r="38" spans="1:16" ht="11.25" customHeight="1">
      <c r="A38" s="96" t="s">
        <v>243</v>
      </c>
      <c r="B38" s="96"/>
      <c r="C38" s="178"/>
      <c r="D38" s="32"/>
      <c r="E38" s="96" t="s">
        <v>244</v>
      </c>
      <c r="G38" s="32"/>
      <c r="H38" s="96" t="s">
        <v>245</v>
      </c>
      <c r="I38" s="96"/>
      <c r="J38" s="32"/>
      <c r="K38" t="s">
        <v>46</v>
      </c>
    </row>
    <row r="39" spans="1:16" ht="6" customHeight="1">
      <c r="A39" s="96"/>
      <c r="B39" s="96"/>
      <c r="C39" s="176"/>
      <c r="D39" s="96"/>
      <c r="E39" s="96"/>
      <c r="G39" s="96"/>
      <c r="H39" s="96"/>
      <c r="I39" s="96"/>
      <c r="J39" s="349"/>
    </row>
    <row r="40" spans="1:16" ht="11.25" customHeight="1">
      <c r="A40" s="96" t="s">
        <v>246</v>
      </c>
      <c r="B40" s="96"/>
      <c r="C40" s="178"/>
      <c r="D40" s="32"/>
      <c r="E40" s="96" t="s">
        <v>247</v>
      </c>
      <c r="G40" s="32"/>
      <c r="H40" s="96" t="s">
        <v>248</v>
      </c>
      <c r="I40" s="96"/>
      <c r="J40" s="32"/>
      <c r="K40" t="s">
        <v>46</v>
      </c>
    </row>
    <row r="41" spans="1:16" ht="11.25" customHeight="1">
      <c r="A41" s="96"/>
      <c r="B41" s="96"/>
      <c r="C41" s="176"/>
      <c r="G41" s="178"/>
    </row>
    <row r="42" spans="1:16" ht="11.25" customHeight="1">
      <c r="A42" s="96"/>
      <c r="B42" s="96"/>
      <c r="C42" s="176"/>
      <c r="G42" s="178"/>
    </row>
    <row r="43" spans="1:16" ht="11.25" customHeight="1">
      <c r="A43" s="96"/>
      <c r="B43" s="96"/>
      <c r="C43" s="176"/>
      <c r="G43" s="178"/>
      <c r="P43" s="333"/>
    </row>
  </sheetData>
  <sheetProtection sheet="1" formatCells="0" formatColumns="0" formatRows="0"/>
  <mergeCells count="13">
    <mergeCell ref="F31:J32"/>
    <mergeCell ref="A21:B21"/>
    <mergeCell ref="B1:E1"/>
    <mergeCell ref="D4:D6"/>
    <mergeCell ref="G4:G6"/>
    <mergeCell ref="H4:H6"/>
    <mergeCell ref="B29:B30"/>
    <mergeCell ref="D29:D30"/>
    <mergeCell ref="A24:D26"/>
    <mergeCell ref="I4:I6"/>
    <mergeCell ref="D3:M3"/>
    <mergeCell ref="F4:F6"/>
    <mergeCell ref="F22:M22"/>
  </mergeCells>
  <conditionalFormatting sqref="L20">
    <cfRule type="containsBlanks" dxfId="19" priority="1">
      <formula>LEN(TRIM(L20))=0</formula>
    </cfRule>
  </conditionalFormatting>
  <hyperlinks>
    <hyperlink ref="E24" location="Page4f5" display="(5)" xr:uid="{00000000-0004-0000-0400-000000000000}"/>
    <hyperlink ref="C19" location="Page4L11" display="11." xr:uid="{00000000-0004-0000-0400-000001000000}"/>
    <hyperlink ref="E31" location="DataEntryUSCSCAl7" display="(7)" xr:uid="{00000000-0004-0000-0400-000002000000}"/>
    <hyperlink ref="C20" location="PlannedCarryforward" display="10." xr:uid="{00000000-0004-0000-0400-000003000000}"/>
    <hyperlink ref="C21" location="Page4L12" display="12." xr:uid="{00000000-0004-0000-0400-000004000000}"/>
  </hyperlinks>
  <printOptions horizontalCentered="1"/>
  <pageMargins left="0.25" right="0.25" top="0.25" bottom="0.25" header="0" footer="0.15"/>
  <pageSetup paperSize="5" scale="87" orientation="landscape" r:id="rId1"/>
  <headerFooter alignWithMargins="0">
    <oddFooter>&amp;L&amp;"Times New Roman,Bold"&amp;9Rev. 5/25&amp;K000000 Arizona Department of Education and Auditor General&amp;C&amp;"Times New Roman,Regular"&amp;9&amp;D  &amp;T</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8" id="{00000000-000E-0000-0400-000012000000}">
            <xm:f>ROUND(L21,0)&gt;ROUND('Page 8'!K32,0)</xm:f>
            <x14:dxf>
              <font>
                <color rgb="FFFF0000"/>
              </font>
            </x14:dxf>
          </x14:cfRule>
          <xm:sqref>F22:M22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1"/>
  <sheetViews>
    <sheetView showGridLines="0" tabSelected="1" topLeftCell="A6" workbookViewId="0">
      <selection activeCell="W6" sqref="W6"/>
    </sheetView>
  </sheetViews>
  <sheetFormatPr defaultColWidth="8.90625" defaultRowHeight="15"/>
  <cols>
    <col min="1" max="1" width="20" customWidth="1"/>
    <col min="2" max="2" width="19.90625" customWidth="1"/>
    <col min="3" max="3" width="3" customWidth="1"/>
    <col min="4" max="5" width="10.90625" customWidth="1"/>
    <col min="12" max="12" width="2.90625" customWidth="1"/>
    <col min="13" max="13" width="7.54296875" customWidth="1"/>
    <col min="14" max="14" width="11.90625" customWidth="1"/>
  </cols>
  <sheetData>
    <row r="1" spans="1:15">
      <c r="A1" s="1298" t="s">
        <v>184</v>
      </c>
      <c r="B1" s="1601" t="str">
        <f>DistrictName</f>
        <v>Murphy Elementary School District #21</v>
      </c>
      <c r="C1" s="1611"/>
      <c r="D1" s="1611"/>
      <c r="E1" s="1611"/>
      <c r="F1" s="139"/>
      <c r="G1" s="1298" t="s">
        <v>1</v>
      </c>
      <c r="H1" s="1297" t="str">
        <f>Cover!H1</f>
        <v>Maricopa</v>
      </c>
      <c r="I1" s="1319"/>
      <c r="J1" s="1298" t="s">
        <v>60</v>
      </c>
      <c r="K1" s="98" t="str">
        <f>Cover!S1</f>
        <v>070421000</v>
      </c>
      <c r="L1" s="149"/>
      <c r="M1" s="1298" t="s">
        <v>16</v>
      </c>
      <c r="N1" s="1295" t="str">
        <f>Cover!C8</f>
        <v>Proposed</v>
      </c>
    </row>
    <row r="2" spans="1:15" ht="15.6">
      <c r="A2" s="1333"/>
      <c r="B2" s="139"/>
      <c r="C2" s="139"/>
      <c r="D2" s="139"/>
      <c r="E2" s="139"/>
      <c r="F2" s="139"/>
      <c r="G2" s="1333"/>
      <c r="H2" s="139"/>
      <c r="I2" s="139"/>
      <c r="J2" s="139"/>
      <c r="K2" s="1333"/>
      <c r="L2" s="139"/>
      <c r="O2" s="97"/>
    </row>
    <row r="3" spans="1:15" ht="15.6">
      <c r="A3" s="350" t="s">
        <v>249</v>
      </c>
      <c r="B3" s="350"/>
      <c r="C3" s="350"/>
      <c r="D3" s="350"/>
      <c r="E3" s="350"/>
      <c r="F3" s="350"/>
      <c r="G3" s="350"/>
      <c r="H3" s="350"/>
      <c r="I3" s="350"/>
      <c r="J3" s="1330"/>
      <c r="K3" s="1330"/>
      <c r="L3" s="3"/>
      <c r="M3" s="3"/>
      <c r="N3" s="3"/>
      <c r="O3" s="97"/>
    </row>
    <row r="4" spans="1:15" ht="15.6">
      <c r="A4" s="273"/>
      <c r="B4" s="273"/>
      <c r="C4" s="273"/>
      <c r="D4" s="1330"/>
      <c r="E4" s="351"/>
      <c r="F4" s="352"/>
      <c r="G4" s="352"/>
      <c r="H4" s="352"/>
      <c r="I4" s="352"/>
      <c r="J4" s="352"/>
      <c r="K4" s="352"/>
      <c r="L4" s="3"/>
      <c r="M4" s="353"/>
      <c r="N4" s="353"/>
      <c r="O4" s="97"/>
    </row>
    <row r="5" spans="1:15">
      <c r="A5" s="354"/>
      <c r="B5" s="355"/>
      <c r="C5" s="356"/>
      <c r="D5" s="1650" t="s">
        <v>234</v>
      </c>
      <c r="E5" s="1651"/>
      <c r="F5" s="1652" t="s">
        <v>250</v>
      </c>
      <c r="G5" s="1652"/>
      <c r="H5" s="1652" t="s">
        <v>251</v>
      </c>
      <c r="I5" s="1652"/>
      <c r="J5" s="1654" t="s">
        <v>252</v>
      </c>
      <c r="K5" s="1655"/>
      <c r="L5" s="357"/>
      <c r="M5" s="176"/>
    </row>
    <row r="6" spans="1:15">
      <c r="A6" s="358" t="s">
        <v>96</v>
      </c>
      <c r="B6" s="359"/>
      <c r="C6" s="360"/>
      <c r="D6" s="1658" t="s">
        <v>253</v>
      </c>
      <c r="E6" s="1659"/>
      <c r="F6" s="1653" t="s">
        <v>254</v>
      </c>
      <c r="G6" s="1653"/>
      <c r="H6" s="1653" t="s">
        <v>255</v>
      </c>
      <c r="I6" s="1653"/>
      <c r="J6" s="1656" t="s">
        <v>256</v>
      </c>
      <c r="K6" s="1657"/>
      <c r="L6" s="1301"/>
    </row>
    <row r="7" spans="1:15">
      <c r="A7" s="361"/>
      <c r="B7" s="362"/>
      <c r="C7" s="363"/>
      <c r="D7" s="289" t="s">
        <v>158</v>
      </c>
      <c r="E7" s="364" t="s">
        <v>159</v>
      </c>
      <c r="F7" s="289" t="s">
        <v>158</v>
      </c>
      <c r="G7" s="364" t="s">
        <v>159</v>
      </c>
      <c r="H7" s="289" t="s">
        <v>158</v>
      </c>
      <c r="I7" s="364" t="s">
        <v>159</v>
      </c>
      <c r="J7" s="365" t="s">
        <v>158</v>
      </c>
      <c r="K7" s="366" t="s">
        <v>159</v>
      </c>
      <c r="L7" s="96"/>
      <c r="M7" s="178"/>
    </row>
    <row r="8" spans="1:15" ht="13.5" customHeight="1">
      <c r="A8" s="367" t="s">
        <v>257</v>
      </c>
      <c r="B8" s="368"/>
      <c r="C8" s="369" t="s">
        <v>6</v>
      </c>
      <c r="D8" s="370">
        <f>F610TotalCurrFY</f>
        <v>2292912</v>
      </c>
      <c r="E8" s="371">
        <f>F610TotalBudgFY</f>
        <v>1278960</v>
      </c>
      <c r="F8" s="371">
        <f>[1]!F630TotalBudgFY</f>
        <v>0</v>
      </c>
      <c r="G8" s="93"/>
      <c r="H8" s="371">
        <f>[1]!F695TotalBudgFY</f>
        <v>0</v>
      </c>
      <c r="I8" s="93"/>
      <c r="J8" s="372">
        <f>[1]!F620TotalBudgFY</f>
        <v>900000</v>
      </c>
      <c r="K8" s="53">
        <v>900000</v>
      </c>
      <c r="L8" s="373" t="s">
        <v>6</v>
      </c>
      <c r="M8" s="176"/>
    </row>
    <row r="9" spans="1:15" ht="13.5" customHeight="1">
      <c r="A9" s="374" t="s">
        <v>258</v>
      </c>
      <c r="B9" s="355"/>
      <c r="C9" s="369"/>
      <c r="D9" s="291"/>
      <c r="E9" s="375"/>
      <c r="F9" s="375"/>
      <c r="G9" s="376"/>
      <c r="H9" s="375"/>
      <c r="I9" s="376"/>
      <c r="J9" s="377"/>
      <c r="K9" s="378"/>
      <c r="L9" s="373"/>
      <c r="M9" s="178"/>
    </row>
    <row r="10" spans="1:15" ht="13.5" customHeight="1">
      <c r="A10" s="379" t="s">
        <v>259</v>
      </c>
      <c r="B10" s="275"/>
      <c r="C10" s="1368" t="s">
        <v>8</v>
      </c>
      <c r="D10" s="1379">
        <f>[1]!F610BudgFYO6150</f>
        <v>0</v>
      </c>
      <c r="E10" s="1369"/>
      <c r="F10" s="371">
        <f>[1]!F630BudgFYO6150</f>
        <v>0</v>
      </c>
      <c r="G10" s="39"/>
      <c r="H10" s="371">
        <f>[1]!F695BudgFYO6150</f>
        <v>0</v>
      </c>
      <c r="I10" s="39"/>
      <c r="J10" s="371">
        <f>[1]!F620BudgFYO6150</f>
        <v>0</v>
      </c>
      <c r="K10" s="48"/>
      <c r="L10" s="310" t="s">
        <v>8</v>
      </c>
      <c r="M10" s="178"/>
    </row>
    <row r="11" spans="1:15" ht="13.5" customHeight="1">
      <c r="A11" s="379" t="s">
        <v>260</v>
      </c>
      <c r="B11" s="275"/>
      <c r="C11" s="1368" t="s">
        <v>22</v>
      </c>
      <c r="D11" s="1373">
        <f>[1]!F610BudgFYO6200</f>
        <v>0</v>
      </c>
      <c r="E11" s="1370"/>
      <c r="F11" s="296">
        <f>[1]!F630BudgFYO6200</f>
        <v>0</v>
      </c>
      <c r="G11" s="40"/>
      <c r="H11" s="296">
        <f>[1]!F695BudgFYO6200</f>
        <v>0</v>
      </c>
      <c r="I11" s="40"/>
      <c r="J11" s="296">
        <f>[1]!F620BudgFYO6200</f>
        <v>0</v>
      </c>
      <c r="K11" s="21"/>
      <c r="L11" s="310" t="s">
        <v>22</v>
      </c>
      <c r="M11" s="185"/>
    </row>
    <row r="12" spans="1:15" ht="13.5" customHeight="1">
      <c r="A12" s="379" t="s">
        <v>261</v>
      </c>
      <c r="B12" s="275"/>
      <c r="C12" s="1368" t="s">
        <v>42</v>
      </c>
      <c r="D12" s="1373">
        <f>[1]!F610BudgFYO6450</f>
        <v>0</v>
      </c>
      <c r="E12" s="1370"/>
      <c r="F12" s="296">
        <f>[1]!F630BudgFYO6450</f>
        <v>0</v>
      </c>
      <c r="G12" s="40"/>
      <c r="H12" s="296">
        <f>[1]!F695BudgFYO6450</f>
        <v>0</v>
      </c>
      <c r="I12" s="40"/>
      <c r="J12" s="296">
        <f>[1]!F620BudgFYO6450</f>
        <v>0</v>
      </c>
      <c r="K12" s="21"/>
      <c r="L12" s="310" t="s">
        <v>42</v>
      </c>
      <c r="M12" s="185"/>
    </row>
    <row r="13" spans="1:15" ht="13.5" customHeight="1">
      <c r="A13" s="1421" t="s">
        <v>1120</v>
      </c>
      <c r="B13" s="1388"/>
      <c r="C13" s="1368" t="s">
        <v>111</v>
      </c>
      <c r="D13" s="391"/>
      <c r="E13" s="1370"/>
      <c r="F13" s="391"/>
      <c r="G13" s="40"/>
      <c r="H13" s="391"/>
      <c r="I13" s="40"/>
      <c r="J13" s="391"/>
      <c r="K13" s="21"/>
      <c r="L13" s="310" t="s">
        <v>111</v>
      </c>
      <c r="M13" s="185"/>
    </row>
    <row r="14" spans="1:15" ht="13.5" customHeight="1">
      <c r="A14" s="379" t="s">
        <v>262</v>
      </c>
      <c r="B14" s="275"/>
      <c r="C14" s="1368" t="s">
        <v>113</v>
      </c>
      <c r="D14" s="1373">
        <f>[1]!F610BudgFYO6710</f>
        <v>0</v>
      </c>
      <c r="E14" s="1370"/>
      <c r="F14" s="296">
        <f>[1]!F630BudgFYO6710</f>
        <v>0</v>
      </c>
      <c r="G14" s="40"/>
      <c r="H14" s="296">
        <f>[1]!F695BudgFYO6710</f>
        <v>0</v>
      </c>
      <c r="I14" s="40"/>
      <c r="J14" s="296">
        <f>[1]!F620BudgFYO6710</f>
        <v>0</v>
      </c>
      <c r="K14" s="21"/>
      <c r="L14" s="310" t="s">
        <v>113</v>
      </c>
      <c r="M14" s="185"/>
    </row>
    <row r="15" spans="1:15" ht="13.5" customHeight="1">
      <c r="A15" s="379" t="s">
        <v>263</v>
      </c>
      <c r="B15" s="275"/>
      <c r="C15" s="1368" t="s">
        <v>115</v>
      </c>
      <c r="D15" s="1373">
        <f>[1]!F610BudgFYO6720</f>
        <v>0</v>
      </c>
      <c r="E15" s="1370"/>
      <c r="F15" s="296">
        <f>[1]!F630BudgFYO6720</f>
        <v>0</v>
      </c>
      <c r="G15" s="40"/>
      <c r="H15" s="296">
        <f>[1]!F695BudgFYO6720</f>
        <v>0</v>
      </c>
      <c r="I15" s="40"/>
      <c r="J15" s="296">
        <f>[1]!F620BudgFYO6720</f>
        <v>900000</v>
      </c>
      <c r="K15" s="21">
        <v>900000</v>
      </c>
      <c r="L15" s="310" t="s">
        <v>115</v>
      </c>
      <c r="M15" s="178"/>
    </row>
    <row r="16" spans="1:15" ht="13.5" customHeight="1">
      <c r="A16" s="379" t="s">
        <v>264</v>
      </c>
      <c r="B16" s="275"/>
      <c r="C16" s="1368" t="s">
        <v>117</v>
      </c>
      <c r="D16" s="1373">
        <f>[1]!F610BudgFYO6731</f>
        <v>481185</v>
      </c>
      <c r="E16" s="1371">
        <f>F610O6731</f>
        <v>350000</v>
      </c>
      <c r="F16" s="296">
        <f>[1]!F630BudgFYO6731</f>
        <v>0</v>
      </c>
      <c r="G16" s="40"/>
      <c r="H16" s="296">
        <f>[1]!F695BudgFYO6731</f>
        <v>0</v>
      </c>
      <c r="I16" s="40"/>
      <c r="J16" s="296" t="str">
        <f>[1]!F620BudgFYO6731</f>
        <v xml:space="preserve"> </v>
      </c>
      <c r="K16" s="21"/>
      <c r="L16" s="310" t="s">
        <v>117</v>
      </c>
      <c r="M16" s="178"/>
    </row>
    <row r="17" spans="1:15" ht="13.5" customHeight="1">
      <c r="A17" s="379" t="s">
        <v>265</v>
      </c>
      <c r="B17" s="275"/>
      <c r="C17" s="1368" t="s">
        <v>119</v>
      </c>
      <c r="D17" s="1373">
        <f>[1]!F610BudgFYO6734</f>
        <v>700000</v>
      </c>
      <c r="E17" s="1371">
        <f>F610O6734</f>
        <v>370000</v>
      </c>
      <c r="F17" s="296">
        <f>[1]!F630BudgFYO6734</f>
        <v>0</v>
      </c>
      <c r="G17" s="40"/>
      <c r="H17" s="296">
        <f>[1]!F695BudgFYO6734</f>
        <v>0</v>
      </c>
      <c r="I17" s="40"/>
      <c r="J17" s="296">
        <f>[1]!F620BudgFYO6734</f>
        <v>0</v>
      </c>
      <c r="K17" s="21"/>
      <c r="L17" s="382" t="s">
        <v>119</v>
      </c>
      <c r="M17" s="178"/>
    </row>
    <row r="18" spans="1:15" ht="13.5" customHeight="1">
      <c r="A18" s="379" t="s">
        <v>266</v>
      </c>
      <c r="B18" s="275"/>
      <c r="C18" s="1368" t="s">
        <v>121</v>
      </c>
      <c r="D18" s="1373">
        <f>[1]!F610BudgFYO6737</f>
        <v>300000</v>
      </c>
      <c r="E18" s="1371">
        <f>F610O6737</f>
        <v>641392</v>
      </c>
      <c r="F18" s="296">
        <f>[1]!F630BudgFYO6737</f>
        <v>0</v>
      </c>
      <c r="G18" s="40"/>
      <c r="H18" s="296">
        <f>[1]!F695BudgFYO6737</f>
        <v>0</v>
      </c>
      <c r="I18" s="40"/>
      <c r="J18" s="296">
        <f>[1]!F620BudgFYO6737</f>
        <v>0</v>
      </c>
      <c r="K18" s="20"/>
      <c r="L18" s="382" t="s">
        <v>121</v>
      </c>
      <c r="M18" s="178"/>
    </row>
    <row r="19" spans="1:15" ht="13.5" customHeight="1">
      <c r="A19" s="379" t="s">
        <v>267</v>
      </c>
      <c r="B19" s="275"/>
      <c r="C19" s="1368" t="s">
        <v>123</v>
      </c>
      <c r="D19" s="1373">
        <f>[1]!F610BudgFYO6831</f>
        <v>0</v>
      </c>
      <c r="E19" s="1370"/>
      <c r="F19" s="296">
        <f>[1]!F630BudgFYO6831</f>
        <v>0</v>
      </c>
      <c r="G19" s="40"/>
      <c r="H19" s="296">
        <f>[1]!F695BudgFYO6831</f>
        <v>0</v>
      </c>
      <c r="I19" s="40"/>
      <c r="J19" s="296">
        <f>[1]!F620BudgFYO6831</f>
        <v>0</v>
      </c>
      <c r="K19" s="20"/>
      <c r="L19" s="382" t="s">
        <v>123</v>
      </c>
      <c r="M19" s="178"/>
    </row>
    <row r="20" spans="1:15" ht="13.5" customHeight="1">
      <c r="A20" s="383" t="s">
        <v>268</v>
      </c>
      <c r="B20" s="384"/>
      <c r="C20" s="386" t="s">
        <v>125</v>
      </c>
      <c r="D20" s="1373">
        <f>[1]!F610BudgFYO6841</f>
        <v>0</v>
      </c>
      <c r="E20" s="1372"/>
      <c r="F20" s="385">
        <f>[1]!F630BudgFYO6841</f>
        <v>0</v>
      </c>
      <c r="G20" s="43"/>
      <c r="H20" s="385">
        <f>[1]!F695BudgFYO6841</f>
        <v>0</v>
      </c>
      <c r="I20" s="43"/>
      <c r="J20" s="296">
        <f>[1]!F620BudgFYO6841</f>
        <v>0</v>
      </c>
      <c r="K20" s="49"/>
      <c r="L20" s="310" t="s">
        <v>125</v>
      </c>
      <c r="M20" s="178"/>
    </row>
    <row r="21" spans="1:15" ht="13.5" customHeight="1">
      <c r="A21" s="379" t="s">
        <v>1267</v>
      </c>
      <c r="B21" s="275"/>
      <c r="C21" s="1368" t="s">
        <v>127</v>
      </c>
      <c r="D21" s="292">
        <f t="shared" ref="D21:K21" si="0">SUM(D10:D20)</f>
        <v>1481185</v>
      </c>
      <c r="E21" s="301">
        <f t="shared" si="0"/>
        <v>1361392</v>
      </c>
      <c r="F21" s="292">
        <f t="shared" si="0"/>
        <v>0</v>
      </c>
      <c r="G21" s="292">
        <f t="shared" si="0"/>
        <v>0</v>
      </c>
      <c r="H21" s="292">
        <f t="shared" si="0"/>
        <v>0</v>
      </c>
      <c r="I21" s="292">
        <f t="shared" si="0"/>
        <v>0</v>
      </c>
      <c r="J21" s="292">
        <f t="shared" si="0"/>
        <v>900000</v>
      </c>
      <c r="K21" s="292">
        <f t="shared" si="0"/>
        <v>900000</v>
      </c>
      <c r="L21" s="382" t="s">
        <v>127</v>
      </c>
      <c r="M21" s="178"/>
    </row>
    <row r="22" spans="1:15" ht="13.5" customHeight="1">
      <c r="A22" s="290" t="s">
        <v>1268</v>
      </c>
      <c r="D22" s="1518"/>
      <c r="E22" s="388"/>
      <c r="F22" s="387"/>
      <c r="G22" s="387"/>
      <c r="H22" s="387"/>
      <c r="I22" s="389"/>
      <c r="J22" s="298"/>
      <c r="K22" s="390"/>
      <c r="M22" s="178"/>
    </row>
    <row r="23" spans="1:15" ht="13.5" customHeight="1">
      <c r="A23" s="379" t="s">
        <v>269</v>
      </c>
      <c r="B23" s="275"/>
      <c r="C23" s="380" t="s">
        <v>129</v>
      </c>
      <c r="D23" s="381">
        <f>[1]!F610BudgFYRenovation</f>
        <v>350000</v>
      </c>
      <c r="E23" s="40">
        <v>350000</v>
      </c>
      <c r="F23" s="296">
        <f>[1]!F630BudgFYRenovation</f>
        <v>0</v>
      </c>
      <c r="G23" s="40"/>
      <c r="H23" s="391"/>
      <c r="I23" s="391"/>
      <c r="J23" s="296">
        <f>[1]!F620BudgFYRenovation</f>
        <v>600000</v>
      </c>
      <c r="K23" s="25">
        <v>600000</v>
      </c>
      <c r="L23" s="382" t="s">
        <v>129</v>
      </c>
      <c r="M23" s="178"/>
    </row>
    <row r="24" spans="1:15" ht="13.5" customHeight="1">
      <c r="A24" s="379" t="s">
        <v>270</v>
      </c>
      <c r="B24" s="275"/>
      <c r="C24" s="380" t="s">
        <v>131</v>
      </c>
      <c r="D24" s="381">
        <f>[1]!F610BudgFYNewConstruction</f>
        <v>0</v>
      </c>
      <c r="E24" s="40"/>
      <c r="F24" s="296">
        <f>[1]!F630BudgFYNewConstruction</f>
        <v>0</v>
      </c>
      <c r="G24" s="40"/>
      <c r="H24" s="296">
        <f>[1]!F695BudgFYNewConstruction</f>
        <v>0</v>
      </c>
      <c r="I24" s="40"/>
      <c r="J24" s="296">
        <f>[1]!F620BudgFYNewConstruction</f>
        <v>300000</v>
      </c>
      <c r="K24" s="20">
        <v>300000</v>
      </c>
      <c r="L24" s="382" t="s">
        <v>131</v>
      </c>
      <c r="M24" s="178"/>
    </row>
    <row r="25" spans="1:15" ht="13.5" customHeight="1">
      <c r="A25" s="379" t="s">
        <v>271</v>
      </c>
      <c r="B25" s="275"/>
      <c r="C25" s="380" t="s">
        <v>132</v>
      </c>
      <c r="D25" s="381">
        <f>[1]!F610BudgFYOther</f>
        <v>1131185</v>
      </c>
      <c r="E25" s="40">
        <v>1011392</v>
      </c>
      <c r="F25" s="296">
        <f>[1]!F630BudgFYOther</f>
        <v>0</v>
      </c>
      <c r="G25" s="40"/>
      <c r="H25" s="296">
        <f>[1]!F695BudgFYOther</f>
        <v>0</v>
      </c>
      <c r="I25" s="40"/>
      <c r="J25" s="296">
        <f>[1]!F620BudgFYOther</f>
        <v>0</v>
      </c>
      <c r="K25" s="20"/>
      <c r="L25" s="310" t="s">
        <v>132</v>
      </c>
      <c r="M25" s="178"/>
    </row>
    <row r="26" spans="1:15" ht="13.5" customHeight="1">
      <c r="A26" s="361" t="s">
        <v>1269</v>
      </c>
      <c r="B26" s="362"/>
      <c r="C26" s="1367" t="s">
        <v>133</v>
      </c>
      <c r="D26" s="381">
        <f>SUM(D23:D25)</f>
        <v>1481185</v>
      </c>
      <c r="E26" s="296">
        <f>SUM(E23:E25)</f>
        <v>1361392</v>
      </c>
      <c r="F26" s="296">
        <f>SUM(F23:F25)</f>
        <v>0</v>
      </c>
      <c r="G26" s="296">
        <f>SUM(G23:G25)</f>
        <v>0</v>
      </c>
      <c r="H26" s="296">
        <f>SUM(H24:H25)</f>
        <v>0</v>
      </c>
      <c r="I26" s="296">
        <f>SUM(I24:I25)</f>
        <v>0</v>
      </c>
      <c r="J26" s="296">
        <f>SUM(J23:J25)</f>
        <v>900000</v>
      </c>
      <c r="K26" s="296">
        <f>SUM(K23:K25)</f>
        <v>900000</v>
      </c>
      <c r="L26" s="310" t="s">
        <v>133</v>
      </c>
      <c r="M26" s="178"/>
    </row>
    <row r="27" spans="1:15">
      <c r="A27" s="96"/>
      <c r="B27" s="96"/>
      <c r="C27" s="176"/>
      <c r="D27" s="392"/>
      <c r="E27" s="393" t="str">
        <f>IF(SUM(E23:E25)=E21,"","Check line 12")</f>
        <v/>
      </c>
      <c r="F27" s="392"/>
      <c r="G27" s="393" t="str">
        <f>IF(SUM(G23:G25)=G21,"","Check line 12")</f>
        <v/>
      </c>
      <c r="H27" s="392"/>
      <c r="I27" s="393" t="str">
        <f>IF(SUM(I24:I25)=I21,"","Check line 12")</f>
        <v/>
      </c>
      <c r="J27" s="1309"/>
      <c r="K27" s="394" t="str">
        <f>IF(SUM(K23:K25)=K21,"","Check line 12")</f>
        <v/>
      </c>
      <c r="L27" s="1308"/>
      <c r="M27" s="1299"/>
      <c r="N27" s="1299"/>
      <c r="O27" s="178"/>
    </row>
    <row r="28" spans="1:15">
      <c r="A28" s="273" t="s">
        <v>1270</v>
      </c>
      <c r="B28" s="96"/>
      <c r="C28" s="176"/>
      <c r="D28" s="392"/>
      <c r="E28" s="392"/>
      <c r="F28" s="392"/>
      <c r="G28" s="392"/>
      <c r="H28" s="392"/>
      <c r="I28" s="392"/>
      <c r="J28" s="1309"/>
      <c r="K28" s="1309"/>
      <c r="L28" s="1308"/>
      <c r="M28" s="1307"/>
      <c r="N28" s="1307"/>
      <c r="O28" s="178"/>
    </row>
    <row r="29" spans="1:15">
      <c r="A29" s="310" t="s">
        <v>1134</v>
      </c>
      <c r="B29" s="96"/>
      <c r="E29" s="54"/>
      <c r="F29" s="1309"/>
      <c r="G29" s="1309"/>
      <c r="H29" s="1309"/>
      <c r="I29" s="1309"/>
      <c r="J29" s="1309"/>
      <c r="K29" s="1309"/>
      <c r="L29" s="1308"/>
      <c r="M29" s="1307"/>
      <c r="N29" s="1307"/>
      <c r="O29" s="178"/>
    </row>
    <row r="30" spans="1:15">
      <c r="A30" s="395" t="str">
        <f>IF((E29&gt;0),"Districts that are levying any amount for adjacent ways must fill in the Truth in Taxation Worksheet and follow the requirements of A.R.S. Sec. 15-905.01. The amount reported in footnote 2 above pulls to the Truth in Taxation Worksheet, Line 12.","")</f>
        <v/>
      </c>
      <c r="B30" s="96"/>
      <c r="C30" s="176"/>
      <c r="D30" s="1309"/>
      <c r="E30" s="1309"/>
      <c r="F30" s="1310"/>
      <c r="G30" s="1309"/>
      <c r="H30" s="1309"/>
      <c r="I30" s="1310"/>
      <c r="J30" s="1309"/>
      <c r="K30" s="1309"/>
      <c r="L30" s="1308"/>
      <c r="M30" s="1307"/>
      <c r="N30" s="1307"/>
      <c r="O30" s="295"/>
    </row>
    <row r="31" spans="1:15">
      <c r="A31" s="96"/>
      <c r="B31" s="96"/>
      <c r="C31" s="176"/>
      <c r="D31" s="1309"/>
      <c r="E31" s="1309"/>
      <c r="F31" s="1310"/>
      <c r="G31" s="1309"/>
      <c r="H31" s="1309"/>
      <c r="I31" s="1310"/>
      <c r="J31" s="1309"/>
      <c r="K31" s="1310"/>
      <c r="L31" s="1308"/>
      <c r="M31" s="1299"/>
      <c r="N31" s="1299"/>
      <c r="O31" s="178"/>
    </row>
    <row r="32" spans="1:15">
      <c r="A32" s="96"/>
      <c r="B32" s="96"/>
      <c r="D32" s="1648"/>
      <c r="E32" s="1648"/>
      <c r="F32" s="1310"/>
      <c r="G32" s="1648"/>
      <c r="H32" s="1648"/>
      <c r="I32" s="1310"/>
      <c r="J32" s="1648"/>
      <c r="K32" s="1648"/>
      <c r="L32" s="1647"/>
      <c r="M32" s="1646"/>
      <c r="N32" s="1646"/>
      <c r="O32" s="295"/>
    </row>
    <row r="33" spans="1:15">
      <c r="A33" s="96"/>
      <c r="B33" s="96"/>
      <c r="C33" s="176"/>
      <c r="D33" s="1613"/>
      <c r="E33" s="1613"/>
      <c r="F33" s="1310"/>
      <c r="G33" s="1648"/>
      <c r="H33" s="1648"/>
      <c r="I33" s="1310"/>
      <c r="J33" s="1613"/>
      <c r="K33" s="1649"/>
      <c r="L33" s="1647"/>
      <c r="M33" s="1630"/>
      <c r="N33" s="1630"/>
      <c r="O33" s="178"/>
    </row>
    <row r="34" spans="1:15">
      <c r="A34" s="96"/>
      <c r="B34" s="1329"/>
      <c r="C34" s="176"/>
      <c r="D34" s="1309"/>
      <c r="E34" s="1309"/>
      <c r="F34" s="1309"/>
      <c r="G34" s="1309"/>
      <c r="H34" s="1309"/>
      <c r="I34" s="1309"/>
      <c r="J34" s="1309"/>
      <c r="K34" s="1309"/>
      <c r="L34" s="1308"/>
      <c r="M34" s="1299"/>
      <c r="N34" s="1299"/>
      <c r="O34" s="178"/>
    </row>
    <row r="35" spans="1:15">
      <c r="A35" s="96"/>
      <c r="B35" s="96"/>
      <c r="C35" s="176"/>
      <c r="D35" s="1309"/>
      <c r="E35" s="1309"/>
      <c r="F35" s="1309"/>
      <c r="G35" s="1309"/>
      <c r="H35" s="1309"/>
      <c r="I35" s="1309"/>
      <c r="J35" s="1309"/>
      <c r="K35" s="1309"/>
      <c r="L35" s="1308"/>
      <c r="M35" s="1299"/>
      <c r="N35" s="1299"/>
      <c r="O35" s="178"/>
    </row>
    <row r="36" spans="1:15">
      <c r="A36" s="96"/>
      <c r="B36" s="96"/>
      <c r="C36" s="176"/>
      <c r="D36" s="1309"/>
      <c r="E36" s="1309"/>
      <c r="F36" s="1309"/>
      <c r="G36" s="1309"/>
      <c r="H36" s="1309"/>
      <c r="I36" s="1309"/>
      <c r="J36" s="1309"/>
      <c r="K36" s="1309"/>
      <c r="L36" s="1308"/>
      <c r="M36" s="1299"/>
      <c r="N36" s="1299"/>
      <c r="O36" s="178"/>
    </row>
    <row r="37" spans="1:15">
      <c r="A37" s="96"/>
      <c r="B37" s="96"/>
      <c r="C37" s="176"/>
      <c r="D37" s="1309"/>
      <c r="E37" s="1309"/>
      <c r="F37" s="1309"/>
      <c r="G37" s="1309"/>
      <c r="H37" s="1309"/>
      <c r="I37" s="1309"/>
      <c r="J37" s="1309"/>
      <c r="K37" s="1309"/>
      <c r="L37" s="1308"/>
      <c r="M37" s="1299"/>
      <c r="N37" s="1299"/>
      <c r="O37" s="178"/>
    </row>
    <row r="38" spans="1:15">
      <c r="A38" s="96"/>
      <c r="B38" s="96"/>
      <c r="C38" s="176"/>
      <c r="D38" s="1309"/>
      <c r="E38" s="1309"/>
      <c r="F38" s="1309"/>
      <c r="G38" s="1309"/>
      <c r="H38" s="1309"/>
      <c r="I38" s="1309"/>
      <c r="J38" s="1309"/>
      <c r="K38" s="1309"/>
      <c r="L38" s="1308"/>
      <c r="M38" s="1299"/>
      <c r="N38" s="1299"/>
      <c r="O38" s="178"/>
    </row>
    <row r="39" spans="1:15">
      <c r="A39" s="96"/>
      <c r="B39" s="96"/>
      <c r="C39" s="176"/>
      <c r="D39" s="1309"/>
      <c r="E39" s="1309"/>
      <c r="F39" s="1309"/>
      <c r="G39" s="1309"/>
      <c r="H39" s="1309"/>
      <c r="I39" s="1309"/>
      <c r="J39" s="1309"/>
      <c r="K39" s="1309"/>
      <c r="L39" s="1308"/>
      <c r="M39" s="1299"/>
      <c r="N39" s="1299"/>
      <c r="O39" s="178"/>
    </row>
    <row r="40" spans="1:15">
      <c r="A40" s="96"/>
      <c r="B40" s="96"/>
      <c r="C40" s="176"/>
      <c r="D40" s="1309"/>
      <c r="E40" s="1309"/>
      <c r="F40" s="1309"/>
      <c r="G40" s="1309"/>
      <c r="H40" s="1309"/>
      <c r="I40" s="1309"/>
      <c r="J40" s="1309"/>
      <c r="K40" s="1309"/>
      <c r="L40" s="1308"/>
      <c r="M40" s="1307"/>
      <c r="N40" s="1307"/>
      <c r="O40" s="178"/>
    </row>
    <row r="41" spans="1:15">
      <c r="B41" s="96"/>
      <c r="C41" s="176"/>
    </row>
  </sheetData>
  <sheetProtection sheet="1" formatCells="0" formatColumns="0" formatRows="0"/>
  <mergeCells count="18">
    <mergeCell ref="E32:E33"/>
    <mergeCell ref="G32:G33"/>
    <mergeCell ref="N32:N33"/>
    <mergeCell ref="L32:L33"/>
    <mergeCell ref="J32:J33"/>
    <mergeCell ref="K32:K33"/>
    <mergeCell ref="B1:E1"/>
    <mergeCell ref="D5:E5"/>
    <mergeCell ref="F5:G5"/>
    <mergeCell ref="H5:I5"/>
    <mergeCell ref="H6:I6"/>
    <mergeCell ref="J5:K5"/>
    <mergeCell ref="J6:K6"/>
    <mergeCell ref="D6:E6"/>
    <mergeCell ref="F6:G6"/>
    <mergeCell ref="M32:M33"/>
    <mergeCell ref="H32:H33"/>
    <mergeCell ref="D32:D33"/>
  </mergeCells>
  <hyperlinks>
    <hyperlink ref="A9" location="Page5SelectExp" display="Select Object Codes Detail (1)" xr:uid="{00000000-0004-0000-0500-000000000000}"/>
    <hyperlink ref="J5:K6" location="AdjacentWays" display="ADJACENT WAYS" xr:uid="{00000000-0004-0000-0500-000001000000}"/>
  </hyperlinks>
  <printOptions horizontalCentered="1"/>
  <pageMargins left="0.25" right="0.25" top="0.25" bottom="0.25" header="0" footer="0.15"/>
  <pageSetup paperSize="5" orientation="landscape" r:id="rId1"/>
  <headerFooter alignWithMargins="0">
    <oddFooter>&amp;L&amp;"Times New Roman,Bold"&amp;9Rev. 5/25&amp;K000000 Arizona Department of Education and Auditor General&amp;C&amp;"Times New Roman,Regular"&amp;9&amp;D  &amp;T</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pageSetUpPr fitToPage="1"/>
  </sheetPr>
  <dimension ref="A1:AB57"/>
  <sheetViews>
    <sheetView showGridLines="0" tabSelected="1" topLeftCell="A19" workbookViewId="0">
      <selection activeCell="W6" sqref="W6"/>
    </sheetView>
  </sheetViews>
  <sheetFormatPr defaultColWidth="9.90625" defaultRowHeight="15"/>
  <cols>
    <col min="1" max="1" width="3" customWidth="1"/>
    <col min="2" max="2" width="1" customWidth="1"/>
    <col min="4" max="4" width="28" customWidth="1"/>
    <col min="5" max="5" width="4.90625" customWidth="1"/>
    <col min="6" max="6" width="7.90625" customWidth="1"/>
    <col min="7" max="7" width="5.90625" customWidth="1"/>
    <col min="8" max="8" width="2.90625" customWidth="1"/>
    <col min="9" max="9" width="10.90625" customWidth="1"/>
    <col min="10" max="10" width="11" customWidth="1"/>
    <col min="11" max="11" width="2.90625" customWidth="1"/>
    <col min="12" max="12" width="4.90625" customWidth="1"/>
    <col min="13" max="13" width="2.90625" customWidth="1"/>
    <col min="14" max="14" width="1.90625" customWidth="1"/>
    <col min="16" max="16" width="9.90625" customWidth="1"/>
    <col min="17" max="17" width="8.453125" customWidth="1"/>
    <col min="18" max="18" width="4.90625" customWidth="1"/>
    <col min="21" max="21" width="3" customWidth="1"/>
  </cols>
  <sheetData>
    <row r="1" spans="1:21" ht="15" customHeight="1">
      <c r="A1" s="139"/>
      <c r="B1" s="139"/>
      <c r="C1" s="1298" t="s">
        <v>184</v>
      </c>
      <c r="D1" s="1601" t="str">
        <f>DistrictName</f>
        <v>Murphy Elementary School District #21</v>
      </c>
      <c r="E1" s="1601"/>
      <c r="F1" s="1601"/>
      <c r="H1" s="139"/>
      <c r="I1" s="1298" t="s">
        <v>1</v>
      </c>
      <c r="J1" s="1610" t="str">
        <f>Cover!H1</f>
        <v>Maricopa</v>
      </c>
      <c r="K1" s="1611"/>
      <c r="L1" s="1611"/>
      <c r="M1" s="139"/>
      <c r="N1" s="139"/>
      <c r="O1" s="1298" t="s">
        <v>272</v>
      </c>
      <c r="P1" s="1661" t="str">
        <f>Cover!S1</f>
        <v>070421000</v>
      </c>
      <c r="Q1" s="1611"/>
      <c r="R1" s="139"/>
      <c r="S1" s="1298" t="s">
        <v>16</v>
      </c>
      <c r="T1" s="1295" t="str">
        <f>Cover!C8</f>
        <v>Proposed</v>
      </c>
      <c r="U1" s="139"/>
    </row>
    <row r="2" spans="1:21" ht="8.25" customHeight="1">
      <c r="A2" s="139"/>
      <c r="B2" s="139"/>
      <c r="C2" s="139"/>
      <c r="D2" s="139"/>
      <c r="E2" s="139"/>
      <c r="F2" s="139"/>
      <c r="G2" s="139"/>
      <c r="H2" s="139"/>
      <c r="I2" s="139"/>
      <c r="J2" s="139"/>
      <c r="K2" s="139"/>
      <c r="L2" s="139"/>
      <c r="M2" s="139"/>
      <c r="N2" s="139"/>
      <c r="O2" s="139"/>
      <c r="P2" s="139"/>
      <c r="Q2" s="139"/>
      <c r="R2" s="139"/>
      <c r="S2" s="139"/>
      <c r="T2" s="139"/>
      <c r="U2" s="139"/>
    </row>
    <row r="3" spans="1:21" ht="12" customHeight="1">
      <c r="B3" s="1149" t="s">
        <v>273</v>
      </c>
      <c r="C3" s="396"/>
      <c r="D3" s="397"/>
      <c r="E3" s="396"/>
      <c r="F3" s="398" t="s">
        <v>44</v>
      </c>
      <c r="G3" s="1662"/>
      <c r="H3" s="1663"/>
      <c r="I3" s="399"/>
      <c r="J3" s="400"/>
      <c r="K3" s="401"/>
      <c r="L3" s="401"/>
      <c r="M3" s="117" t="s">
        <v>274</v>
      </c>
      <c r="N3" s="117"/>
      <c r="O3" s="117"/>
      <c r="P3" s="117"/>
      <c r="Q3" s="117"/>
      <c r="R3" s="117"/>
      <c r="U3" s="101"/>
    </row>
    <row r="4" spans="1:21" ht="12" customHeight="1">
      <c r="A4" s="402"/>
      <c r="B4" s="403"/>
      <c r="C4" s="396"/>
      <c r="D4" s="397"/>
      <c r="E4" s="396"/>
      <c r="F4" s="404"/>
      <c r="G4" s="405"/>
      <c r="H4" s="406"/>
      <c r="I4" s="407"/>
      <c r="J4" s="408"/>
      <c r="K4" s="401"/>
      <c r="L4" s="401"/>
      <c r="S4" s="213" t="s">
        <v>158</v>
      </c>
      <c r="T4" s="213" t="s">
        <v>159</v>
      </c>
    </row>
    <row r="5" spans="1:21" ht="12" customHeight="1">
      <c r="A5" s="409"/>
      <c r="B5" s="409"/>
      <c r="C5" s="396"/>
      <c r="D5" s="396"/>
      <c r="E5" s="409"/>
      <c r="F5" s="1664" t="s">
        <v>87</v>
      </c>
      <c r="G5" s="1665"/>
      <c r="H5" s="1666"/>
      <c r="I5" s="1151" t="s">
        <v>275</v>
      </c>
      <c r="J5" s="1152"/>
      <c r="K5" s="401"/>
      <c r="L5" s="401"/>
      <c r="M5" s="410" t="s">
        <v>6</v>
      </c>
      <c r="N5" s="1299"/>
      <c r="O5" s="329" t="s">
        <v>276</v>
      </c>
      <c r="Q5" s="117"/>
      <c r="R5" s="96"/>
      <c r="S5" s="411">
        <f>[1]!F050BudgFY</f>
        <v>0</v>
      </c>
      <c r="T5" s="10"/>
      <c r="U5" s="413" t="s">
        <v>6</v>
      </c>
    </row>
    <row r="6" spans="1:21" ht="12" customHeight="1">
      <c r="A6" s="1150" t="s">
        <v>277</v>
      </c>
      <c r="B6" s="401"/>
      <c r="C6" s="414"/>
      <c r="D6" s="414"/>
      <c r="E6" s="414"/>
      <c r="F6" s="1395" t="s">
        <v>158</v>
      </c>
      <c r="G6" s="1667" t="s">
        <v>159</v>
      </c>
      <c r="H6" s="1668"/>
      <c r="I6" s="406" t="s">
        <v>158</v>
      </c>
      <c r="J6" s="1396" t="s">
        <v>159</v>
      </c>
      <c r="K6" s="401"/>
      <c r="L6" s="401"/>
      <c r="M6" s="415" t="s">
        <v>8</v>
      </c>
      <c r="N6" s="1299"/>
      <c r="O6" s="329" t="s">
        <v>278</v>
      </c>
      <c r="R6" s="96"/>
      <c r="S6" s="412">
        <f>F071CurrFY</f>
        <v>0</v>
      </c>
      <c r="T6" s="412">
        <f>F071BudgFY</f>
        <v>0</v>
      </c>
      <c r="U6" s="413" t="s">
        <v>8</v>
      </c>
    </row>
    <row r="7" spans="1:21" ht="12" customHeight="1">
      <c r="A7" s="410" t="s">
        <v>6</v>
      </c>
      <c r="B7" s="401"/>
      <c r="C7" s="1103" t="s">
        <v>279</v>
      </c>
      <c r="D7" s="409"/>
      <c r="E7" s="410"/>
      <c r="F7" s="1397">
        <f>[1]!F100130Personnel</f>
        <v>14</v>
      </c>
      <c r="G7" s="1660"/>
      <c r="H7" s="1660"/>
      <c r="I7" s="1398">
        <f>[1]!F100130BudgFY</f>
        <v>1481537</v>
      </c>
      <c r="J7" s="1095">
        <v>1423472</v>
      </c>
      <c r="K7" s="413" t="s">
        <v>6</v>
      </c>
      <c r="L7" s="401"/>
      <c r="M7" s="415" t="s">
        <v>22</v>
      </c>
      <c r="N7" s="1299"/>
      <c r="O7" s="329" t="s">
        <v>280</v>
      </c>
      <c r="R7" s="96"/>
      <c r="S7" s="412">
        <f>F072CurrFY</f>
        <v>0</v>
      </c>
      <c r="T7" s="412">
        <f>F072BudgFY</f>
        <v>0</v>
      </c>
      <c r="U7" s="413" t="s">
        <v>22</v>
      </c>
    </row>
    <row r="8" spans="1:21" ht="12" customHeight="1">
      <c r="A8" s="410" t="s">
        <v>8</v>
      </c>
      <c r="B8" s="401"/>
      <c r="C8" s="1103" t="s">
        <v>281</v>
      </c>
      <c r="D8" s="409"/>
      <c r="E8" s="410"/>
      <c r="F8" s="1397">
        <f>[1]!F140150Personnel</f>
        <v>1</v>
      </c>
      <c r="G8" s="1660"/>
      <c r="H8" s="1660"/>
      <c r="I8" s="1398">
        <f>[1]!F140150BudgFY</f>
        <v>201758</v>
      </c>
      <c r="J8" s="1095">
        <v>138366</v>
      </c>
      <c r="K8" s="413" t="s">
        <v>8</v>
      </c>
      <c r="L8" s="410"/>
      <c r="M8" s="416" t="s">
        <v>42</v>
      </c>
      <c r="N8" s="1299"/>
      <c r="O8" s="1104" t="s">
        <v>282</v>
      </c>
      <c r="R8" s="96"/>
      <c r="S8" s="412">
        <f>[1]!F500BudgFY</f>
        <v>1000000</v>
      </c>
      <c r="T8" s="10">
        <v>500000</v>
      </c>
      <c r="U8" s="417" t="s">
        <v>42</v>
      </c>
    </row>
    <row r="9" spans="1:21" ht="12" customHeight="1">
      <c r="A9" s="410" t="s">
        <v>22</v>
      </c>
      <c r="B9" s="401"/>
      <c r="C9" s="1103" t="s">
        <v>283</v>
      </c>
      <c r="D9" s="409"/>
      <c r="E9" s="410"/>
      <c r="F9" s="1397">
        <f>[1]!F160Personnel</f>
        <v>0</v>
      </c>
      <c r="G9" s="1660"/>
      <c r="H9" s="1660"/>
      <c r="I9" s="1398">
        <f>[1]!F160BudgFY</f>
        <v>0</v>
      </c>
      <c r="J9" s="1095"/>
      <c r="K9" s="413" t="s">
        <v>22</v>
      </c>
      <c r="L9" s="410"/>
      <c r="M9" s="418" t="s">
        <v>111</v>
      </c>
      <c r="N9" s="96"/>
      <c r="O9" s="329" t="s">
        <v>284</v>
      </c>
      <c r="P9" s="96"/>
      <c r="Q9" s="96"/>
      <c r="R9" s="410"/>
      <c r="S9" s="412">
        <f>[1]!F510BudgFY</f>
        <v>1500000</v>
      </c>
      <c r="T9" s="11">
        <v>1600000</v>
      </c>
      <c r="U9" s="417" t="s">
        <v>111</v>
      </c>
    </row>
    <row r="10" spans="1:21" ht="12" customHeight="1">
      <c r="A10" s="410" t="s">
        <v>42</v>
      </c>
      <c r="B10" s="401"/>
      <c r="C10" s="1103" t="s">
        <v>285</v>
      </c>
      <c r="D10" s="409"/>
      <c r="E10" s="410"/>
      <c r="F10" s="1397">
        <f>[1]!F170180Personnel</f>
        <v>0</v>
      </c>
      <c r="G10" s="1660"/>
      <c r="H10" s="1660"/>
      <c r="I10" s="1398">
        <f>[1]!F170180BudgFY</f>
        <v>0</v>
      </c>
      <c r="J10" s="1095"/>
      <c r="K10" s="413" t="s">
        <v>42</v>
      </c>
      <c r="L10" s="410"/>
      <c r="M10" s="418" t="s">
        <v>113</v>
      </c>
      <c r="N10" s="1299"/>
      <c r="O10" s="329" t="s">
        <v>286</v>
      </c>
      <c r="P10" s="96"/>
      <c r="Q10" s="96"/>
      <c r="R10" s="410"/>
      <c r="S10" s="412">
        <f>[1]!F515BudgFY</f>
        <v>35000</v>
      </c>
      <c r="T10" s="11">
        <v>150000</v>
      </c>
      <c r="U10" s="417" t="s">
        <v>113</v>
      </c>
    </row>
    <row r="11" spans="1:21" ht="12" customHeight="1">
      <c r="A11" s="410" t="s">
        <v>111</v>
      </c>
      <c r="B11" s="401"/>
      <c r="C11" s="1103" t="s">
        <v>287</v>
      </c>
      <c r="D11" s="409"/>
      <c r="E11" s="410"/>
      <c r="F11" s="1397">
        <f>[1]!F190Personnel</f>
        <v>1</v>
      </c>
      <c r="G11" s="1660"/>
      <c r="H11" s="1660"/>
      <c r="I11" s="1398">
        <f>[1]!F190BudgFY</f>
        <v>105631</v>
      </c>
      <c r="J11" s="1095">
        <v>106240</v>
      </c>
      <c r="K11" s="413" t="s">
        <v>111</v>
      </c>
      <c r="L11" s="410"/>
      <c r="M11" s="418" t="s">
        <v>115</v>
      </c>
      <c r="N11" s="1299"/>
      <c r="O11" s="329" t="s">
        <v>288</v>
      </c>
      <c r="P11" s="96"/>
      <c r="Q11" s="96"/>
      <c r="R11" s="410"/>
      <c r="S11" s="412">
        <f>[1]!F520BudgFY</f>
        <v>2250</v>
      </c>
      <c r="T11" s="10">
        <v>2300</v>
      </c>
      <c r="U11" s="417" t="s">
        <v>115</v>
      </c>
    </row>
    <row r="12" spans="1:21" ht="12" customHeight="1">
      <c r="A12" s="410" t="s">
        <v>113</v>
      </c>
      <c r="B12" s="401"/>
      <c r="C12" s="1103" t="s">
        <v>289</v>
      </c>
      <c r="D12" s="409"/>
      <c r="E12" s="410"/>
      <c r="F12" s="1397">
        <f>[1]!F200Personnel</f>
        <v>0</v>
      </c>
      <c r="G12" s="1660"/>
      <c r="H12" s="1660"/>
      <c r="I12" s="1398">
        <f>[1]!F200BudgFY</f>
        <v>0</v>
      </c>
      <c r="J12" s="1095"/>
      <c r="K12" s="413" t="s">
        <v>113</v>
      </c>
      <c r="L12" s="410"/>
      <c r="M12" s="418" t="s">
        <v>117</v>
      </c>
      <c r="N12" s="1299"/>
      <c r="O12" s="329" t="s">
        <v>290</v>
      </c>
      <c r="P12" s="96"/>
      <c r="Q12" s="96"/>
      <c r="R12" s="96"/>
      <c r="S12" s="412">
        <f>[1]!F525BudgFY</f>
        <v>1950</v>
      </c>
      <c r="T12" s="11">
        <v>2000</v>
      </c>
      <c r="U12" s="417" t="s">
        <v>117</v>
      </c>
    </row>
    <row r="13" spans="1:21" ht="12" customHeight="1">
      <c r="A13" s="410" t="s">
        <v>115</v>
      </c>
      <c r="B13" s="401"/>
      <c r="C13" s="1103" t="s">
        <v>291</v>
      </c>
      <c r="D13" s="409"/>
      <c r="E13" s="410"/>
      <c r="F13" s="1397">
        <f>[1]!F210Personnel</f>
        <v>0</v>
      </c>
      <c r="G13" s="1660"/>
      <c r="H13" s="1660"/>
      <c r="I13" s="1398">
        <f>[1]!F210BudgFY</f>
        <v>0</v>
      </c>
      <c r="J13" s="1095"/>
      <c r="K13" s="413" t="s">
        <v>115</v>
      </c>
      <c r="L13" s="410"/>
      <c r="M13" s="418" t="s">
        <v>119</v>
      </c>
      <c r="N13" s="1299"/>
      <c r="O13" s="329" t="s">
        <v>292</v>
      </c>
      <c r="P13" s="96"/>
      <c r="Q13" s="96"/>
      <c r="R13" s="410"/>
      <c r="S13" s="412">
        <f>[1]!F526BudgFY</f>
        <v>102000</v>
      </c>
      <c r="T13" s="11">
        <v>102000</v>
      </c>
      <c r="U13" s="417" t="s">
        <v>119</v>
      </c>
    </row>
    <row r="14" spans="1:21" ht="12" customHeight="1">
      <c r="A14" s="410" t="s">
        <v>117</v>
      </c>
      <c r="B14" s="401"/>
      <c r="C14" s="1103" t="s">
        <v>293</v>
      </c>
      <c r="D14" s="409"/>
      <c r="E14" s="410"/>
      <c r="F14" s="1397">
        <f>[1]!F220Personnel</f>
        <v>6</v>
      </c>
      <c r="G14" s="1660"/>
      <c r="H14" s="1660"/>
      <c r="I14" s="1398">
        <f>[1]!F220BudgFY</f>
        <v>436853</v>
      </c>
      <c r="J14" s="1095">
        <v>416559</v>
      </c>
      <c r="K14" s="413" t="s">
        <v>117</v>
      </c>
      <c r="L14" s="410"/>
      <c r="M14" s="418" t="s">
        <v>121</v>
      </c>
      <c r="N14" s="1299"/>
      <c r="O14" s="329" t="s">
        <v>294</v>
      </c>
      <c r="R14" s="410"/>
      <c r="S14" s="412">
        <f>[1]!F530BudgFY</f>
        <v>0</v>
      </c>
      <c r="T14" s="11">
        <v>0</v>
      </c>
      <c r="U14" s="417" t="s">
        <v>121</v>
      </c>
    </row>
    <row r="15" spans="1:21" ht="12" customHeight="1">
      <c r="A15" s="410" t="s">
        <v>119</v>
      </c>
      <c r="B15" s="401"/>
      <c r="C15" s="1103" t="s">
        <v>295</v>
      </c>
      <c r="D15" s="409"/>
      <c r="E15" s="410"/>
      <c r="F15" s="1397">
        <f>[1]!F230Personnel</f>
        <v>0</v>
      </c>
      <c r="G15" s="1660"/>
      <c r="H15" s="1660"/>
      <c r="I15" s="1398">
        <f>[1]!F230BudgFY</f>
        <v>0</v>
      </c>
      <c r="J15" s="1095"/>
      <c r="K15" s="413" t="s">
        <v>119</v>
      </c>
      <c r="L15" s="410"/>
      <c r="M15" s="418" t="s">
        <v>123</v>
      </c>
      <c r="N15" s="1299"/>
      <c r="O15" s="1105" t="s">
        <v>296</v>
      </c>
      <c r="P15" s="96"/>
      <c r="Q15" s="96"/>
      <c r="R15" s="410"/>
      <c r="S15" s="412">
        <f>[1]!F535BudgFY</f>
        <v>0</v>
      </c>
      <c r="T15" s="10">
        <v>0</v>
      </c>
      <c r="U15" s="417" t="s">
        <v>123</v>
      </c>
    </row>
    <row r="16" spans="1:21" ht="12" customHeight="1">
      <c r="A16" s="410" t="s">
        <v>121</v>
      </c>
      <c r="B16" s="401"/>
      <c r="C16" s="1103" t="s">
        <v>297</v>
      </c>
      <c r="D16" s="409"/>
      <c r="E16" s="410"/>
      <c r="F16" s="1397">
        <f>[1]!F240Personnel</f>
        <v>0</v>
      </c>
      <c r="G16" s="1660"/>
      <c r="H16" s="1660"/>
      <c r="I16" s="1398">
        <f>[1]!F240BudgFY</f>
        <v>0</v>
      </c>
      <c r="J16" s="1095"/>
      <c r="K16" s="413" t="s">
        <v>121</v>
      </c>
      <c r="L16" s="410"/>
      <c r="M16" s="418" t="s">
        <v>125</v>
      </c>
      <c r="N16" s="1299"/>
      <c r="O16" s="178" t="s">
        <v>298</v>
      </c>
      <c r="P16" s="96"/>
      <c r="Q16" s="96"/>
      <c r="R16" s="410"/>
      <c r="S16" s="412">
        <f>[1]!F540BudgFY</f>
        <v>800</v>
      </c>
      <c r="T16" s="10">
        <v>800</v>
      </c>
      <c r="U16" s="417" t="s">
        <v>125</v>
      </c>
    </row>
    <row r="17" spans="1:21" ht="12" customHeight="1">
      <c r="A17" s="410" t="s">
        <v>123</v>
      </c>
      <c r="B17" s="401"/>
      <c r="C17" s="1103" t="s">
        <v>299</v>
      </c>
      <c r="D17" s="409"/>
      <c r="E17" s="410"/>
      <c r="F17" s="1397">
        <f>[1]!F250Personnel</f>
        <v>0</v>
      </c>
      <c r="G17" s="1660"/>
      <c r="H17" s="1660"/>
      <c r="I17" s="1398">
        <f>[1]!F250BudgFY</f>
        <v>0</v>
      </c>
      <c r="J17" s="1095"/>
      <c r="K17" s="413" t="s">
        <v>123</v>
      </c>
      <c r="L17" s="410"/>
      <c r="M17" s="418" t="s">
        <v>127</v>
      </c>
      <c r="N17" s="1299"/>
      <c r="O17" s="178" t="s">
        <v>300</v>
      </c>
      <c r="P17" s="96"/>
      <c r="Q17" s="96"/>
      <c r="R17" s="410"/>
      <c r="S17" s="412">
        <f>[1]!F545BudgFY</f>
        <v>0</v>
      </c>
      <c r="T17" s="11">
        <v>0</v>
      </c>
      <c r="U17" s="417" t="s">
        <v>127</v>
      </c>
    </row>
    <row r="18" spans="1:21" ht="12" customHeight="1">
      <c r="A18" s="410" t="s">
        <v>125</v>
      </c>
      <c r="B18" s="401"/>
      <c r="C18" s="1103" t="s">
        <v>301</v>
      </c>
      <c r="D18" s="409"/>
      <c r="E18" s="410"/>
      <c r="F18" s="1397">
        <f>[1]!F260270Personnel</f>
        <v>0</v>
      </c>
      <c r="G18" s="1660"/>
      <c r="H18" s="1660"/>
      <c r="I18" s="1398">
        <f>[1]!F260270BudgFY</f>
        <v>0</v>
      </c>
      <c r="J18" s="1095"/>
      <c r="K18" s="413" t="s">
        <v>125</v>
      </c>
      <c r="L18" s="410"/>
      <c r="M18" s="418" t="s">
        <v>129</v>
      </c>
      <c r="N18" s="1299"/>
      <c r="O18" s="329" t="s">
        <v>302</v>
      </c>
      <c r="P18" s="96"/>
      <c r="Q18" s="96"/>
      <c r="R18" s="410"/>
      <c r="S18" s="412">
        <f>[1]!F550BudgFY</f>
        <v>57000</v>
      </c>
      <c r="T18" s="10">
        <v>25000</v>
      </c>
      <c r="U18" s="417" t="s">
        <v>129</v>
      </c>
    </row>
    <row r="19" spans="1:21" ht="12" customHeight="1">
      <c r="A19" s="410" t="s">
        <v>127</v>
      </c>
      <c r="B19" s="401"/>
      <c r="C19" s="1103" t="s">
        <v>303</v>
      </c>
      <c r="D19" s="409"/>
      <c r="E19" s="410"/>
      <c r="F19" s="1397">
        <f>[1]!F280Personnel</f>
        <v>0</v>
      </c>
      <c r="G19" s="1660"/>
      <c r="H19" s="1660"/>
      <c r="I19" s="1398">
        <f>[1]!F280BudgFY</f>
        <v>0</v>
      </c>
      <c r="J19" s="1095"/>
      <c r="K19" s="422" t="s">
        <v>127</v>
      </c>
      <c r="L19" s="410"/>
      <c r="M19" s="418" t="s">
        <v>131</v>
      </c>
      <c r="N19" s="1299"/>
      <c r="O19" s="329" t="s">
        <v>304</v>
      </c>
      <c r="P19" s="96"/>
      <c r="Q19" s="96"/>
      <c r="R19" s="410"/>
      <c r="S19" s="412">
        <f>[1]!F555BudgFY</f>
        <v>11000</v>
      </c>
      <c r="T19" s="11">
        <v>11000</v>
      </c>
      <c r="U19" s="417" t="s">
        <v>131</v>
      </c>
    </row>
    <row r="20" spans="1:21" ht="12" customHeight="1">
      <c r="A20" s="410" t="s">
        <v>129</v>
      </c>
      <c r="B20" s="401"/>
      <c r="C20" s="1103" t="s">
        <v>305</v>
      </c>
      <c r="D20" s="409"/>
      <c r="E20" s="410"/>
      <c r="F20" s="1397">
        <f>[1]!F290Personnel</f>
        <v>0</v>
      </c>
      <c r="G20" s="1660"/>
      <c r="H20" s="1660"/>
      <c r="I20" s="1398">
        <f>[1]!F290BudgFY</f>
        <v>0</v>
      </c>
      <c r="J20" s="1095"/>
      <c r="K20" s="422" t="s">
        <v>129</v>
      </c>
      <c r="L20" s="410"/>
      <c r="M20" s="418" t="s">
        <v>132</v>
      </c>
      <c r="N20" s="1299"/>
      <c r="O20" s="329" t="s">
        <v>306</v>
      </c>
      <c r="P20" s="96"/>
      <c r="Q20" s="96"/>
      <c r="R20" s="410"/>
      <c r="S20" s="412">
        <f>[1]!F565BudgFY</f>
        <v>450</v>
      </c>
      <c r="T20" s="11">
        <v>450</v>
      </c>
      <c r="U20" s="417" t="s">
        <v>132</v>
      </c>
    </row>
    <row r="21" spans="1:21" ht="12" customHeight="1">
      <c r="A21" s="1283" t="s">
        <v>131</v>
      </c>
      <c r="B21" s="401"/>
      <c r="C21" s="1381" t="s">
        <v>307</v>
      </c>
      <c r="F21" s="1397">
        <f>[1]!F349Personnel</f>
        <v>0</v>
      </c>
      <c r="G21" s="1660"/>
      <c r="H21" s="1660"/>
      <c r="I21" s="1398">
        <f>[1]!F349BudFY</f>
        <v>0</v>
      </c>
      <c r="J21" s="1095"/>
      <c r="K21" s="430" t="s">
        <v>131</v>
      </c>
      <c r="L21" s="410"/>
      <c r="M21" s="418" t="s">
        <v>133</v>
      </c>
      <c r="N21" s="419"/>
      <c r="O21" s="329" t="s">
        <v>308</v>
      </c>
      <c r="P21" s="96"/>
      <c r="Q21" s="96"/>
      <c r="R21" s="410"/>
      <c r="S21" s="412">
        <f>[1]!F570BudgFY</f>
        <v>1000000</v>
      </c>
      <c r="T21" s="11">
        <v>1000000</v>
      </c>
      <c r="U21" s="417" t="s">
        <v>133</v>
      </c>
    </row>
    <row r="22" spans="1:21" ht="12" customHeight="1">
      <c r="A22" s="1284" t="s">
        <v>132</v>
      </c>
      <c r="B22" s="401"/>
      <c r="C22" s="1381" t="s">
        <v>309</v>
      </c>
      <c r="F22" s="1397">
        <f>[1]!F353Personnel</f>
        <v>0</v>
      </c>
      <c r="G22" s="1660"/>
      <c r="H22" s="1660"/>
      <c r="I22" s="1398">
        <f>[1]!F353BudgFY</f>
        <v>0</v>
      </c>
      <c r="J22" s="1095"/>
      <c r="K22" s="430" t="s">
        <v>132</v>
      </c>
      <c r="L22" s="410"/>
      <c r="M22" s="418" t="s">
        <v>134</v>
      </c>
      <c r="N22" s="1299"/>
      <c r="O22" s="329" t="s">
        <v>310</v>
      </c>
      <c r="P22" s="96"/>
      <c r="Q22" s="96"/>
      <c r="R22" s="410"/>
      <c r="S22" s="412">
        <f>[1]!F575BudgFY</f>
        <v>199000</v>
      </c>
      <c r="T22" s="11">
        <v>200000</v>
      </c>
      <c r="U22" s="417" t="s">
        <v>134</v>
      </c>
    </row>
    <row r="23" spans="1:21" ht="12" customHeight="1">
      <c r="A23" s="1283" t="s">
        <v>133</v>
      </c>
      <c r="B23" s="401" t="s">
        <v>44</v>
      </c>
      <c r="C23" s="1105" t="s">
        <v>311</v>
      </c>
      <c r="D23" s="409"/>
      <c r="F23" s="1397">
        <f>[1]!F374Personnel</f>
        <v>0</v>
      </c>
      <c r="G23" s="1660"/>
      <c r="H23" s="1660"/>
      <c r="I23" s="1398">
        <f>[1]!F374BudgFY</f>
        <v>0</v>
      </c>
      <c r="J23" s="1095"/>
      <c r="K23" s="430" t="s">
        <v>133</v>
      </c>
      <c r="L23" s="410"/>
      <c r="M23" s="121" t="s">
        <v>135</v>
      </c>
      <c r="N23" s="1299"/>
      <c r="O23" s="329" t="s">
        <v>312</v>
      </c>
      <c r="P23" s="96"/>
      <c r="Q23" s="96"/>
      <c r="R23" s="410"/>
      <c r="S23" s="412">
        <f>[1]!F580BudgFY</f>
        <v>0</v>
      </c>
      <c r="T23" s="10">
        <v>0</v>
      </c>
      <c r="U23" s="420" t="s">
        <v>135</v>
      </c>
    </row>
    <row r="24" spans="1:21" ht="12" customHeight="1">
      <c r="A24" s="416" t="s">
        <v>134</v>
      </c>
      <c r="B24" s="401"/>
      <c r="C24" s="1105" t="s">
        <v>313</v>
      </c>
      <c r="D24" s="409"/>
      <c r="E24" s="410"/>
      <c r="F24" s="1397">
        <f>[1]!F378Personnel</f>
        <v>0</v>
      </c>
      <c r="G24" s="1660"/>
      <c r="H24" s="1660"/>
      <c r="I24" s="1398">
        <f>[1]!F378BudgFY</f>
        <v>0</v>
      </c>
      <c r="J24" s="1095"/>
      <c r="K24" s="430" t="s">
        <v>134</v>
      </c>
      <c r="L24" s="1299"/>
      <c r="M24" s="1299" t="s">
        <v>136</v>
      </c>
      <c r="N24" s="1299"/>
      <c r="O24" s="329" t="s">
        <v>314</v>
      </c>
      <c r="P24" s="96"/>
      <c r="Q24" s="96"/>
      <c r="R24" s="410"/>
      <c r="S24" s="412">
        <f>[1]!F585BudgFY</f>
        <v>0</v>
      </c>
      <c r="T24" s="11">
        <v>0</v>
      </c>
      <c r="U24" s="101" t="s">
        <v>136</v>
      </c>
    </row>
    <row r="25" spans="1:21" ht="12" customHeight="1">
      <c r="A25" s="416" t="s">
        <v>135</v>
      </c>
      <c r="B25" s="409"/>
      <c r="C25" s="1381" t="s">
        <v>315</v>
      </c>
      <c r="D25" s="409"/>
      <c r="E25" s="410"/>
      <c r="F25" s="1397">
        <f>[1]!F300399OtherPersonnel</f>
        <v>0</v>
      </c>
      <c r="G25" s="1660"/>
      <c r="H25" s="1660"/>
      <c r="I25" s="1398">
        <f>[1]!F300399OtherBudgFY</f>
        <v>1485731</v>
      </c>
      <c r="J25" s="1095">
        <v>0</v>
      </c>
      <c r="K25" s="430" t="s">
        <v>135</v>
      </c>
      <c r="L25" s="1299"/>
      <c r="M25" s="1299" t="s">
        <v>137</v>
      </c>
      <c r="N25" s="419"/>
      <c r="O25" s="178" t="s">
        <v>316</v>
      </c>
      <c r="P25" s="96"/>
      <c r="Q25" s="96"/>
      <c r="R25" s="410"/>
      <c r="S25" s="412">
        <f>[1]!F590BudgFY</f>
        <v>0</v>
      </c>
      <c r="T25" s="11">
        <v>0</v>
      </c>
      <c r="U25" s="101" t="s">
        <v>137</v>
      </c>
    </row>
    <row r="26" spans="1:21" ht="12" customHeight="1">
      <c r="A26" s="1283" t="s">
        <v>136</v>
      </c>
      <c r="B26" s="401"/>
      <c r="C26" s="1381" t="s">
        <v>317</v>
      </c>
      <c r="F26" s="1397">
        <f>[1]!F699Personnel</f>
        <v>0</v>
      </c>
      <c r="G26" s="1660"/>
      <c r="H26" s="1660"/>
      <c r="I26" s="1398">
        <f>[1]!F699BudgFY</f>
        <v>0</v>
      </c>
      <c r="J26" s="1095"/>
      <c r="K26" s="422" t="s">
        <v>136</v>
      </c>
      <c r="L26" s="410"/>
      <c r="M26" s="1299" t="s">
        <v>138</v>
      </c>
      <c r="N26" s="419"/>
      <c r="O26" s="329" t="s">
        <v>318</v>
      </c>
      <c r="R26" s="96"/>
      <c r="S26" s="330">
        <f>[1]!F595BudgFY</f>
        <v>0</v>
      </c>
      <c r="T26" s="72">
        <v>0</v>
      </c>
      <c r="U26" s="101" t="s">
        <v>138</v>
      </c>
    </row>
    <row r="27" spans="1:21" ht="12" customHeight="1" thickBot="1">
      <c r="A27" s="1283" t="s">
        <v>137</v>
      </c>
      <c r="B27" s="401"/>
      <c r="C27" s="1105" t="s">
        <v>319</v>
      </c>
      <c r="D27" s="409"/>
      <c r="E27" s="409"/>
      <c r="F27" s="1364">
        <f>SUM(F7:F25)</f>
        <v>22</v>
      </c>
      <c r="G27" s="1673">
        <f>SUM(G7:H25)</f>
        <v>0</v>
      </c>
      <c r="H27" s="1674"/>
      <c r="I27" s="1365">
        <f>SUM(I7:I25)</f>
        <v>3711510</v>
      </c>
      <c r="J27" s="1365">
        <f>SUM(J7:J25)</f>
        <v>2084637</v>
      </c>
      <c r="K27" s="422" t="s">
        <v>137</v>
      </c>
      <c r="L27" s="410"/>
      <c r="M27" s="1299" t="s">
        <v>139</v>
      </c>
      <c r="N27" s="419"/>
      <c r="O27" s="329" t="s">
        <v>320</v>
      </c>
      <c r="R27" s="96"/>
      <c r="S27" s="334">
        <f>[1]!F596BudgFY</f>
        <v>0</v>
      </c>
      <c r="T27" s="10">
        <v>0</v>
      </c>
      <c r="U27" s="101" t="s">
        <v>139</v>
      </c>
    </row>
    <row r="28" spans="1:21" ht="12" customHeight="1" thickTop="1">
      <c r="A28" s="414" t="s">
        <v>321</v>
      </c>
      <c r="B28" s="401"/>
      <c r="C28" s="1153"/>
      <c r="F28" s="1303"/>
      <c r="G28" s="1125"/>
      <c r="H28" s="1126"/>
      <c r="I28" s="1303"/>
      <c r="J28" s="1127"/>
      <c r="K28" s="1282"/>
      <c r="L28" s="410"/>
      <c r="M28" s="416" t="s">
        <v>141</v>
      </c>
      <c r="N28" s="419"/>
      <c r="O28" s="1105" t="s">
        <v>322</v>
      </c>
      <c r="R28" s="202"/>
      <c r="S28" s="412">
        <f>[1]!F597BudgFY</f>
        <v>0</v>
      </c>
      <c r="T28" s="33">
        <v>0</v>
      </c>
      <c r="U28" s="422">
        <v>24</v>
      </c>
    </row>
    <row r="29" spans="1:21" ht="12" customHeight="1">
      <c r="A29" s="194" t="s">
        <v>138</v>
      </c>
      <c r="B29" s="401"/>
      <c r="C29" s="1103" t="s">
        <v>323</v>
      </c>
      <c r="D29" s="409"/>
      <c r="F29" s="1399">
        <f>[1]!F400Personnel</f>
        <v>0</v>
      </c>
      <c r="G29" s="1671"/>
      <c r="H29" s="1672"/>
      <c r="I29" s="1127">
        <f>[1]!F400BudgFY</f>
        <v>0</v>
      </c>
      <c r="J29" s="1400"/>
      <c r="K29" s="422" t="s">
        <v>138</v>
      </c>
      <c r="L29" s="410"/>
      <c r="M29" s="423" t="s">
        <v>143</v>
      </c>
      <c r="N29" s="96"/>
      <c r="O29" s="178" t="s">
        <v>324</v>
      </c>
      <c r="P29" s="101"/>
      <c r="Q29" s="101"/>
      <c r="R29" s="410"/>
      <c r="S29" s="336">
        <f>[1]!F639BudgFY</f>
        <v>0</v>
      </c>
      <c r="T29" s="10">
        <v>0</v>
      </c>
      <c r="U29" s="424" t="s">
        <v>143</v>
      </c>
    </row>
    <row r="30" spans="1:21" ht="12" customHeight="1">
      <c r="A30" s="194" t="s">
        <v>139</v>
      </c>
      <c r="B30" s="401"/>
      <c r="C30" s="1103" t="s">
        <v>325</v>
      </c>
      <c r="D30" s="409"/>
      <c r="F30" s="1397">
        <f>[1]!F410Personnel</f>
        <v>0</v>
      </c>
      <c r="G30" s="1660"/>
      <c r="H30" s="1660"/>
      <c r="I30" s="1398">
        <f>[1]!F410BudgFY</f>
        <v>0</v>
      </c>
      <c r="J30" s="1095"/>
      <c r="K30" s="422" t="s">
        <v>139</v>
      </c>
      <c r="L30" s="410"/>
      <c r="M30" s="423" t="s">
        <v>146</v>
      </c>
      <c r="O30" s="178" t="s">
        <v>326</v>
      </c>
      <c r="P30" s="101"/>
      <c r="Q30" s="101"/>
      <c r="R30" s="410"/>
      <c r="S30" s="412">
        <f>[1]!F650BudgFY</f>
        <v>17000</v>
      </c>
      <c r="T30" s="10">
        <v>2000</v>
      </c>
      <c r="U30" s="424" t="s">
        <v>146</v>
      </c>
    </row>
    <row r="31" spans="1:21" ht="12" customHeight="1">
      <c r="A31" s="423" t="s">
        <v>141</v>
      </c>
      <c r="B31" s="1278"/>
      <c r="C31" s="1103" t="s">
        <v>327</v>
      </c>
      <c r="D31" s="409"/>
      <c r="F31" s="1397">
        <f>[1]!F420Personnel</f>
        <v>0</v>
      </c>
      <c r="G31" s="1660"/>
      <c r="H31" s="1660"/>
      <c r="I31" s="1398">
        <f>[1]!F420BudgFY</f>
        <v>0</v>
      </c>
      <c r="J31" s="1095"/>
      <c r="K31" s="424" t="s">
        <v>141</v>
      </c>
      <c r="L31" s="410"/>
      <c r="M31" s="423" t="s">
        <v>148</v>
      </c>
      <c r="N31" s="96"/>
      <c r="O31" s="178" t="s">
        <v>328</v>
      </c>
      <c r="P31" s="96"/>
      <c r="Q31" s="96"/>
      <c r="R31" s="96"/>
      <c r="S31" s="412">
        <f>[1]!F660BudgFY</f>
        <v>0</v>
      </c>
      <c r="T31" s="10">
        <v>0</v>
      </c>
      <c r="U31" s="424" t="s">
        <v>148</v>
      </c>
    </row>
    <row r="32" spans="1:21" ht="12" customHeight="1">
      <c r="A32" s="423" t="s">
        <v>143</v>
      </c>
      <c r="B32" s="1278"/>
      <c r="C32" s="432" t="s">
        <v>329</v>
      </c>
      <c r="D32" s="409"/>
      <c r="F32" s="1397">
        <f>[1]!F425Personnel</f>
        <v>0</v>
      </c>
      <c r="G32" s="1660"/>
      <c r="H32" s="1660"/>
      <c r="I32" s="1398">
        <f>[1]!F425BudgFY</f>
        <v>0</v>
      </c>
      <c r="J32" s="1095"/>
      <c r="K32" s="424" t="s">
        <v>143</v>
      </c>
      <c r="L32" s="410"/>
      <c r="M32" s="423" t="s">
        <v>151</v>
      </c>
      <c r="N32" s="419"/>
      <c r="O32" s="178" t="s">
        <v>330</v>
      </c>
      <c r="P32" s="96"/>
      <c r="Q32" s="96"/>
      <c r="R32" s="96"/>
      <c r="S32" s="412">
        <f>[1]!F665BudgFY</f>
        <v>0</v>
      </c>
      <c r="T32" s="10">
        <v>0</v>
      </c>
      <c r="U32" s="424" t="s">
        <v>151</v>
      </c>
    </row>
    <row r="33" spans="1:21" ht="12" customHeight="1">
      <c r="A33" s="1285" t="s">
        <v>146</v>
      </c>
      <c r="B33" s="1278"/>
      <c r="C33" s="1103" t="s">
        <v>331</v>
      </c>
      <c r="D33" s="409"/>
      <c r="F33" s="1397">
        <f>[1]!F430Personnel</f>
        <v>0</v>
      </c>
      <c r="G33" s="1660"/>
      <c r="H33" s="1660"/>
      <c r="I33" s="1398">
        <f>[1]!F430BudgFY</f>
        <v>0</v>
      </c>
      <c r="J33" s="1095"/>
      <c r="K33" s="425" t="s">
        <v>146</v>
      </c>
      <c r="L33" s="1299"/>
      <c r="M33" s="416" t="s">
        <v>153</v>
      </c>
      <c r="N33" s="96"/>
      <c r="O33" s="178" t="s">
        <v>332</v>
      </c>
      <c r="R33" s="96"/>
      <c r="S33" s="412">
        <f>[1]!F686BudgFY</f>
        <v>0</v>
      </c>
      <c r="T33" s="10">
        <v>0</v>
      </c>
      <c r="U33" s="425" t="s">
        <v>153</v>
      </c>
    </row>
    <row r="34" spans="1:21" ht="12" customHeight="1">
      <c r="A34" s="423" t="s">
        <v>148</v>
      </c>
      <c r="B34" s="1278"/>
      <c r="C34" s="1103" t="s">
        <v>333</v>
      </c>
      <c r="D34" s="409"/>
      <c r="F34" s="1397">
        <f>[1]!F435Personnel</f>
        <v>0</v>
      </c>
      <c r="G34" s="1660"/>
      <c r="H34" s="1660"/>
      <c r="I34" s="1398">
        <f>[1]!F435BudgFY</f>
        <v>0</v>
      </c>
      <c r="J34" s="1095"/>
      <c r="K34" s="425" t="s">
        <v>148</v>
      </c>
      <c r="L34" s="410"/>
      <c r="M34" s="426" t="s">
        <v>154</v>
      </c>
      <c r="N34" s="96"/>
      <c r="O34" s="178" t="s">
        <v>334</v>
      </c>
      <c r="R34" s="96"/>
      <c r="S34" s="412">
        <f>[1]!F691BudgFY</f>
        <v>16582</v>
      </c>
      <c r="T34" s="10">
        <v>700</v>
      </c>
      <c r="U34" s="425" t="s">
        <v>154</v>
      </c>
    </row>
    <row r="35" spans="1:21" ht="12" customHeight="1">
      <c r="A35" s="1285" t="s">
        <v>151</v>
      </c>
      <c r="B35" s="1278"/>
      <c r="C35" s="1103" t="s">
        <v>335</v>
      </c>
      <c r="D35" s="409"/>
      <c r="F35" s="1397">
        <f>[1]!F450Personnel</f>
        <v>0</v>
      </c>
      <c r="G35" s="1660"/>
      <c r="H35" s="1660"/>
      <c r="I35" s="1398">
        <f>[1]!F450BudgFY</f>
        <v>0</v>
      </c>
      <c r="J35" s="1095"/>
      <c r="K35" s="425" t="s">
        <v>151</v>
      </c>
      <c r="L35" s="1299"/>
      <c r="M35" s="427" t="s">
        <v>336</v>
      </c>
      <c r="O35" s="178" t="s">
        <v>337</v>
      </c>
      <c r="R35" s="96"/>
      <c r="S35" s="412">
        <f>[1]!F700BudgFY</f>
        <v>922992</v>
      </c>
      <c r="T35" s="10">
        <v>850000</v>
      </c>
      <c r="U35" s="425" t="s">
        <v>336</v>
      </c>
    </row>
    <row r="36" spans="1:21" ht="12" customHeight="1">
      <c r="A36" s="427" t="s">
        <v>153</v>
      </c>
      <c r="B36" s="1278"/>
      <c r="C36" s="1279" t="s">
        <v>338</v>
      </c>
      <c r="D36" s="1280"/>
      <c r="F36" s="1397">
        <f t="array" ref="F36">[1]!F456Personnel</f>
        <v>0</v>
      </c>
      <c r="G36" s="1660"/>
      <c r="H36" s="1660"/>
      <c r="I36" s="1398">
        <f t="array" ref="I36">[1]!F456BudgFY</f>
        <v>0</v>
      </c>
      <c r="J36" s="1095"/>
      <c r="K36" s="425" t="s">
        <v>153</v>
      </c>
      <c r="L36" s="410"/>
      <c r="M36" s="423" t="s">
        <v>339</v>
      </c>
      <c r="N36" s="419"/>
      <c r="O36" s="178" t="s">
        <v>340</v>
      </c>
      <c r="R36" s="96"/>
      <c r="S36" s="412">
        <f>[1]!F720BudgFY</f>
        <v>0</v>
      </c>
      <c r="T36" s="10">
        <v>0</v>
      </c>
      <c r="U36" s="424" t="s">
        <v>339</v>
      </c>
    </row>
    <row r="37" spans="1:21" ht="12" customHeight="1">
      <c r="A37" s="427" t="s">
        <v>154</v>
      </c>
      <c r="B37" s="1278"/>
      <c r="C37" s="1281" t="s">
        <v>341</v>
      </c>
      <c r="D37" s="1282"/>
      <c r="F37" s="1397">
        <f>[1]!F460Personnel</f>
        <v>0</v>
      </c>
      <c r="G37" s="1660"/>
      <c r="H37" s="1660"/>
      <c r="I37" s="1398">
        <f>[1]!F460BudgFY</f>
        <v>0</v>
      </c>
      <c r="J37" s="1095"/>
      <c r="K37" s="425" t="s">
        <v>154</v>
      </c>
      <c r="L37" s="410"/>
      <c r="M37" s="416" t="s">
        <v>342</v>
      </c>
      <c r="N37" s="419"/>
      <c r="O37" s="424" t="s">
        <v>343</v>
      </c>
      <c r="R37" s="202"/>
      <c r="S37" s="412">
        <f>[1]!F850BudgFY</f>
        <v>25000</v>
      </c>
      <c r="T37" s="73">
        <v>25000</v>
      </c>
      <c r="U37" s="430" t="s">
        <v>342</v>
      </c>
    </row>
    <row r="38" spans="1:21" ht="12" customHeight="1" thickBot="1">
      <c r="A38" s="1285" t="s">
        <v>336</v>
      </c>
      <c r="B38" s="1278"/>
      <c r="C38" s="1105" t="s">
        <v>344</v>
      </c>
      <c r="D38" s="1280"/>
      <c r="E38" s="409"/>
      <c r="F38" s="1401">
        <f>[1]!F465499Personnel</f>
        <v>0</v>
      </c>
      <c r="G38" s="1681"/>
      <c r="H38" s="1682"/>
      <c r="I38" s="1402">
        <f>[1]!F465499BudgFY</f>
        <v>330330</v>
      </c>
      <c r="J38" s="9">
        <v>436819</v>
      </c>
      <c r="K38" s="425" t="s">
        <v>336</v>
      </c>
      <c r="L38" s="410"/>
      <c r="M38" s="416" t="s">
        <v>345</v>
      </c>
      <c r="O38" s="13" t="s">
        <v>1422</v>
      </c>
      <c r="R38" s="96"/>
      <c r="S38" s="336">
        <f>[1]!OtherFundsBudgFY</f>
        <v>1200000</v>
      </c>
      <c r="T38" s="10">
        <v>1200000</v>
      </c>
      <c r="U38" s="430" t="s">
        <v>345</v>
      </c>
    </row>
    <row r="39" spans="1:21" ht="12" customHeight="1" thickBot="1">
      <c r="A39" s="427" t="s">
        <v>339</v>
      </c>
      <c r="B39" s="1282"/>
      <c r="C39" s="1105" t="s">
        <v>346</v>
      </c>
      <c r="D39" s="202"/>
      <c r="F39" s="428">
        <f>SUM(F29:F38)</f>
        <v>0</v>
      </c>
      <c r="G39" s="1669">
        <f>SUM(G29:H38)</f>
        <v>0</v>
      </c>
      <c r="H39" s="1670"/>
      <c r="I39" s="421">
        <f>SUM(I29:I38)</f>
        <v>330330</v>
      </c>
      <c r="J39" s="421">
        <f>SUM(J29:J38)</f>
        <v>436819</v>
      </c>
      <c r="K39" s="425" t="s">
        <v>339</v>
      </c>
      <c r="L39" s="410"/>
      <c r="O39" s="117" t="s">
        <v>347</v>
      </c>
      <c r="P39" s="96"/>
      <c r="Q39" s="96"/>
      <c r="R39" s="96"/>
      <c r="S39" s="96"/>
      <c r="T39" s="96"/>
    </row>
    <row r="40" spans="1:21" ht="12" customHeight="1" thickTop="1" thickBot="1">
      <c r="A40" s="427" t="s">
        <v>342</v>
      </c>
      <c r="B40" s="1282"/>
      <c r="C40" s="1105" t="s">
        <v>348</v>
      </c>
      <c r="D40" s="202"/>
      <c r="F40" s="428">
        <f>F27+F39</f>
        <v>22</v>
      </c>
      <c r="G40" s="1669">
        <f>G27+G39</f>
        <v>0</v>
      </c>
      <c r="H40" s="1670"/>
      <c r="I40" s="429">
        <f>I27+I39</f>
        <v>4041840</v>
      </c>
      <c r="J40" s="421">
        <f>J27+J39</f>
        <v>2521456</v>
      </c>
      <c r="K40" s="425" t="s">
        <v>342</v>
      </c>
      <c r="L40" s="96"/>
      <c r="M40" s="1299" t="s">
        <v>6</v>
      </c>
      <c r="O40" s="18" t="s">
        <v>349</v>
      </c>
      <c r="P40" s="96"/>
      <c r="Q40" s="96"/>
      <c r="R40" s="96"/>
      <c r="S40" s="412">
        <f>[1]!F9__SelfInsBudgFY</f>
        <v>0</v>
      </c>
      <c r="T40" s="10">
        <v>0</v>
      </c>
      <c r="U40" s="420" t="s">
        <v>6</v>
      </c>
    </row>
    <row r="41" spans="1:21" ht="12" customHeight="1" thickTop="1">
      <c r="K41" s="1282"/>
      <c r="L41" s="96"/>
      <c r="M41" s="415" t="s">
        <v>8</v>
      </c>
      <c r="O41" s="101" t="s">
        <v>350</v>
      </c>
      <c r="P41" s="96"/>
      <c r="Q41" s="96"/>
      <c r="R41" s="410"/>
      <c r="S41" s="412">
        <f>[1]!F955BudgFY</f>
        <v>0</v>
      </c>
      <c r="T41" s="11">
        <v>0</v>
      </c>
      <c r="U41" s="185" t="s">
        <v>8</v>
      </c>
    </row>
    <row r="42" spans="1:21" ht="12" customHeight="1">
      <c r="A42" s="1677" t="s">
        <v>351</v>
      </c>
      <c r="B42" s="1678"/>
      <c r="C42" s="1678"/>
      <c r="D42" s="1678"/>
      <c r="E42" s="1678"/>
      <c r="I42" s="1088" t="s">
        <v>158</v>
      </c>
      <c r="J42" s="1311" t="s">
        <v>159</v>
      </c>
      <c r="K42" s="1282"/>
      <c r="L42" s="96"/>
      <c r="M42" s="121" t="s">
        <v>22</v>
      </c>
      <c r="O42" s="13" t="s">
        <v>352</v>
      </c>
      <c r="P42" s="96"/>
      <c r="Q42" s="96"/>
      <c r="R42" s="96"/>
      <c r="S42" s="412">
        <f>[1]!F9__OPEBBudgFY</f>
        <v>0</v>
      </c>
      <c r="T42" s="11">
        <v>0</v>
      </c>
      <c r="U42" s="327" t="s">
        <v>22</v>
      </c>
    </row>
    <row r="43" spans="1:21" ht="12" customHeight="1">
      <c r="A43" s="410" t="s">
        <v>6</v>
      </c>
      <c r="C43" s="101" t="s">
        <v>353</v>
      </c>
      <c r="D43" s="295"/>
      <c r="I43" s="1089">
        <f>_xlfn.SINGLE('[1]Page 6'!J43)</f>
        <v>0</v>
      </c>
      <c r="J43" s="1094">
        <v>150000</v>
      </c>
      <c r="K43" s="1288" t="s">
        <v>6</v>
      </c>
      <c r="L43" s="96"/>
      <c r="M43" s="121" t="s">
        <v>42</v>
      </c>
      <c r="O43" s="18" t="s">
        <v>1423</v>
      </c>
      <c r="P43" s="96"/>
      <c r="Q43" s="96"/>
      <c r="R43" s="96"/>
      <c r="S43" s="412">
        <f>[1]!F9__OtherBudgFY</f>
        <v>2070</v>
      </c>
      <c r="T43" s="11">
        <v>2100</v>
      </c>
      <c r="U43" s="327" t="s">
        <v>42</v>
      </c>
    </row>
    <row r="44" spans="1:21" ht="12" customHeight="1">
      <c r="A44" s="410" t="s">
        <v>8</v>
      </c>
      <c r="B44" s="96"/>
      <c r="C44" s="96" t="s">
        <v>354</v>
      </c>
      <c r="D44" s="96"/>
      <c r="E44" s="410"/>
      <c r="I44" s="1089">
        <f>_xlfn.SINGLE('[1]Page 6'!J44)</f>
        <v>150000</v>
      </c>
      <c r="J44" s="1095"/>
      <c r="K44" s="424" t="s">
        <v>8</v>
      </c>
      <c r="L44" s="96"/>
      <c r="N44" s="419"/>
      <c r="O44" s="96"/>
      <c r="P44" s="96"/>
      <c r="Q44" s="96"/>
      <c r="R44" s="96"/>
      <c r="U44" s="178"/>
    </row>
    <row r="45" spans="1:21" ht="12.75" customHeight="1">
      <c r="A45" s="410" t="s">
        <v>22</v>
      </c>
      <c r="B45" s="96"/>
      <c r="C45" s="96" t="s">
        <v>355</v>
      </c>
      <c r="D45" s="96"/>
      <c r="E45" s="410"/>
      <c r="I45" s="1089">
        <f>_xlfn.SINGLE('[1]Page 6'!J45)</f>
        <v>0</v>
      </c>
      <c r="J45" s="1095"/>
      <c r="K45" s="424" t="s">
        <v>22</v>
      </c>
      <c r="L45" s="96"/>
      <c r="N45" s="1299"/>
      <c r="S45" s="433"/>
      <c r="T45" s="96"/>
    </row>
    <row r="46" spans="1:21" ht="12.75" customHeight="1">
      <c r="A46" s="410" t="s">
        <v>42</v>
      </c>
      <c r="B46" s="96"/>
      <c r="C46" s="96" t="s">
        <v>356</v>
      </c>
      <c r="D46" s="96"/>
      <c r="E46" s="410"/>
      <c r="I46" s="1089">
        <f>_xlfn.SINGLE('[1]Page 6'!J46)</f>
        <v>50000</v>
      </c>
      <c r="J46" s="1095">
        <v>100000</v>
      </c>
      <c r="K46" s="424" t="s">
        <v>42</v>
      </c>
      <c r="M46" s="176" t="s">
        <v>357</v>
      </c>
      <c r="N46" s="96" t="s">
        <v>358</v>
      </c>
    </row>
    <row r="47" spans="1:21" ht="12.75" customHeight="1" thickBot="1">
      <c r="A47" s="410" t="s">
        <v>111</v>
      </c>
      <c r="B47" s="96"/>
      <c r="C47" s="96" t="s">
        <v>359</v>
      </c>
      <c r="D47" s="96"/>
      <c r="E47" s="410"/>
      <c r="I47" s="1089">
        <f>_xlfn.SINGLE('[1]Page 6'!J47)</f>
        <v>200000</v>
      </c>
      <c r="J47" s="1093">
        <f>SUM(J43:J46)</f>
        <v>250000</v>
      </c>
      <c r="K47" s="424" t="s">
        <v>111</v>
      </c>
      <c r="M47" s="176" t="s">
        <v>360</v>
      </c>
      <c r="N47" s="96" t="s">
        <v>361</v>
      </c>
      <c r="S47" s="1507"/>
    </row>
    <row r="48" spans="1:21" ht="12.75" customHeight="1" thickTop="1">
      <c r="A48" s="1299"/>
      <c r="B48" s="1299"/>
      <c r="E48" s="410"/>
      <c r="I48" s="1090"/>
      <c r="J48" s="1092"/>
      <c r="K48" s="1282"/>
      <c r="M48" s="176"/>
      <c r="N48" s="96"/>
    </row>
    <row r="49" spans="1:28">
      <c r="A49" s="434"/>
      <c r="B49" s="1299"/>
      <c r="E49" s="410"/>
      <c r="I49" s="1091"/>
      <c r="J49" s="1091"/>
    </row>
    <row r="50" spans="1:28">
      <c r="E50" s="1679"/>
      <c r="F50" s="1679"/>
      <c r="G50" s="1680"/>
      <c r="H50" s="1680"/>
    </row>
    <row r="51" spans="1:28">
      <c r="E51" s="1675"/>
      <c r="F51" s="1675"/>
      <c r="G51" s="1675"/>
      <c r="H51" s="1675"/>
      <c r="AB51" s="431"/>
    </row>
    <row r="52" spans="1:28">
      <c r="E52" s="1675"/>
      <c r="F52" s="1675"/>
      <c r="G52" s="1676"/>
      <c r="H52" s="1676"/>
      <c r="AB52" s="431"/>
    </row>
    <row r="53" spans="1:28">
      <c r="E53" s="1675"/>
      <c r="F53" s="1675"/>
      <c r="G53" s="1676"/>
      <c r="H53" s="1676"/>
      <c r="AB53" s="431"/>
    </row>
    <row r="54" spans="1:28">
      <c r="E54" s="1675"/>
      <c r="F54" s="1675"/>
      <c r="G54" s="1676"/>
      <c r="H54" s="1676"/>
      <c r="AB54" s="431"/>
    </row>
    <row r="55" spans="1:28">
      <c r="E55" s="1675"/>
      <c r="F55" s="1675"/>
      <c r="G55" s="1676"/>
      <c r="H55" s="1676"/>
      <c r="AB55" s="431"/>
    </row>
    <row r="56" spans="1:28">
      <c r="E56" s="409"/>
      <c r="AB56" s="431"/>
    </row>
    <row r="57" spans="1:28">
      <c r="T57" s="96"/>
      <c r="W57" s="410"/>
    </row>
  </sheetData>
  <sheetProtection formatCells="0" formatColumns="0" formatRows="0"/>
  <mergeCells count="52">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 ref="G26:H26"/>
    <mergeCell ref="G21:H21"/>
    <mergeCell ref="G22:H22"/>
    <mergeCell ref="G34:H34"/>
    <mergeCell ref="G29:H29"/>
    <mergeCell ref="G33:H33"/>
    <mergeCell ref="G31:H31"/>
    <mergeCell ref="G27:H27"/>
    <mergeCell ref="G39:H39"/>
    <mergeCell ref="G32:H32"/>
    <mergeCell ref="G35:H35"/>
    <mergeCell ref="G30:H30"/>
    <mergeCell ref="G37:H37"/>
    <mergeCell ref="G7:H7"/>
    <mergeCell ref="G8:H8"/>
    <mergeCell ref="G10:H10"/>
    <mergeCell ref="G11:H11"/>
    <mergeCell ref="G12:H12"/>
    <mergeCell ref="P1:Q1"/>
    <mergeCell ref="J1:L1"/>
    <mergeCell ref="G3:H3"/>
    <mergeCell ref="F5:H5"/>
    <mergeCell ref="G6:H6"/>
    <mergeCell ref="D1:F1"/>
    <mergeCell ref="G19:H19"/>
    <mergeCell ref="G9:H9"/>
    <mergeCell ref="G23:H23"/>
    <mergeCell ref="G24:H24"/>
    <mergeCell ref="G25:H25"/>
    <mergeCell ref="G18:H18"/>
    <mergeCell ref="G16:H16"/>
    <mergeCell ref="G13:H13"/>
    <mergeCell ref="G14:H14"/>
    <mergeCell ref="G15:H15"/>
    <mergeCell ref="G17:H17"/>
    <mergeCell ref="G20:H20"/>
  </mergeCells>
  <hyperlinks>
    <hyperlink ref="A22" location="Page6l16" display="16." xr:uid="{00000000-0004-0000-0600-000000000000}"/>
    <hyperlink ref="M41" location="Page6l2" display="2." xr:uid="{00000000-0004-0000-0600-000001000000}"/>
    <hyperlink ref="M6" location="Page6l2and3" display="2." xr:uid="{00000000-0004-0000-0600-000002000000}"/>
    <hyperlink ref="M7" location="Page6l2and3" display="3." xr:uid="{00000000-0004-0000-0600-000003000000}"/>
    <hyperlink ref="M8" location="Page6l4" display="4." xr:uid="{00000000-0004-0000-0600-000004000000}"/>
    <hyperlink ref="A33" location="Page6F456" display="26." xr:uid="{00000000-0004-0000-0600-000005000000}"/>
    <hyperlink ref="M38" location="Page6l34" display="34." xr:uid="{00000000-0004-0000-0600-000006000000}"/>
    <hyperlink ref="M28" location="Page6l24" display="24." xr:uid="{00000000-0004-0000-0600-000007000000}"/>
    <hyperlink ref="M37" location="Page6l33" display="33." xr:uid="{00000000-0004-0000-0600-000008000000}"/>
    <hyperlink ref="A24" location="Page6l16" display="17." xr:uid="{00000000-0004-0000-0600-000009000000}"/>
    <hyperlink ref="M33" location="Page6l29" display="29." xr:uid="{00000000-0004-0000-0600-00000A000000}"/>
    <hyperlink ref="M34" location="Page6l30" display="30." xr:uid="{00000000-0004-0000-0600-00000B000000}"/>
    <hyperlink ref="A35" location="Page6l28" display="28." xr:uid="{00000000-0004-0000-0600-00000C000000}"/>
    <hyperlink ref="A25" location="Page6l17" display="19." xr:uid="{00000000-0004-0000-0600-00000D000000}"/>
    <hyperlink ref="A38" location="Page6l31" display="31." xr:uid="{00000000-0004-0000-0600-00000E000000}"/>
  </hyperlinks>
  <printOptions horizontalCentered="1"/>
  <pageMargins left="0.25" right="0.25" top="0.25" bottom="0.25" header="0" footer="0.15"/>
  <pageSetup paperSize="5" scale="93" orientation="landscape" r:id="rId1"/>
  <headerFooter alignWithMargins="0">
    <oddFooter>&amp;L&amp;"Times New Roman,Bold"&amp;9Rev. 5/25&amp;K000000 Arizona Department of Education and Auditor General&amp;C&amp;"Times New Roman,Regular"&amp;9&amp;D  &amp;T</oddFooter>
  </headerFooter>
  <ignoredErrors>
    <ignoredError sqref="M28"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B72"/>
  <sheetViews>
    <sheetView showGridLines="0" tabSelected="1" workbookViewId="0">
      <selection activeCell="W6" sqref="W6"/>
    </sheetView>
  </sheetViews>
  <sheetFormatPr defaultColWidth="8" defaultRowHeight="11.4"/>
  <cols>
    <col min="1" max="2" width="2.90625" style="308" customWidth="1"/>
    <col min="3" max="3" width="6" style="308" customWidth="1"/>
    <col min="4" max="4" width="15.90625" style="308" customWidth="1"/>
    <col min="5" max="5" width="2.90625" style="308" customWidth="1"/>
    <col min="6" max="6" width="8.90625" style="308" customWidth="1"/>
    <col min="7" max="7" width="3.90625" style="308" customWidth="1"/>
    <col min="8" max="8" width="12.90625" style="308" customWidth="1"/>
    <col min="9" max="9" width="6.54296875" style="308" customWidth="1"/>
    <col min="10" max="10" width="11.453125" style="308" customWidth="1"/>
    <col min="11" max="11" width="3.90625" style="308" customWidth="1"/>
    <col min="12" max="12" width="2.453125" style="308" customWidth="1"/>
    <col min="13" max="13" width="11.453125" style="308" customWidth="1"/>
    <col min="14" max="14" width="8" style="308" customWidth="1"/>
    <col min="15" max="15" width="1.90625" style="308" customWidth="1"/>
    <col min="16" max="16" width="4.90625" style="308" customWidth="1"/>
    <col min="17" max="17" width="18" style="308" customWidth="1"/>
    <col min="18" max="18" width="10.90625" style="308" customWidth="1"/>
    <col min="19" max="19" width="8" style="308" customWidth="1"/>
    <col min="20" max="20" width="2" style="308" customWidth="1"/>
    <col min="21" max="21" width="8" style="308" customWidth="1"/>
    <col min="22" max="22" width="1.54296875" style="308" customWidth="1"/>
    <col min="23" max="23" width="1.453125" style="308" customWidth="1"/>
    <col min="24" max="28" width="8" style="308" customWidth="1"/>
    <col min="29" max="16384" width="8" style="308"/>
  </cols>
  <sheetData>
    <row r="1" spans="1:19" ht="15">
      <c r="A1" s="435"/>
      <c r="B1" s="454"/>
      <c r="C1" s="1341" t="s">
        <v>184</v>
      </c>
      <c r="D1" s="1683" t="str">
        <f>DistrictName</f>
        <v>Murphy Elementary School District #21</v>
      </c>
      <c r="E1" s="1611"/>
      <c r="F1" s="1154" t="s">
        <v>1</v>
      </c>
      <c r="G1" s="1683" t="str">
        <f>Cover!H1</f>
        <v>Maricopa</v>
      </c>
      <c r="H1" s="1611"/>
      <c r="I1" s="1611"/>
      <c r="J1" s="452"/>
      <c r="K1" s="1155"/>
      <c r="L1" s="1156" t="s">
        <v>60</v>
      </c>
      <c r="M1" s="438" t="str">
        <f>Cover!S1</f>
        <v>070421000</v>
      </c>
    </row>
    <row r="2" spans="1:19" ht="15" customHeight="1">
      <c r="A2" s="439"/>
      <c r="B2" s="1317"/>
      <c r="C2" s="1317"/>
      <c r="D2" s="1317"/>
      <c r="E2" s="1317"/>
      <c r="F2" s="1317"/>
      <c r="G2" s="1317"/>
      <c r="H2" s="1317"/>
      <c r="I2" s="1317"/>
      <c r="J2" s="1317"/>
      <c r="K2" s="96"/>
      <c r="L2" s="1156" t="s">
        <v>16</v>
      </c>
      <c r="M2" s="440" t="str">
        <f>Cover!C8</f>
        <v>Proposed</v>
      </c>
    </row>
    <row r="3" spans="1:19" ht="12" customHeight="1">
      <c r="A3" s="1685" t="s">
        <v>1135</v>
      </c>
      <c r="B3" s="1686"/>
      <c r="C3" s="1686"/>
      <c r="D3" s="1686"/>
      <c r="E3" s="1686"/>
      <c r="F3" s="1686"/>
      <c r="G3" s="1686"/>
      <c r="H3" s="1686"/>
      <c r="I3" s="1686"/>
      <c r="J3" s="1686"/>
      <c r="K3" s="1686"/>
      <c r="L3" s="1686"/>
      <c r="M3" s="1686"/>
    </row>
    <row r="4" spans="1:19" ht="12" customHeight="1">
      <c r="A4" s="441" t="s">
        <v>362</v>
      </c>
      <c r="B4" s="442"/>
      <c r="C4" s="442"/>
      <c r="D4" s="442"/>
      <c r="E4" s="442"/>
      <c r="F4" s="443"/>
      <c r="G4" s="443"/>
      <c r="H4" s="443"/>
      <c r="I4" s="443"/>
      <c r="J4" s="443"/>
      <c r="K4" s="442"/>
      <c r="L4" s="442"/>
      <c r="M4" s="444"/>
    </row>
    <row r="5" spans="1:19" ht="3" customHeight="1">
      <c r="A5" s="441"/>
      <c r="B5" s="442"/>
      <c r="C5" s="442"/>
      <c r="D5" s="442"/>
      <c r="E5" s="442"/>
      <c r="F5" s="442"/>
      <c r="G5" s="442"/>
      <c r="H5" s="442"/>
      <c r="I5" s="442"/>
      <c r="J5" s="442"/>
      <c r="K5" s="442"/>
      <c r="L5" s="442"/>
      <c r="M5" s="444"/>
    </row>
    <row r="6" spans="1:19" ht="9.75" customHeight="1">
      <c r="A6" s="445"/>
      <c r="B6" s="1317"/>
      <c r="C6" s="1317"/>
      <c r="D6" s="1317"/>
      <c r="E6" s="1317"/>
      <c r="F6" s="1317"/>
      <c r="G6" s="1317"/>
      <c r="H6" s="1317"/>
      <c r="I6" s="1317"/>
      <c r="J6" s="446" t="s">
        <v>363</v>
      </c>
      <c r="K6" s="442"/>
      <c r="L6" s="442"/>
      <c r="M6" s="447" t="s">
        <v>364</v>
      </c>
    </row>
    <row r="7" spans="1:19" ht="10.5" customHeight="1">
      <c r="A7" s="448" t="s">
        <v>44</v>
      </c>
      <c r="B7" s="442"/>
      <c r="C7" s="442"/>
      <c r="D7" s="442"/>
      <c r="E7" s="442"/>
      <c r="F7" s="442"/>
      <c r="G7" s="442"/>
      <c r="H7" s="442"/>
      <c r="I7" s="442"/>
      <c r="J7" s="446" t="s">
        <v>365</v>
      </c>
      <c r="K7" s="449"/>
      <c r="L7" s="1317"/>
      <c r="M7" s="447" t="s">
        <v>366</v>
      </c>
    </row>
    <row r="8" spans="1:19" ht="10.5" customHeight="1">
      <c r="A8" s="448"/>
      <c r="B8" s="442"/>
      <c r="C8" s="442"/>
      <c r="D8" s="442"/>
      <c r="E8" s="442"/>
      <c r="F8" s="442"/>
      <c r="G8" s="442"/>
      <c r="H8" s="442"/>
      <c r="I8" s="442"/>
      <c r="J8" s="450" t="s">
        <v>367</v>
      </c>
      <c r="K8" s="449"/>
      <c r="L8" s="1317"/>
      <c r="M8" s="451" t="s">
        <v>368</v>
      </c>
    </row>
    <row r="9" spans="1:19" ht="11.25" customHeight="1">
      <c r="A9" s="181" t="s">
        <v>369</v>
      </c>
      <c r="B9" s="1195" t="s">
        <v>1136</v>
      </c>
      <c r="C9" s="452"/>
      <c r="D9" s="443"/>
      <c r="E9" s="443"/>
      <c r="F9" s="443"/>
      <c r="G9" s="442"/>
      <c r="H9" s="1317"/>
      <c r="I9" s="442"/>
      <c r="J9" s="436"/>
      <c r="K9" s="449"/>
      <c r="L9" s="1317"/>
      <c r="M9" s="300"/>
      <c r="N9" s="1698" t="str">
        <f>IF((H10-J10)&gt;=0,"","The RCL amount allocated to the M&amp;O Fund exceeds the calculated RCL amount.")</f>
        <v/>
      </c>
      <c r="O9" s="1698"/>
      <c r="P9" s="1698"/>
      <c r="Q9" s="1698"/>
      <c r="R9" s="1698"/>
      <c r="S9" s="1698"/>
    </row>
    <row r="10" spans="1:19" ht="12.75" customHeight="1">
      <c r="A10" s="300"/>
      <c r="B10" s="453" t="s">
        <v>1112</v>
      </c>
      <c r="C10" s="452"/>
      <c r="D10" s="454"/>
      <c r="E10" s="454"/>
      <c r="F10" s="454"/>
      <c r="G10" s="455" t="s">
        <v>370</v>
      </c>
      <c r="H10" s="128">
        <f>RCL</f>
        <v>7318545</v>
      </c>
      <c r="I10" s="456" t="s">
        <v>370</v>
      </c>
      <c r="J10" s="5">
        <v>7318545</v>
      </c>
      <c r="K10" s="458"/>
      <c r="L10" s="456" t="s">
        <v>370</v>
      </c>
      <c r="M10" s="459">
        <f>IF((H10-J10)&lt;0,"Error",H10-J10)</f>
        <v>0</v>
      </c>
      <c r="N10" s="1698"/>
      <c r="O10" s="1698"/>
      <c r="P10" s="1698"/>
      <c r="Q10" s="1698"/>
      <c r="R10" s="1698"/>
      <c r="S10" s="1698"/>
    </row>
    <row r="11" spans="1:19" ht="12" hidden="1">
      <c r="A11" s="460"/>
      <c r="B11" s="461"/>
      <c r="C11" s="462"/>
      <c r="D11" s="1317"/>
      <c r="E11" s="1317"/>
      <c r="F11" s="1317"/>
      <c r="G11" s="456"/>
      <c r="H11" s="463"/>
      <c r="I11" s="458"/>
      <c r="J11" s="458"/>
      <c r="K11" s="458"/>
      <c r="L11" s="1317"/>
      <c r="M11" s="458"/>
    </row>
    <row r="12" spans="1:19" ht="3" customHeight="1">
      <c r="A12" s="464"/>
      <c r="B12" s="461"/>
      <c r="C12" s="1690"/>
      <c r="D12" s="1690"/>
      <c r="E12" s="1690"/>
      <c r="F12" s="1690"/>
      <c r="G12" s="456"/>
      <c r="H12" s="1301"/>
      <c r="I12" s="458"/>
      <c r="J12" s="458"/>
      <c r="K12" s="458"/>
      <c r="L12" s="1317"/>
      <c r="M12" s="458"/>
    </row>
    <row r="13" spans="1:19" ht="13.5" hidden="1" customHeight="1">
      <c r="A13" s="465"/>
      <c r="B13" s="466"/>
      <c r="C13" s="462"/>
      <c r="D13" s="300"/>
      <c r="E13" s="1317"/>
      <c r="F13" s="1317"/>
      <c r="G13" s="456"/>
      <c r="H13" s="454"/>
    </row>
    <row r="14" spans="1:19" ht="25.5" customHeight="1">
      <c r="A14" s="467" t="s">
        <v>371</v>
      </c>
      <c r="B14" s="468" t="s">
        <v>372</v>
      </c>
      <c r="C14" s="1691" t="s">
        <v>1137</v>
      </c>
      <c r="D14" s="1691"/>
      <c r="E14" s="1691"/>
      <c r="F14" s="1691"/>
      <c r="G14" s="455" t="s">
        <v>370</v>
      </c>
      <c r="H14" s="457">
        <f>PreAdjDAA</f>
        <v>528154</v>
      </c>
      <c r="I14" s="456"/>
      <c r="J14" s="1301"/>
      <c r="K14" s="458"/>
      <c r="L14" s="1317"/>
      <c r="M14" s="1301"/>
    </row>
    <row r="15" spans="1:19" ht="12.75" customHeight="1">
      <c r="A15" s="464"/>
      <c r="B15" s="468" t="s">
        <v>373</v>
      </c>
      <c r="C15" s="1689" t="s">
        <v>374</v>
      </c>
      <c r="D15" s="1689"/>
      <c r="E15" s="1689"/>
      <c r="F15" s="1689"/>
      <c r="G15" s="455" t="s">
        <v>370</v>
      </c>
      <c r="H15" s="457">
        <f>TotalDAAAdj</f>
        <v>0</v>
      </c>
      <c r="I15" s="456"/>
      <c r="J15" s="1301"/>
      <c r="K15" s="458"/>
      <c r="L15" s="1317"/>
      <c r="M15" s="1301"/>
      <c r="N15" s="1698" t="str">
        <f>IF((H17-J17)&gt;=0,"","The DAA amount allocated to the M&amp;O Fund exceeds the calculated DAA amount.")</f>
        <v/>
      </c>
      <c r="O15" s="1698"/>
      <c r="P15" s="1698"/>
      <c r="Q15" s="1698"/>
      <c r="R15" s="1698"/>
      <c r="S15" s="1698"/>
    </row>
    <row r="16" spans="1:19" ht="27" hidden="1" customHeight="1">
      <c r="A16" s="464"/>
      <c r="B16" s="469"/>
      <c r="C16" s="1691"/>
      <c r="D16" s="1691"/>
      <c r="E16" s="1691"/>
      <c r="F16" s="1691"/>
      <c r="G16" s="456"/>
      <c r="H16" s="470"/>
      <c r="I16" s="456"/>
      <c r="J16" s="1301"/>
      <c r="K16" s="458"/>
      <c r="L16" s="1317"/>
      <c r="M16" s="1301"/>
      <c r="N16" s="1698"/>
      <c r="O16" s="1698"/>
      <c r="P16" s="1698"/>
      <c r="Q16" s="1698"/>
      <c r="R16" s="1698"/>
      <c r="S16" s="1698"/>
    </row>
    <row r="17" spans="1:28" ht="12.75" customHeight="1">
      <c r="A17" s="460"/>
      <c r="B17" s="471" t="s">
        <v>375</v>
      </c>
      <c r="C17" s="202" t="s">
        <v>376</v>
      </c>
      <c r="D17" s="454"/>
      <c r="E17" s="1317"/>
      <c r="F17" s="1317"/>
      <c r="G17" s="456" t="s">
        <v>370</v>
      </c>
      <c r="H17" s="472">
        <f>H14+H15</f>
        <v>528154</v>
      </c>
      <c r="I17" s="456"/>
      <c r="J17" s="89"/>
      <c r="K17" s="458"/>
      <c r="L17" s="1317"/>
      <c r="M17" s="473">
        <f>IF((H17-J17)&lt;0,"Error",H17-J17)</f>
        <v>528154</v>
      </c>
      <c r="N17" s="1698"/>
      <c r="O17" s="1698"/>
      <c r="P17" s="1698"/>
      <c r="Q17" s="1698"/>
      <c r="R17" s="1698"/>
      <c r="S17" s="1698"/>
    </row>
    <row r="18" spans="1:28" ht="45.75" customHeight="1">
      <c r="A18" s="474" t="s">
        <v>377</v>
      </c>
      <c r="B18" s="1699" t="s">
        <v>1138</v>
      </c>
      <c r="C18" s="1699"/>
      <c r="D18" s="1699"/>
      <c r="E18" s="1699"/>
      <c r="F18" s="1699"/>
      <c r="G18" s="1699"/>
      <c r="H18" s="1699"/>
      <c r="I18" s="1699"/>
      <c r="J18" s="463"/>
      <c r="K18" s="458"/>
      <c r="L18" s="1317"/>
      <c r="M18" s="458"/>
      <c r="N18" s="452"/>
      <c r="AA18" s="1200" t="s">
        <v>378</v>
      </c>
      <c r="AB18" s="452"/>
    </row>
    <row r="19" spans="1:28" ht="12">
      <c r="A19" s="456"/>
      <c r="B19" s="475" t="s">
        <v>372</v>
      </c>
      <c r="C19" s="454" t="s">
        <v>379</v>
      </c>
      <c r="D19" s="454"/>
      <c r="E19" s="1317"/>
      <c r="F19" s="1317"/>
      <c r="G19" s="1317"/>
      <c r="H19" s="1317"/>
      <c r="I19" s="456" t="s">
        <v>44</v>
      </c>
      <c r="J19" s="91">
        <v>1150912</v>
      </c>
      <c r="K19" s="458"/>
      <c r="L19" s="1317"/>
      <c r="M19" s="458"/>
    </row>
    <row r="20" spans="1:28" ht="12" customHeight="1">
      <c r="A20" s="464"/>
      <c r="B20" s="475" t="s">
        <v>373</v>
      </c>
      <c r="C20" s="454" t="s">
        <v>234</v>
      </c>
      <c r="D20" s="454"/>
      <c r="E20" s="1317"/>
      <c r="F20" s="1317"/>
      <c r="G20" s="1317"/>
      <c r="H20" s="1317"/>
      <c r="I20" s="456"/>
      <c r="J20" s="476"/>
      <c r="K20" s="458"/>
      <c r="L20" s="1317"/>
      <c r="M20" s="91">
        <v>500000</v>
      </c>
    </row>
    <row r="21" spans="1:28" ht="12" customHeight="1">
      <c r="A21" s="456"/>
      <c r="B21" s="106" t="s">
        <v>375</v>
      </c>
      <c r="C21" s="454" t="s">
        <v>380</v>
      </c>
      <c r="D21" s="454"/>
      <c r="E21" s="1317"/>
      <c r="F21" s="1317"/>
      <c r="G21" s="1317"/>
      <c r="H21" s="1317"/>
      <c r="I21" s="456" t="s">
        <v>44</v>
      </c>
      <c r="J21" s="91"/>
      <c r="K21" s="458"/>
      <c r="L21" s="462"/>
      <c r="M21" s="6"/>
    </row>
    <row r="22" spans="1:28" ht="12" customHeight="1">
      <c r="A22" s="477" t="s">
        <v>381</v>
      </c>
      <c r="B22" s="1687" t="s">
        <v>382</v>
      </c>
      <c r="C22" s="1688"/>
      <c r="D22" s="1688"/>
      <c r="E22" s="1688"/>
      <c r="F22" s="1688"/>
      <c r="G22" s="1688"/>
      <c r="H22" s="1688"/>
      <c r="I22" s="1684"/>
      <c r="J22" s="463"/>
      <c r="K22" s="458"/>
      <c r="L22" s="1317"/>
      <c r="M22" s="476"/>
      <c r="O22" s="1702" t="str">
        <f>IF(AND('Data Entry'!J34&gt;0,OR(AND(UnweightedStudCntK8PY&gt;0,UnweightedStudCntK8PY&lt;=125),AND(UnweightedStudCnt912PY&gt;0,UnweightedStudCnt912PY&lt;=100)),(AND(SSA_MO=0,SSA_UCO=0))),_xlfn.CONCAT("Reported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702"/>
      <c r="Q22" s="1702"/>
      <c r="R22" s="1702"/>
      <c r="S22" s="1702"/>
      <c r="T22" s="1702"/>
      <c r="U22" s="1702"/>
    </row>
    <row r="23" spans="1:28" ht="24" customHeight="1">
      <c r="A23" s="465"/>
      <c r="B23" s="1688"/>
      <c r="C23" s="1688"/>
      <c r="D23" s="1688"/>
      <c r="E23" s="1688"/>
      <c r="F23" s="1688"/>
      <c r="G23" s="1688"/>
      <c r="H23" s="1688"/>
      <c r="I23" s="1684"/>
      <c r="J23" s="5"/>
      <c r="K23" s="458"/>
      <c r="L23" s="1317"/>
      <c r="M23" s="6"/>
      <c r="O23" s="1702"/>
      <c r="P23" s="1702"/>
      <c r="Q23" s="1702"/>
      <c r="R23" s="1702"/>
      <c r="S23" s="1702"/>
      <c r="T23" s="1702"/>
      <c r="U23" s="1702"/>
    </row>
    <row r="24" spans="1:28" s="480" customFormat="1" ht="12" customHeight="1">
      <c r="A24" s="474" t="s">
        <v>383</v>
      </c>
      <c r="B24" s="1314" t="s">
        <v>384</v>
      </c>
      <c r="C24" s="487"/>
      <c r="D24" s="478"/>
      <c r="E24" s="478"/>
      <c r="F24" s="478"/>
      <c r="G24" s="478"/>
      <c r="H24" s="478"/>
      <c r="I24" s="478"/>
      <c r="J24" s="478"/>
      <c r="K24" s="479"/>
      <c r="L24" s="478"/>
      <c r="M24" s="479"/>
    </row>
    <row r="25" spans="1:28" ht="13.5" customHeight="1">
      <c r="A25" s="481"/>
      <c r="B25" s="482" t="s">
        <v>385</v>
      </c>
      <c r="C25" s="454"/>
      <c r="D25" s="454"/>
      <c r="E25" s="454"/>
      <c r="F25" s="454"/>
      <c r="G25" s="454"/>
      <c r="H25" s="1317"/>
      <c r="I25" s="1317"/>
      <c r="J25" s="1317"/>
      <c r="K25" s="458"/>
      <c r="L25" s="1317"/>
      <c r="M25" s="458"/>
    </row>
    <row r="26" spans="1:28" ht="12">
      <c r="A26" s="481"/>
      <c r="B26" s="1317" t="s">
        <v>372</v>
      </c>
      <c r="C26" s="454" t="s">
        <v>386</v>
      </c>
      <c r="D26" s="454"/>
      <c r="E26" s="1317"/>
      <c r="F26" s="1317"/>
      <c r="G26" s="1317"/>
      <c r="H26" s="1317"/>
      <c r="I26" s="456" t="s">
        <v>44</v>
      </c>
      <c r="J26" s="91"/>
      <c r="K26" s="458"/>
      <c r="L26" s="1317"/>
      <c r="M26" s="91"/>
    </row>
    <row r="27" spans="1:28" ht="12" customHeight="1">
      <c r="A27" s="481"/>
      <c r="B27" s="1317" t="s">
        <v>373</v>
      </c>
      <c r="C27" s="454" t="s">
        <v>387</v>
      </c>
      <c r="D27" s="1317"/>
      <c r="E27" s="1317"/>
      <c r="F27" s="1317"/>
      <c r="G27" s="1317"/>
      <c r="H27" s="1317"/>
      <c r="I27" s="456" t="s">
        <v>44</v>
      </c>
      <c r="J27" s="5"/>
      <c r="K27" s="458"/>
      <c r="L27" s="1317"/>
      <c r="M27" s="6"/>
    </row>
    <row r="28" spans="1:28" ht="12" customHeight="1">
      <c r="A28" s="481"/>
      <c r="B28" s="1317" t="s">
        <v>375</v>
      </c>
      <c r="C28" s="454" t="s">
        <v>388</v>
      </c>
      <c r="D28" s="454"/>
      <c r="E28" s="454"/>
      <c r="F28" s="1317"/>
      <c r="G28" s="1317"/>
      <c r="H28" s="1317"/>
      <c r="I28" s="456" t="s">
        <v>44</v>
      </c>
      <c r="J28" s="5"/>
      <c r="K28" s="458"/>
      <c r="L28" s="1317"/>
      <c r="M28" s="6"/>
    </row>
    <row r="29" spans="1:28" ht="12" customHeight="1">
      <c r="A29" s="481"/>
      <c r="B29" s="475" t="s">
        <v>389</v>
      </c>
      <c r="C29" s="462" t="s">
        <v>390</v>
      </c>
      <c r="D29" s="1317"/>
      <c r="E29" s="1317"/>
      <c r="F29" s="1317"/>
      <c r="G29" s="1317"/>
      <c r="H29" s="1317"/>
      <c r="I29" s="456" t="s">
        <v>44</v>
      </c>
      <c r="J29" s="91"/>
      <c r="K29" s="458"/>
      <c r="L29" s="1317"/>
      <c r="M29" s="91"/>
    </row>
    <row r="30" spans="1:28" ht="14.25" customHeight="1">
      <c r="A30" s="477" t="s">
        <v>391</v>
      </c>
      <c r="B30" s="454" t="s">
        <v>392</v>
      </c>
      <c r="C30" s="454"/>
      <c r="D30" s="454"/>
      <c r="E30" s="454"/>
      <c r="F30" s="454"/>
      <c r="G30" s="454"/>
      <c r="H30" s="454"/>
      <c r="I30" s="454"/>
      <c r="J30" s="5"/>
      <c r="K30" s="458"/>
      <c r="L30" s="1317"/>
      <c r="M30" s="6"/>
    </row>
    <row r="31" spans="1:28" ht="14.25" customHeight="1">
      <c r="A31" s="477" t="s">
        <v>393</v>
      </c>
      <c r="B31" s="483" t="s">
        <v>394</v>
      </c>
      <c r="C31" s="454"/>
      <c r="D31" s="454"/>
      <c r="E31" s="454"/>
      <c r="F31" s="454"/>
      <c r="G31" s="454"/>
      <c r="H31" s="454"/>
      <c r="I31" s="1317"/>
      <c r="J31" s="463"/>
      <c r="K31" s="458"/>
      <c r="L31" s="1317"/>
      <c r="M31" s="492"/>
    </row>
    <row r="32" spans="1:28" ht="24" customHeight="1">
      <c r="A32" s="481"/>
      <c r="B32" s="1694" t="s">
        <v>395</v>
      </c>
      <c r="C32" s="1694"/>
      <c r="D32" s="1694"/>
      <c r="E32" s="1694"/>
      <c r="F32" s="1694"/>
      <c r="G32" s="1694"/>
      <c r="H32" s="1694"/>
      <c r="I32" s="456"/>
      <c r="J32" s="91"/>
      <c r="K32" s="458"/>
      <c r="L32" s="1317"/>
      <c r="M32" s="1301"/>
    </row>
    <row r="33" spans="1:23" ht="12" customHeight="1">
      <c r="A33" s="121" t="s">
        <v>117</v>
      </c>
      <c r="B33" s="454" t="s">
        <v>396</v>
      </c>
      <c r="C33" s="1317"/>
      <c r="D33" s="454"/>
      <c r="E33" s="1317"/>
      <c r="F33" s="1317"/>
      <c r="G33" s="1317"/>
      <c r="H33" s="1317"/>
      <c r="I33" s="1317"/>
      <c r="J33" s="463"/>
      <c r="K33" s="458"/>
      <c r="L33" s="1317"/>
      <c r="M33" s="458"/>
      <c r="O33" s="484"/>
      <c r="P33" s="452"/>
      <c r="Q33" s="452"/>
      <c r="R33" s="452"/>
      <c r="S33" s="452"/>
      <c r="T33" s="452"/>
      <c r="U33" s="452"/>
      <c r="V33" s="452"/>
    </row>
    <row r="34" spans="1:23" ht="13.5" customHeight="1">
      <c r="A34" s="481"/>
      <c r="B34" s="475" t="s">
        <v>372</v>
      </c>
      <c r="C34" s="1693" t="s">
        <v>397</v>
      </c>
      <c r="D34" s="1693"/>
      <c r="E34" s="1693"/>
      <c r="F34" s="1693"/>
      <c r="G34" s="1693"/>
      <c r="H34" s="1693"/>
      <c r="I34" s="1693"/>
      <c r="J34" s="91"/>
      <c r="K34" s="458"/>
      <c r="L34" s="1317"/>
      <c r="M34" s="91"/>
      <c r="O34" s="1326"/>
      <c r="P34" s="1327"/>
      <c r="Q34" s="1327"/>
      <c r="R34" s="1327"/>
      <c r="S34" s="1327"/>
      <c r="T34" s="1327"/>
      <c r="U34" s="1325"/>
      <c r="V34" s="1325"/>
      <c r="W34" s="1325"/>
    </row>
    <row r="35" spans="1:23" ht="26.25" customHeight="1">
      <c r="A35" s="464" t="s">
        <v>398</v>
      </c>
      <c r="B35" s="475" t="s">
        <v>373</v>
      </c>
      <c r="C35" s="1694" t="s">
        <v>399</v>
      </c>
      <c r="D35" s="1694"/>
      <c r="E35" s="1694"/>
      <c r="F35" s="1694"/>
      <c r="G35" s="1694"/>
      <c r="H35" s="1694"/>
      <c r="I35" s="485" t="s">
        <v>44</v>
      </c>
      <c r="J35" s="472">
        <f>Calculations!R104</f>
        <v>7605032</v>
      </c>
      <c r="K35" s="458"/>
      <c r="L35" s="1317"/>
      <c r="M35" s="458"/>
      <c r="O35" s="1325"/>
      <c r="P35" s="1325"/>
      <c r="Q35" s="1325"/>
      <c r="R35" s="1325"/>
      <c r="S35" s="1325"/>
      <c r="T35" s="1325"/>
      <c r="U35" s="1325"/>
      <c r="V35" s="1325"/>
      <c r="W35" s="1325"/>
    </row>
    <row r="36" spans="1:23" ht="14.25" customHeight="1" thickBot="1">
      <c r="A36" s="481"/>
      <c r="B36" s="475" t="s">
        <v>375</v>
      </c>
      <c r="C36" s="454" t="s">
        <v>400</v>
      </c>
      <c r="D36" s="454"/>
      <c r="E36" s="454"/>
      <c r="F36" s="454"/>
      <c r="G36" s="454"/>
      <c r="H36" s="454"/>
      <c r="I36" s="485" t="s">
        <v>44</v>
      </c>
      <c r="J36" s="5"/>
      <c r="K36" s="458"/>
      <c r="L36" s="1317"/>
      <c r="M36" s="90"/>
      <c r="O36" s="210"/>
      <c r="P36" s="96"/>
      <c r="Q36" s="96"/>
      <c r="R36" s="96"/>
      <c r="S36" s="96"/>
      <c r="T36" s="96"/>
      <c r="U36" s="96"/>
      <c r="V36" s="452"/>
    </row>
    <row r="37" spans="1:23" ht="14.25" customHeight="1" thickBot="1">
      <c r="A37" s="481"/>
      <c r="B37" s="475" t="s">
        <v>389</v>
      </c>
      <c r="C37" s="483" t="s">
        <v>401</v>
      </c>
      <c r="D37" s="454"/>
      <c r="E37" s="454"/>
      <c r="F37" s="454"/>
      <c r="G37" s="454"/>
      <c r="H37" s="454"/>
      <c r="I37" s="485"/>
      <c r="J37" s="463"/>
      <c r="K37" s="458"/>
      <c r="L37" s="1317"/>
      <c r="M37" s="486"/>
      <c r="N37" s="1701" t="str">
        <f>IF(AND(OR(J38&gt;0,M38&gt;0),T37&lt;&gt;"X"),_xlfn.CONCAT("Districts with amounts on this line should have a FY ",TwoYearsPrior," Request Letter on file with ADE. Use the check box in T39 after verifying that ADE has the letter."),"")</f>
        <v/>
      </c>
      <c r="O37" s="1701"/>
      <c r="P37" s="1701"/>
      <c r="Q37" s="1701"/>
      <c r="R37" s="1701"/>
      <c r="S37" s="1701"/>
      <c r="T37" s="57"/>
    </row>
    <row r="38" spans="1:23" ht="12.75" customHeight="1">
      <c r="A38" s="481"/>
      <c r="B38" s="454"/>
      <c r="C38" s="1196" t="s">
        <v>1139</v>
      </c>
      <c r="D38" s="487"/>
      <c r="E38" s="454"/>
      <c r="F38" s="454"/>
      <c r="G38" s="454"/>
      <c r="H38" s="454"/>
      <c r="I38" s="485"/>
      <c r="J38" s="91"/>
      <c r="K38" s="458"/>
      <c r="L38" s="1317"/>
      <c r="M38" s="91"/>
      <c r="N38" s="1701"/>
      <c r="O38" s="1701"/>
      <c r="P38" s="1701"/>
      <c r="Q38" s="1701"/>
      <c r="R38" s="1701"/>
      <c r="S38" s="1701"/>
      <c r="T38" s="1307"/>
    </row>
    <row r="39" spans="1:23" ht="14.25" customHeight="1">
      <c r="A39" s="464" t="s">
        <v>398</v>
      </c>
      <c r="B39" s="475" t="s">
        <v>402</v>
      </c>
      <c r="C39" s="1692" t="s">
        <v>403</v>
      </c>
      <c r="D39" s="1692"/>
      <c r="E39" s="1692"/>
      <c r="F39" s="1692"/>
      <c r="G39" s="1692"/>
      <c r="H39" s="1692"/>
      <c r="I39" s="1692"/>
      <c r="J39" s="91"/>
      <c r="K39" s="458"/>
      <c r="L39" s="1317"/>
      <c r="M39" s="91"/>
      <c r="O39" s="488"/>
      <c r="P39" s="96"/>
      <c r="Q39" s="96"/>
      <c r="R39" s="96"/>
      <c r="S39" s="1299"/>
      <c r="T39" s="1307"/>
    </row>
    <row r="40" spans="1:23" ht="13.5" customHeight="1">
      <c r="A40" s="460" t="s">
        <v>398</v>
      </c>
      <c r="B40" s="475" t="s">
        <v>404</v>
      </c>
      <c r="C40" s="1195" t="s">
        <v>1140</v>
      </c>
      <c r="D40" s="483"/>
      <c r="E40" s="483"/>
      <c r="F40" s="483"/>
      <c r="G40" s="483"/>
      <c r="H40" s="483"/>
      <c r="I40" s="489"/>
      <c r="K40" s="458"/>
      <c r="L40" s="1317"/>
      <c r="M40" s="458"/>
      <c r="N40" s="452"/>
      <c r="O40" s="210"/>
      <c r="P40" s="96"/>
      <c r="Q40" s="96"/>
      <c r="R40" s="96"/>
      <c r="S40" s="96"/>
      <c r="T40" s="96"/>
    </row>
    <row r="41" spans="1:23" ht="13.5" customHeight="1">
      <c r="A41" s="464"/>
      <c r="B41" s="487"/>
      <c r="C41" s="490" t="s">
        <v>1324</v>
      </c>
      <c r="D41" s="1314"/>
      <c r="E41" s="1314"/>
      <c r="F41" s="1314"/>
      <c r="G41" s="1314"/>
      <c r="H41" s="1314"/>
      <c r="I41" s="489"/>
      <c r="J41" s="1197">
        <f>Calculations!R100</f>
        <v>0</v>
      </c>
      <c r="K41" s="458"/>
      <c r="L41" s="1317"/>
      <c r="M41" s="458"/>
      <c r="O41" s="452"/>
      <c r="P41" s="309"/>
      <c r="Q41" s="96"/>
      <c r="R41" s="96"/>
      <c r="S41" s="96"/>
      <c r="T41" s="96"/>
    </row>
    <row r="42" spans="1:23" ht="12.75" customHeight="1">
      <c r="A42" s="491"/>
      <c r="B42" s="475" t="s">
        <v>405</v>
      </c>
      <c r="C42" s="490" t="s">
        <v>406</v>
      </c>
      <c r="D42" s="1314"/>
      <c r="E42" s="1314"/>
      <c r="F42" s="1314"/>
      <c r="G42" s="1314"/>
      <c r="H42" s="1314"/>
      <c r="I42" s="489"/>
      <c r="J42" s="34"/>
      <c r="K42" s="492"/>
      <c r="L42" s="1317"/>
      <c r="M42" s="458"/>
      <c r="O42" s="484"/>
      <c r="P42" s="484"/>
      <c r="Q42" s="96"/>
      <c r="R42" s="96"/>
      <c r="S42" s="96"/>
      <c r="T42" s="96"/>
    </row>
    <row r="43" spans="1:23" ht="12.75" customHeight="1">
      <c r="A43" s="493" t="s">
        <v>398</v>
      </c>
      <c r="B43" s="475" t="s">
        <v>407</v>
      </c>
      <c r="C43" s="1697" t="s">
        <v>408</v>
      </c>
      <c r="D43" s="1697"/>
      <c r="E43" s="1697"/>
      <c r="F43" s="1697"/>
      <c r="G43" s="1697"/>
      <c r="H43" s="1697"/>
      <c r="I43" s="1697"/>
      <c r="J43" s="42"/>
      <c r="K43" s="458"/>
      <c r="L43" s="1317"/>
      <c r="M43" s="458"/>
    </row>
    <row r="44" spans="1:23" ht="24" customHeight="1">
      <c r="A44" s="494" t="s">
        <v>409</v>
      </c>
      <c r="B44" s="1691" t="s">
        <v>410</v>
      </c>
      <c r="C44" s="1691"/>
      <c r="D44" s="1691"/>
      <c r="E44" s="1691"/>
      <c r="F44" s="1691"/>
      <c r="G44" s="1691"/>
      <c r="H44" s="1691"/>
      <c r="I44" s="1691"/>
      <c r="J44" s="495"/>
      <c r="K44" s="458"/>
      <c r="L44" s="1317"/>
      <c r="M44" s="458"/>
    </row>
    <row r="45" spans="1:23" ht="12.75" customHeight="1">
      <c r="A45" s="496"/>
      <c r="B45" s="1316" t="s">
        <v>372</v>
      </c>
      <c r="C45" s="1340" t="s">
        <v>411</v>
      </c>
      <c r="D45" s="1316"/>
      <c r="E45" s="1316"/>
      <c r="F45" s="1316"/>
      <c r="G45" s="1316"/>
      <c r="H45" s="1316"/>
      <c r="I45" s="497"/>
      <c r="J45" s="498"/>
      <c r="K45" s="458"/>
      <c r="L45" s="1317"/>
      <c r="M45" s="458"/>
    </row>
    <row r="46" spans="1:23" ht="12.75" customHeight="1">
      <c r="A46" s="496"/>
      <c r="B46" s="1316"/>
      <c r="C46" s="1700"/>
      <c r="D46" s="1700"/>
      <c r="E46" s="1700"/>
      <c r="F46" s="1700"/>
      <c r="G46" s="1700"/>
      <c r="H46" s="1316"/>
      <c r="I46" s="497"/>
      <c r="J46" s="45"/>
      <c r="K46" s="1317"/>
      <c r="L46" s="458"/>
    </row>
    <row r="47" spans="1:23" ht="12.75" customHeight="1">
      <c r="A47" s="496"/>
      <c r="B47" s="1316" t="s">
        <v>373</v>
      </c>
      <c r="C47" s="1340" t="s">
        <v>412</v>
      </c>
      <c r="D47" s="1340"/>
      <c r="E47" s="1340"/>
      <c r="F47" s="1340"/>
      <c r="G47" s="1316"/>
      <c r="H47" s="1316"/>
      <c r="I47" s="497"/>
      <c r="J47" s="46"/>
      <c r="K47" s="458"/>
      <c r="L47" s="1317"/>
      <c r="M47" s="458"/>
    </row>
    <row r="48" spans="1:23" ht="12.75" customHeight="1">
      <c r="A48" s="496"/>
      <c r="B48" s="500" t="s">
        <v>375</v>
      </c>
      <c r="C48" s="1340" t="s">
        <v>413</v>
      </c>
      <c r="D48" s="1340"/>
      <c r="E48" s="1340"/>
      <c r="F48" s="1340"/>
      <c r="G48" s="1340"/>
      <c r="H48" s="1316"/>
      <c r="I48" s="497"/>
      <c r="J48" s="46"/>
      <c r="K48" s="458"/>
      <c r="L48" s="1317"/>
      <c r="M48" s="458"/>
    </row>
    <row r="49" spans="1:23" ht="12" hidden="1">
      <c r="A49" s="496"/>
      <c r="B49" s="1316"/>
      <c r="C49" s="1340"/>
      <c r="D49" s="1340"/>
      <c r="E49" s="1316"/>
      <c r="F49" s="1316"/>
      <c r="G49" s="1316"/>
      <c r="H49" s="1316"/>
      <c r="I49" s="497"/>
      <c r="J49" s="56"/>
      <c r="K49" s="1317"/>
      <c r="L49" s="458"/>
    </row>
    <row r="50" spans="1:23" ht="12.75" customHeight="1">
      <c r="A50" s="496"/>
      <c r="B50" s="502" t="s">
        <v>389</v>
      </c>
      <c r="C50" s="1340" t="s">
        <v>414</v>
      </c>
      <c r="D50" s="1340"/>
      <c r="E50" s="1340"/>
      <c r="F50" s="1340"/>
      <c r="G50" s="1316"/>
      <c r="H50" s="1316"/>
      <c r="I50" s="497"/>
      <c r="J50" s="55"/>
      <c r="K50" s="458"/>
      <c r="L50" s="1317"/>
      <c r="M50" s="458"/>
    </row>
    <row r="51" spans="1:23" ht="12.75" customHeight="1">
      <c r="A51" s="496"/>
      <c r="B51" s="1318" t="s">
        <v>402</v>
      </c>
      <c r="C51" s="1340" t="s">
        <v>415</v>
      </c>
      <c r="D51" s="1316"/>
      <c r="E51" s="1340"/>
      <c r="F51" s="1340"/>
      <c r="G51" s="1316"/>
      <c r="H51" s="1316"/>
      <c r="I51" s="497"/>
      <c r="J51" s="46"/>
      <c r="K51" s="1317"/>
      <c r="L51" s="458"/>
    </row>
    <row r="52" spans="1:23" ht="12.75" customHeight="1">
      <c r="A52" s="496"/>
      <c r="B52" s="1318" t="s">
        <v>404</v>
      </c>
      <c r="C52" s="1340" t="s">
        <v>416</v>
      </c>
      <c r="D52" s="1696"/>
      <c r="E52" s="1696"/>
      <c r="F52" s="1696"/>
      <c r="G52" s="1696"/>
      <c r="H52" s="1340"/>
      <c r="I52" s="497"/>
      <c r="J52" s="46"/>
      <c r="K52" s="458"/>
      <c r="L52" s="1317"/>
      <c r="M52" s="458"/>
    </row>
    <row r="53" spans="1:23" ht="14.25" customHeight="1">
      <c r="A53" s="1292" t="s">
        <v>121</v>
      </c>
      <c r="B53" s="1195" t="s">
        <v>1287</v>
      </c>
      <c r="C53" s="454"/>
      <c r="D53" s="454"/>
      <c r="E53" s="454"/>
      <c r="F53" s="454"/>
      <c r="G53" s="454"/>
      <c r="H53" s="454"/>
      <c r="I53" s="458"/>
      <c r="K53" s="458"/>
      <c r="L53" s="1317" t="s">
        <v>44</v>
      </c>
      <c r="M53" s="458"/>
      <c r="O53" s="503"/>
      <c r="P53" s="1326"/>
      <c r="Q53" s="1326"/>
      <c r="R53" s="1326"/>
      <c r="S53" s="1326"/>
      <c r="T53" s="1326"/>
    </row>
    <row r="54" spans="1:23" ht="14.25" customHeight="1" thickBot="1">
      <c r="A54" s="460"/>
      <c r="B54" s="462" t="s">
        <v>417</v>
      </c>
      <c r="C54" s="1317"/>
      <c r="D54" s="454"/>
      <c r="E54" s="1317"/>
      <c r="F54" s="1317"/>
      <c r="G54" s="1317"/>
      <c r="H54" s="1317"/>
      <c r="I54" s="456" t="s">
        <v>370</v>
      </c>
      <c r="J54" s="1198">
        <f>SUM(J10:J43)+SUM(J46:J52)</f>
        <v>16074489</v>
      </c>
      <c r="K54" s="458"/>
      <c r="L54" s="1317"/>
      <c r="M54" s="458"/>
      <c r="O54" s="96"/>
      <c r="P54" s="96"/>
      <c r="Q54" s="96"/>
      <c r="R54" s="504"/>
      <c r="S54" s="452"/>
      <c r="T54" s="452"/>
      <c r="U54" s="452"/>
      <c r="V54" s="452"/>
    </row>
    <row r="55" spans="1:23" ht="12.75" customHeight="1" thickTop="1">
      <c r="A55" s="1293" t="s">
        <v>123</v>
      </c>
      <c r="B55" s="1195" t="s">
        <v>1288</v>
      </c>
      <c r="C55" s="452"/>
      <c r="D55" s="452"/>
      <c r="E55" s="452"/>
      <c r="F55" s="452"/>
      <c r="G55" s="452"/>
      <c r="H55" s="452"/>
      <c r="J55" s="458"/>
      <c r="K55" s="458"/>
      <c r="L55" s="1317"/>
      <c r="O55" s="1327"/>
      <c r="P55" s="1327"/>
      <c r="Q55" s="1327"/>
      <c r="R55" s="1327"/>
      <c r="S55" s="1327"/>
      <c r="T55" s="1327"/>
      <c r="U55" s="1326"/>
      <c r="V55" s="505"/>
    </row>
    <row r="56" spans="1:23" ht="12.75" customHeight="1" thickBot="1">
      <c r="A56" s="506"/>
      <c r="B56" s="96" t="s">
        <v>418</v>
      </c>
      <c r="C56" s="452"/>
      <c r="D56" s="452"/>
      <c r="E56" s="452"/>
      <c r="F56" s="452"/>
      <c r="G56" s="452"/>
      <c r="H56" s="452"/>
      <c r="I56" s="456"/>
      <c r="J56" s="507"/>
      <c r="K56" s="458"/>
      <c r="L56" s="456" t="s">
        <v>370</v>
      </c>
      <c r="M56" s="1199">
        <f>SUM(M10:M39)</f>
        <v>1028154</v>
      </c>
      <c r="P56" s="96"/>
      <c r="Q56" s="1299"/>
      <c r="R56" s="1307"/>
      <c r="U56" s="452"/>
      <c r="V56" s="452"/>
    </row>
    <row r="57" spans="1:23" ht="13.5" customHeight="1" thickTop="1">
      <c r="A57" s="508"/>
      <c r="B57" s="465"/>
      <c r="C57" s="1317"/>
      <c r="D57" s="1317"/>
      <c r="E57" s="1317"/>
      <c r="F57" s="1317"/>
      <c r="G57" s="1317"/>
      <c r="H57" s="1317"/>
      <c r="I57" s="456"/>
      <c r="J57" s="1317"/>
      <c r="K57" s="458"/>
      <c r="L57" s="1317"/>
      <c r="M57" s="458"/>
      <c r="P57" s="300"/>
      <c r="Q57" s="509"/>
      <c r="R57" s="1307"/>
      <c r="U57" s="1621"/>
      <c r="V57" s="1695"/>
    </row>
    <row r="58" spans="1:23" ht="13.5" customHeight="1">
      <c r="A58" s="437" t="s">
        <v>398</v>
      </c>
      <c r="B58" s="510" t="s">
        <v>419</v>
      </c>
      <c r="C58" s="96"/>
      <c r="D58" s="454"/>
      <c r="E58" s="454"/>
      <c r="F58" s="96"/>
      <c r="G58" s="454"/>
      <c r="H58" s="454"/>
      <c r="I58" s="454"/>
      <c r="J58" s="454"/>
      <c r="K58" s="454"/>
      <c r="L58" s="454"/>
      <c r="M58" s="300"/>
      <c r="P58" s="511"/>
      <c r="Q58" s="1299"/>
      <c r="R58" s="1307"/>
      <c r="U58" s="1621"/>
      <c r="V58" s="1621"/>
    </row>
    <row r="59" spans="1:23" ht="12" customHeight="1">
      <c r="A59" s="437"/>
      <c r="B59" s="465"/>
      <c r="C59" s="300"/>
      <c r="D59" s="1317"/>
      <c r="E59" s="1317"/>
      <c r="F59" s="1317"/>
      <c r="G59" s="1317"/>
      <c r="H59" s="1317"/>
      <c r="I59" s="1317"/>
      <c r="J59" s="1317"/>
      <c r="K59" s="1317"/>
      <c r="L59" s="1317"/>
      <c r="M59" s="300"/>
      <c r="P59" s="96"/>
      <c r="Q59" s="121"/>
      <c r="R59" s="1307"/>
      <c r="W59" s="1325"/>
    </row>
    <row r="60" spans="1:23" ht="12.75" customHeight="1">
      <c r="A60" s="512"/>
      <c r="B60" s="300"/>
      <c r="C60" s="1317"/>
      <c r="D60" s="1317"/>
      <c r="E60" s="1317"/>
      <c r="F60" s="1317"/>
      <c r="G60" s="1317"/>
      <c r="H60" s="1317"/>
      <c r="I60" s="1317"/>
      <c r="J60" s="1317"/>
      <c r="K60" s="1317"/>
      <c r="L60" s="1317"/>
      <c r="M60" s="300"/>
      <c r="P60" s="210"/>
      <c r="Q60" s="513"/>
      <c r="R60" s="514"/>
    </row>
    <row r="61" spans="1:23" ht="12.75" customHeight="1">
      <c r="A61" s="515"/>
      <c r="B61" s="516"/>
      <c r="C61" s="516"/>
      <c r="D61" s="516"/>
      <c r="E61" s="516"/>
      <c r="F61" s="516"/>
      <c r="G61" s="516"/>
      <c r="H61" s="516"/>
      <c r="I61" s="516"/>
      <c r="J61" s="516"/>
      <c r="K61" s="516"/>
      <c r="L61" s="516"/>
      <c r="M61" s="516"/>
      <c r="P61" s="96"/>
    </row>
    <row r="62" spans="1:23" ht="12.75" customHeight="1">
      <c r="A62" s="515"/>
      <c r="B62" s="516"/>
      <c r="C62" s="516"/>
      <c r="D62" s="516"/>
      <c r="E62" s="516"/>
      <c r="F62" s="516"/>
      <c r="G62" s="516"/>
      <c r="H62" s="516"/>
      <c r="I62" s="516"/>
      <c r="J62" s="516"/>
      <c r="K62" s="516"/>
      <c r="L62" s="516"/>
      <c r="M62" s="516"/>
      <c r="O62" s="96"/>
      <c r="P62" s="96"/>
      <c r="Q62" s="96"/>
      <c r="R62" s="96"/>
      <c r="T62" s="96"/>
    </row>
    <row r="63" spans="1:23" ht="12.75" customHeight="1">
      <c r="A63" s="510"/>
      <c r="B63" s="516"/>
      <c r="C63" s="516"/>
      <c r="D63" s="516"/>
      <c r="E63" s="516"/>
      <c r="F63" s="516"/>
      <c r="G63" s="516"/>
      <c r="H63" s="516"/>
      <c r="I63" s="516"/>
      <c r="J63" s="516"/>
      <c r="K63" s="516"/>
      <c r="L63" s="516"/>
      <c r="M63" s="516"/>
    </row>
    <row r="64" spans="1:23" ht="11.25" customHeight="1">
      <c r="A64" s="517"/>
      <c r="B64" s="516"/>
      <c r="C64" s="516"/>
      <c r="D64" s="516"/>
      <c r="E64" s="516"/>
      <c r="F64" s="516"/>
      <c r="G64" s="516"/>
      <c r="H64" s="516"/>
      <c r="I64" s="516"/>
      <c r="J64" s="516"/>
      <c r="K64" s="516"/>
      <c r="L64" s="516"/>
      <c r="M64" s="516"/>
    </row>
    <row r="65" spans="1:22" ht="12.75" customHeight="1">
      <c r="A65" s="518"/>
      <c r="B65" s="1313"/>
      <c r="C65" s="1313"/>
      <c r="D65" s="1313"/>
      <c r="E65" s="1313"/>
      <c r="F65" s="1313"/>
      <c r="G65" s="1313"/>
      <c r="H65" s="1313"/>
      <c r="I65" s="1313"/>
      <c r="J65" s="1313"/>
      <c r="K65" s="1313"/>
      <c r="L65" s="1313"/>
      <c r="M65" s="1313"/>
      <c r="U65" s="96"/>
      <c r="V65" s="452"/>
    </row>
    <row r="66" spans="1:22" ht="53.25" customHeight="1">
      <c r="A66" s="519"/>
      <c r="B66" s="1335"/>
      <c r="C66" s="1335"/>
      <c r="D66" s="1335"/>
      <c r="E66" s="1335"/>
      <c r="F66" s="1335"/>
      <c r="G66" s="1335"/>
      <c r="H66" s="1335"/>
      <c r="I66" s="1335"/>
      <c r="J66" s="1335"/>
      <c r="K66" s="1335"/>
      <c r="L66" s="1335"/>
      <c r="M66" s="1335"/>
    </row>
    <row r="67" spans="1:22" ht="10.5" customHeight="1">
      <c r="A67" s="520"/>
      <c r="B67" s="521"/>
      <c r="C67" s="521"/>
      <c r="D67" s="521"/>
      <c r="E67" s="521"/>
      <c r="F67" s="521"/>
      <c r="G67" s="521"/>
      <c r="H67" s="521"/>
      <c r="I67" s="521"/>
      <c r="J67" s="521"/>
      <c r="K67" s="521"/>
      <c r="L67" s="521"/>
      <c r="M67" s="521"/>
    </row>
    <row r="68" spans="1:22" ht="4.5" customHeight="1">
      <c r="A68" s="522"/>
      <c r="B68" s="1313"/>
      <c r="C68" s="1313"/>
      <c r="D68" s="1313"/>
      <c r="E68" s="1313"/>
      <c r="F68" s="1313"/>
      <c r="G68" s="1313"/>
      <c r="H68" s="1313"/>
      <c r="I68" s="1313"/>
      <c r="J68" s="1313"/>
      <c r="K68" s="1313"/>
      <c r="L68" s="1313"/>
      <c r="M68" s="1313"/>
    </row>
    <row r="69" spans="1:22" ht="24" customHeight="1">
      <c r="A69" s="523"/>
      <c r="B69" s="516"/>
      <c r="C69" s="516"/>
      <c r="D69" s="516"/>
      <c r="E69" s="516"/>
      <c r="F69" s="516"/>
      <c r="G69" s="516"/>
      <c r="H69" s="516"/>
      <c r="I69" s="516"/>
      <c r="J69" s="516"/>
      <c r="K69" s="516"/>
      <c r="L69" s="516"/>
      <c r="M69" s="516"/>
    </row>
    <row r="70" spans="1:22" ht="27.75" customHeight="1">
      <c r="A70" s="454"/>
      <c r="B70" s="454"/>
      <c r="C70" s="443"/>
      <c r="D70" s="443"/>
      <c r="E70" s="443"/>
      <c r="F70" s="443"/>
      <c r="G70" s="524"/>
      <c r="H70" s="96"/>
      <c r="I70" s="454"/>
      <c r="J70" s="454"/>
      <c r="K70" s="454"/>
      <c r="L70" s="454"/>
      <c r="M70" s="96"/>
    </row>
    <row r="71" spans="1:22" ht="25.5" customHeight="1">
      <c r="A71" s="523"/>
      <c r="B71" s="516"/>
      <c r="C71" s="516"/>
      <c r="D71" s="516"/>
      <c r="E71" s="516"/>
      <c r="F71" s="516"/>
      <c r="G71" s="516"/>
      <c r="H71" s="516"/>
      <c r="I71" s="516"/>
      <c r="J71" s="516"/>
      <c r="K71" s="516"/>
      <c r="L71" s="516"/>
      <c r="M71" s="516"/>
    </row>
    <row r="72" spans="1:22" ht="12.75" customHeight="1">
      <c r="A72" s="519"/>
      <c r="B72" s="1335"/>
      <c r="C72" s="1335"/>
      <c r="D72" s="1335"/>
      <c r="E72" s="1335"/>
      <c r="F72" s="1335"/>
      <c r="G72" s="1335"/>
      <c r="H72" s="1335"/>
      <c r="I72" s="1335"/>
      <c r="J72" s="1335"/>
      <c r="K72" s="1335"/>
      <c r="L72" s="1335"/>
      <c r="M72" s="1335"/>
    </row>
  </sheetData>
  <sheetProtection sheet="1" formatCells="0" formatColumns="0" formatRows="0"/>
  <mergeCells count="24">
    <mergeCell ref="N9:S10"/>
    <mergeCell ref="N15:S17"/>
    <mergeCell ref="B18:I18"/>
    <mergeCell ref="C46:G46"/>
    <mergeCell ref="N37:S38"/>
    <mergeCell ref="O22:U23"/>
    <mergeCell ref="B32:H32"/>
    <mergeCell ref="U58:V58"/>
    <mergeCell ref="C39:I39"/>
    <mergeCell ref="C34:I34"/>
    <mergeCell ref="C35:H35"/>
    <mergeCell ref="U57:V57"/>
    <mergeCell ref="D52:G52"/>
    <mergeCell ref="B44:I44"/>
    <mergeCell ref="C43:I43"/>
    <mergeCell ref="D1:E1"/>
    <mergeCell ref="G1:I1"/>
    <mergeCell ref="I22:I23"/>
    <mergeCell ref="A3:M3"/>
    <mergeCell ref="B22:H23"/>
    <mergeCell ref="C15:F15"/>
    <mergeCell ref="C12:F12"/>
    <mergeCell ref="C14:F14"/>
    <mergeCell ref="C16:F16"/>
  </mergeCells>
  <conditionalFormatting sqref="M10">
    <cfRule type="containsText" dxfId="18" priority="2" stopIfTrue="1" operator="containsText" text="Error">
      <formula>NOT(ISERROR(SEARCH("Error",M10)))</formula>
    </cfRule>
  </conditionalFormatting>
  <conditionalFormatting sqref="M17">
    <cfRule type="containsText" dxfId="17"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xr:uid="{00000000-0002-0000-0700-000000000000}">
      <formula1>0</formula1>
    </dataValidation>
    <dataValidation allowBlank="1" showInputMessage="1" showErrorMessage="1" prompt="Enter negative amount in parentheses." sqref="J50:J51" xr:uid="{00000000-0002-0000-0700-000001000000}"/>
    <dataValidation allowBlank="1" showInputMessage="1" showErrorMessage="1" promptTitle="Contact ADE prior to completing" prompt="Enter negative amount in parentheses." sqref="J52" xr:uid="{00000000-0002-0000-0700-000002000000}"/>
    <dataValidation allowBlank="1" showInputMessage="1" showErrorMessage="1" promptTitle="Contact ADE prior to completing" prompt="Please contact ADE's School Finance payment team for more information." sqref="J42" xr:uid="{00000000-0002-0000-0700-000003000000}"/>
    <dataValidation type="list" allowBlank="1" showInputMessage="1" showErrorMessage="1" sqref="T37" xr:uid="{00000000-0002-0000-0700-000004000000}">
      <formula1>"X"</formula1>
    </dataValidation>
    <dataValidation type="custom" allowBlank="1" showErrorMessage="1" errorTitle="DAA allocatoin" error="The DAA amount allocated to the M&amp;O Fund exceeds the total DAA amount. " sqref="J17" xr:uid="{00000000-0002-0000-0700-000005000000}">
      <formula1>J17&lt;=H17</formula1>
    </dataValidation>
    <dataValidation type="custom" allowBlank="1" showInputMessage="1" showErrorMessage="1" errorTitle="RCL allocation" error="The RCL amount allocated to M&amp;O Fund exceeds the total RCL amount." sqref="J10" xr:uid="{00000000-0002-0000-0700-000006000000}">
      <formula1>J10&lt;=H10</formula1>
    </dataValidation>
  </dataValidations>
  <hyperlinks>
    <hyperlink ref="A9" location="Page7l1" display="1." xr:uid="{00000000-0004-0000-0700-000000000000}"/>
    <hyperlink ref="A18" location="Page7l3" display="3." xr:uid="{00000000-0004-0000-0700-000001000000}"/>
    <hyperlink ref="B19" location="Page7l3a" display="(a)" xr:uid="{00000000-0004-0000-0700-000002000000}"/>
    <hyperlink ref="B20" location="Page7l3b" display="(b)" xr:uid="{00000000-0004-0000-0700-000003000000}"/>
    <hyperlink ref="B21" location="Page7l3c" display="(c)" xr:uid="{00000000-0004-0000-0700-000004000000}"/>
    <hyperlink ref="A22" location="Page7l4" display="*4." xr:uid="{00000000-0004-0000-0700-000005000000}"/>
    <hyperlink ref="A24" location="Page7l5" display="*5." xr:uid="{00000000-0004-0000-0700-000006000000}"/>
    <hyperlink ref="B29" location="Page7l5d" display="(d)" xr:uid="{00000000-0004-0000-0700-000007000000}"/>
    <hyperlink ref="A31" location="Page7l7" display="*7." xr:uid="{00000000-0004-0000-0700-000008000000}"/>
    <hyperlink ref="B34" location="Page7l8a" display="(a)" xr:uid="{00000000-0004-0000-0700-000009000000}"/>
    <hyperlink ref="A30" location="Page7l6" display="*6." xr:uid="{00000000-0004-0000-0700-00000A000000}"/>
    <hyperlink ref="B15" location="Page7l2b" display="(b)" xr:uid="{00000000-0004-0000-0700-00000B000000}"/>
    <hyperlink ref="A44" location="Page7l9" display="*9." xr:uid="{00000000-0004-0000-0700-00000C000000}"/>
    <hyperlink ref="A14" location="Page7l2athroughb" display="2." xr:uid="{00000000-0004-0000-0700-00000D000000}"/>
    <hyperlink ref="B43" location="Page7l8h" display="(h)" xr:uid="{00000000-0004-0000-0700-00000E000000}"/>
    <hyperlink ref="B14" location="Page7l2athroughb" display="(a)" xr:uid="{00000000-0004-0000-0700-00000F000000}"/>
    <hyperlink ref="B17" location="Page7l2athroughb" display="(c)" xr:uid="{00000000-0004-0000-0700-000010000000}"/>
    <hyperlink ref="B35" location="Page7l8b" display="(b)" xr:uid="{00000000-0004-0000-0700-000011000000}"/>
    <hyperlink ref="B36" location="Page7l8c" display="(c)" xr:uid="{00000000-0004-0000-0700-000012000000}"/>
    <hyperlink ref="B37" location="Page7l8d" display="(d)" xr:uid="{00000000-0004-0000-0700-000013000000}"/>
    <hyperlink ref="B39" location="Page7l8e" display="(e)" xr:uid="{00000000-0004-0000-0700-000014000000}"/>
    <hyperlink ref="B40" location="Page7l8f" display="(f)" xr:uid="{00000000-0004-0000-0700-000015000000}"/>
    <hyperlink ref="B42" location="Page7l8g" display="(g)" xr:uid="{00000000-0004-0000-0700-000016000000}"/>
  </hyperlinks>
  <printOptions horizontalCentered="1"/>
  <pageMargins left="0.25" right="0.25" top="0.25" bottom="0.25" header="0" footer="0.15"/>
  <pageSetup paperSize="5" scale="92" orientation="portrait" r:id="rId1"/>
  <headerFooter alignWithMargins="0">
    <oddFooter>&amp;L&amp;"Times New Roman,Bold"&amp;9Rev. 5/25&amp;K000000 Arizona Department of Education and Auditor General&amp;C&amp;"Times New Roman,Regular"&amp;9&amp;D  &amp;T</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110"/>
  <sheetViews>
    <sheetView showGridLines="0" tabSelected="1" topLeftCell="A6" workbookViewId="0">
      <selection activeCell="W6" sqref="W6"/>
    </sheetView>
  </sheetViews>
  <sheetFormatPr defaultColWidth="8.90625" defaultRowHeight="13.2"/>
  <cols>
    <col min="1" max="3" width="2" style="135" customWidth="1"/>
    <col min="4" max="4" width="8.90625" style="135" customWidth="1"/>
    <col min="5" max="5" width="23.453125" style="135" customWidth="1"/>
    <col min="6" max="7" width="10.90625" style="135" customWidth="1"/>
    <col min="8" max="8" width="11" style="135" customWidth="1"/>
    <col min="9" max="9" width="1.90625" style="135" customWidth="1"/>
    <col min="10" max="10" width="1" style="135" customWidth="1"/>
    <col min="11" max="11" width="11.90625" style="135" customWidth="1"/>
    <col min="12" max="12" width="10.90625" style="135" customWidth="1"/>
    <col min="13" max="27" width="8.90625" style="135" customWidth="1"/>
    <col min="28" max="16384" width="8.90625" style="135"/>
  </cols>
  <sheetData>
    <row r="1" spans="1:11">
      <c r="A1" s="1157" t="s">
        <v>420</v>
      </c>
      <c r="B1" s="1158"/>
      <c r="C1" s="1158"/>
      <c r="D1" s="1158"/>
      <c r="E1" s="525" t="str">
        <f>DistrictName</f>
        <v>Murphy Elementary School District #21</v>
      </c>
      <c r="F1" s="1159" t="s">
        <v>1</v>
      </c>
      <c r="G1" s="525" t="str">
        <f>Cover!H1</f>
        <v>Maricopa</v>
      </c>
      <c r="I1" s="1160"/>
      <c r="J1" s="1160" t="s">
        <v>60</v>
      </c>
      <c r="K1" s="526" t="str">
        <f>Cover!S1</f>
        <v>070421000</v>
      </c>
    </row>
    <row r="2" spans="1:11">
      <c r="A2" s="527"/>
      <c r="B2" s="528"/>
      <c r="C2" s="528"/>
      <c r="D2" s="528"/>
      <c r="E2" s="139"/>
      <c r="F2" s="139"/>
      <c r="G2" s="139"/>
      <c r="H2" s="139"/>
      <c r="I2" s="139"/>
      <c r="J2" s="1298" t="s">
        <v>16</v>
      </c>
      <c r="K2" s="529" t="str">
        <f>Cover!C8</f>
        <v>Proposed</v>
      </c>
    </row>
    <row r="3" spans="1:11" ht="18" customHeight="1">
      <c r="A3" s="1709" t="s">
        <v>1141</v>
      </c>
      <c r="B3" s="1710"/>
      <c r="C3" s="1710"/>
      <c r="D3" s="1710"/>
      <c r="E3" s="1710"/>
      <c r="F3" s="1710"/>
      <c r="G3" s="1710"/>
      <c r="H3" s="1710"/>
      <c r="I3" s="1710"/>
      <c r="J3" s="1710"/>
      <c r="K3" s="1710"/>
    </row>
    <row r="4" spans="1:11" ht="13.5" customHeight="1">
      <c r="A4" s="1710"/>
      <c r="B4" s="1710"/>
      <c r="C4" s="1710"/>
      <c r="D4" s="1710"/>
      <c r="E4" s="1710"/>
      <c r="F4" s="1710"/>
      <c r="G4" s="1710"/>
      <c r="H4" s="1710"/>
      <c r="I4" s="1710"/>
      <c r="J4" s="1710"/>
      <c r="K4" s="1710"/>
    </row>
    <row r="5" spans="1:11" ht="5.25" customHeight="1">
      <c r="A5" s="530"/>
      <c r="B5" s="531"/>
      <c r="C5" s="531"/>
      <c r="D5" s="531"/>
      <c r="E5" s="139"/>
      <c r="F5" s="139"/>
      <c r="G5" s="139"/>
      <c r="H5" s="139"/>
      <c r="I5" s="139"/>
      <c r="J5" s="139"/>
      <c r="K5" s="139"/>
    </row>
    <row r="6" spans="1:11" ht="30.75" customHeight="1">
      <c r="A6" s="1140" t="s">
        <v>421</v>
      </c>
      <c r="B6" s="532"/>
      <c r="C6" s="532"/>
      <c r="D6" s="533"/>
      <c r="E6" s="534"/>
      <c r="F6" s="534"/>
      <c r="G6" s="534"/>
      <c r="H6" s="534"/>
      <c r="I6" s="534"/>
      <c r="J6" s="534"/>
      <c r="K6" s="535"/>
    </row>
    <row r="7" spans="1:11" ht="12" customHeight="1">
      <c r="A7" s="536"/>
      <c r="B7" s="537" t="s">
        <v>6</v>
      </c>
      <c r="C7" s="538" t="s">
        <v>1142</v>
      </c>
      <c r="E7" s="212"/>
      <c r="F7" s="212"/>
      <c r="G7" s="212"/>
      <c r="H7" s="212"/>
      <c r="I7" s="534"/>
      <c r="J7" s="534"/>
    </row>
    <row r="8" spans="1:11" ht="12.75" customHeight="1">
      <c r="C8" s="1711" t="s">
        <v>1143</v>
      </c>
      <c r="D8" s="1711"/>
      <c r="E8" s="1711"/>
      <c r="F8" s="1711"/>
      <c r="G8" s="1711"/>
      <c r="H8" s="1711"/>
      <c r="J8" s="1333" t="s">
        <v>370</v>
      </c>
      <c r="K8" s="542">
        <f>[1]!UCBLBudgFY</f>
        <v>2292912</v>
      </c>
    </row>
    <row r="9" spans="1:11" ht="14.25" customHeight="1">
      <c r="B9" s="539" t="s">
        <v>8</v>
      </c>
      <c r="C9" s="538" t="s">
        <v>422</v>
      </c>
      <c r="J9" s="1333"/>
      <c r="K9" s="541"/>
    </row>
    <row r="10" spans="1:11" ht="12.75" customHeight="1">
      <c r="C10" s="1711" t="s">
        <v>423</v>
      </c>
      <c r="D10" s="1711"/>
      <c r="E10" s="1711"/>
      <c r="F10" s="1711"/>
      <c r="G10" s="1711"/>
      <c r="H10" s="1711"/>
      <c r="J10" s="1333" t="s">
        <v>370</v>
      </c>
      <c r="K10" s="22"/>
    </row>
    <row r="11" spans="1:11" ht="14.25" customHeight="1">
      <c r="B11" s="539" t="s">
        <v>22</v>
      </c>
      <c r="C11" s="1711" t="s">
        <v>1144</v>
      </c>
      <c r="D11" s="1712"/>
      <c r="E11" s="1712"/>
      <c r="F11" s="1712"/>
      <c r="G11" s="1712"/>
      <c r="H11" s="1712"/>
      <c r="J11" s="1333" t="s">
        <v>370</v>
      </c>
      <c r="K11" s="543">
        <f>K8+K10</f>
        <v>2292912</v>
      </c>
    </row>
    <row r="12" spans="1:11" ht="14.25" customHeight="1">
      <c r="B12" s="537" t="s">
        <v>42</v>
      </c>
      <c r="C12" s="1719" t="s">
        <v>1145</v>
      </c>
      <c r="D12" s="1719"/>
      <c r="E12" s="1719"/>
      <c r="F12" s="1719"/>
      <c r="G12" s="1719"/>
      <c r="H12" s="1719"/>
      <c r="J12" s="1333"/>
      <c r="K12" s="1322"/>
    </row>
    <row r="13" spans="1:11" ht="14.25" customHeight="1">
      <c r="B13" s="537"/>
      <c r="C13" s="1719" t="s">
        <v>1146</v>
      </c>
      <c r="D13" s="1719"/>
      <c r="E13" s="1719"/>
      <c r="F13" s="1719"/>
      <c r="G13" s="1719"/>
      <c r="H13" s="1719"/>
      <c r="J13" s="1333" t="s">
        <v>370</v>
      </c>
      <c r="K13" s="1322">
        <f>[1]!F610TotalBudgFY</f>
        <v>2292912</v>
      </c>
    </row>
    <row r="14" spans="1:11" ht="14.25" customHeight="1">
      <c r="B14" s="537" t="s">
        <v>111</v>
      </c>
      <c r="C14" s="1714" t="s">
        <v>424</v>
      </c>
      <c r="D14" s="1714"/>
      <c r="E14" s="1714"/>
      <c r="F14" s="1714"/>
      <c r="G14" s="1714"/>
      <c r="H14" s="1714"/>
      <c r="J14" s="1333" t="s">
        <v>370</v>
      </c>
      <c r="K14" s="544">
        <f>IF(K10&gt;0,MIN(K13+K10,K11),MIN(K11,K13))</f>
        <v>2292912</v>
      </c>
    </row>
    <row r="15" spans="1:11" ht="14.25" customHeight="1">
      <c r="B15" s="545" t="s">
        <v>113</v>
      </c>
      <c r="C15" s="1715" t="s">
        <v>1147</v>
      </c>
      <c r="D15" s="1715"/>
      <c r="E15" s="1715"/>
      <c r="F15" s="1715"/>
      <c r="G15" s="1715"/>
      <c r="H15" s="1715"/>
      <c r="J15" s="1333"/>
      <c r="K15" s="1322"/>
    </row>
    <row r="16" spans="1:11" ht="14.25" customHeight="1">
      <c r="B16" s="537"/>
      <c r="C16" s="1716" t="s">
        <v>425</v>
      </c>
      <c r="D16" s="1716"/>
      <c r="E16" s="1716"/>
      <c r="F16" s="1716"/>
      <c r="G16" s="1716"/>
      <c r="H16" s="1716"/>
      <c r="J16" s="1333" t="s">
        <v>370</v>
      </c>
      <c r="K16" s="92">
        <v>1759674</v>
      </c>
    </row>
    <row r="17" spans="1:22" ht="14.25" customHeight="1">
      <c r="B17" s="537" t="s">
        <v>115</v>
      </c>
      <c r="C17" s="1716" t="s">
        <v>426</v>
      </c>
      <c r="D17" s="1716"/>
      <c r="E17" s="1716"/>
      <c r="F17" s="1716"/>
      <c r="G17" s="1716"/>
      <c r="H17" s="1716"/>
    </row>
    <row r="18" spans="1:22" ht="14.25" customHeight="1">
      <c r="B18" s="537"/>
      <c r="C18" s="1321" t="s">
        <v>427</v>
      </c>
      <c r="D18" s="540"/>
      <c r="E18" s="546"/>
      <c r="F18" s="546"/>
      <c r="G18" s="1508" t="str">
        <f>IF((K14-K16)&lt;0,K14-K16,"")</f>
        <v/>
      </c>
      <c r="H18" s="112" t="str">
        <f>IF(G18&lt;0,"OVEREXPENDED"," ")</f>
        <v xml:space="preserve"> </v>
      </c>
      <c r="J18" s="1333" t="s">
        <v>370</v>
      </c>
      <c r="K18" s="542">
        <f>IF(K14-K16&gt;0,K14-K16,0)</f>
        <v>533238</v>
      </c>
    </row>
    <row r="19" spans="1:22" ht="14.25" customHeight="1">
      <c r="A19" s="547"/>
      <c r="B19" s="545" t="s">
        <v>117</v>
      </c>
      <c r="C19" s="1320" t="s">
        <v>1148</v>
      </c>
      <c r="D19" s="538"/>
      <c r="E19" s="139"/>
      <c r="F19" s="546"/>
      <c r="G19" s="546"/>
      <c r="H19" s="546"/>
      <c r="I19" s="546"/>
      <c r="J19" s="1333" t="s">
        <v>370</v>
      </c>
      <c r="K19" s="22">
        <v>43960</v>
      </c>
    </row>
    <row r="20" spans="1:22" ht="13.5" customHeight="1">
      <c r="A20" s="548"/>
      <c r="B20" s="545" t="s">
        <v>119</v>
      </c>
      <c r="C20" s="249" t="s">
        <v>428</v>
      </c>
      <c r="D20" s="538"/>
      <c r="E20" s="549"/>
      <c r="F20" s="549"/>
      <c r="G20" s="549"/>
      <c r="H20" s="549"/>
      <c r="J20" s="1333" t="s">
        <v>370</v>
      </c>
      <c r="K20" s="22"/>
    </row>
    <row r="21" spans="1:22" ht="4.5" customHeight="1">
      <c r="D21" s="538"/>
      <c r="E21" s="538"/>
      <c r="F21" s="538"/>
      <c r="G21" s="538"/>
      <c r="H21" s="538"/>
    </row>
    <row r="22" spans="1:22" ht="27.75" customHeight="1">
      <c r="B22" s="545" t="s">
        <v>121</v>
      </c>
      <c r="C22" s="1718" t="s">
        <v>1149</v>
      </c>
      <c r="D22" s="1718"/>
      <c r="E22" s="1718"/>
      <c r="F22" s="1718"/>
      <c r="G22" s="1718"/>
      <c r="H22" s="1718"/>
      <c r="J22" s="1333"/>
      <c r="K22" s="1717"/>
      <c r="N22" s="484"/>
      <c r="O22" s="452"/>
      <c r="P22" s="452"/>
      <c r="Q22" s="452"/>
      <c r="R22" s="452"/>
      <c r="S22" s="452"/>
      <c r="T22" s="452"/>
      <c r="U22" s="452"/>
      <c r="V22" s="452"/>
    </row>
    <row r="23" spans="1:22" ht="13.5" customHeight="1">
      <c r="B23" s="550"/>
      <c r="C23" s="234" t="s">
        <v>372</v>
      </c>
      <c r="D23" s="1323" t="s">
        <v>411</v>
      </c>
      <c r="E23" s="1323"/>
      <c r="F23" s="1323"/>
      <c r="G23" s="1323"/>
      <c r="H23" s="1323"/>
      <c r="J23" s="1333"/>
      <c r="K23" s="1717"/>
      <c r="N23" s="484"/>
      <c r="O23" s="452"/>
      <c r="P23" s="452"/>
      <c r="Q23" s="452"/>
      <c r="R23" s="452"/>
      <c r="S23" s="452"/>
      <c r="T23" s="452"/>
      <c r="U23" s="452"/>
      <c r="V23" s="452"/>
    </row>
    <row r="24" spans="1:22" ht="13.5" customHeight="1">
      <c r="B24" s="550"/>
      <c r="C24" s="550"/>
      <c r="D24" s="1713"/>
      <c r="E24" s="1713"/>
      <c r="F24" s="1713"/>
      <c r="G24" s="1713"/>
      <c r="H24" s="1323"/>
      <c r="J24" s="1333" t="s">
        <v>370</v>
      </c>
      <c r="K24" s="92"/>
      <c r="N24" s="484"/>
      <c r="O24" s="452"/>
      <c r="P24" s="452"/>
      <c r="Q24" s="452"/>
      <c r="R24" s="452"/>
      <c r="S24" s="452"/>
      <c r="T24" s="452"/>
      <c r="U24" s="452"/>
      <c r="V24" s="452"/>
    </row>
    <row r="25" spans="1:22" ht="1.5" customHeight="1">
      <c r="B25" s="550"/>
      <c r="C25" s="234"/>
      <c r="D25" s="1323"/>
      <c r="E25" s="1323"/>
      <c r="F25" s="1323"/>
      <c r="G25" s="1323"/>
      <c r="H25" s="1323"/>
      <c r="J25" s="1333"/>
      <c r="K25" s="541"/>
      <c r="N25" s="484"/>
      <c r="O25" s="452"/>
      <c r="P25" s="452"/>
      <c r="Q25" s="452"/>
      <c r="R25" s="452"/>
      <c r="S25" s="452"/>
      <c r="T25" s="452"/>
      <c r="U25" s="452"/>
      <c r="V25" s="452"/>
    </row>
    <row r="26" spans="1:22" ht="1.5" customHeight="1">
      <c r="B26" s="550"/>
      <c r="C26" s="551"/>
      <c r="D26" s="1323"/>
      <c r="E26" s="1323"/>
      <c r="F26" s="1323"/>
      <c r="G26" s="1323"/>
      <c r="H26" s="1323"/>
      <c r="J26" s="1333"/>
      <c r="K26" s="1322"/>
      <c r="N26" s="484"/>
      <c r="O26" s="452"/>
      <c r="P26" s="452"/>
      <c r="Q26" s="452"/>
      <c r="R26" s="452"/>
      <c r="S26" s="452"/>
      <c r="T26" s="452"/>
      <c r="U26" s="452"/>
      <c r="V26" s="452"/>
    </row>
    <row r="27" spans="1:22" ht="13.5" customHeight="1">
      <c r="B27" s="550"/>
      <c r="C27" s="552" t="s">
        <v>373</v>
      </c>
      <c r="D27" s="1323" t="s">
        <v>415</v>
      </c>
      <c r="E27" s="1323"/>
      <c r="F27" s="1323"/>
      <c r="G27" s="1323"/>
      <c r="H27" s="1323"/>
      <c r="J27" s="1333" t="s">
        <v>370</v>
      </c>
      <c r="K27" s="22"/>
      <c r="N27" s="484"/>
      <c r="O27" s="452"/>
      <c r="P27" s="452"/>
      <c r="Q27" s="452"/>
      <c r="R27" s="452"/>
      <c r="S27" s="452"/>
      <c r="T27" s="452"/>
      <c r="U27" s="452"/>
      <c r="V27" s="452"/>
    </row>
    <row r="28" spans="1:22" ht="13.5" customHeight="1">
      <c r="B28" s="550"/>
      <c r="C28" s="553" t="s">
        <v>375</v>
      </c>
      <c r="D28" s="1323" t="s">
        <v>416</v>
      </c>
      <c r="E28" s="1713"/>
      <c r="F28" s="1713"/>
      <c r="G28" s="1713"/>
      <c r="H28" s="1323"/>
      <c r="J28" s="1333" t="s">
        <v>370</v>
      </c>
      <c r="K28" s="47"/>
      <c r="N28" s="484"/>
      <c r="O28" s="452"/>
      <c r="P28" s="452"/>
      <c r="Q28" s="452"/>
      <c r="R28" s="452"/>
      <c r="S28" s="452"/>
      <c r="T28" s="452"/>
      <c r="U28" s="452"/>
      <c r="V28" s="452"/>
    </row>
    <row r="29" spans="1:22" ht="3.75" customHeight="1">
      <c r="B29" s="554"/>
      <c r="C29" s="554"/>
      <c r="D29" s="538"/>
      <c r="J29" s="1333"/>
      <c r="K29" s="555"/>
      <c r="N29" s="1703"/>
      <c r="O29" s="1704"/>
      <c r="P29" s="1704"/>
      <c r="Q29" s="1704"/>
      <c r="R29" s="1704"/>
      <c r="S29" s="1704"/>
      <c r="T29" s="1704"/>
      <c r="U29" s="1704"/>
      <c r="V29" s="1704"/>
    </row>
    <row r="30" spans="1:22" ht="13.5" customHeight="1">
      <c r="A30" s="556"/>
      <c r="B30" s="557" t="s">
        <v>123</v>
      </c>
      <c r="C30" s="1201" t="s">
        <v>1352</v>
      </c>
      <c r="D30" s="538"/>
      <c r="E30" s="139"/>
      <c r="F30" s="139"/>
      <c r="G30" s="139"/>
      <c r="H30" s="139"/>
      <c r="I30" s="139"/>
      <c r="J30" s="1333" t="s">
        <v>370</v>
      </c>
      <c r="K30" s="542">
        <f>TotAmtCapExped</f>
        <v>1028154</v>
      </c>
      <c r="N30" s="1704"/>
      <c r="O30" s="1704"/>
      <c r="P30" s="1704"/>
      <c r="Q30" s="1704"/>
      <c r="R30" s="1704"/>
      <c r="S30" s="1704"/>
      <c r="T30" s="1704"/>
      <c r="U30" s="1704"/>
      <c r="V30" s="1704"/>
    </row>
    <row r="31" spans="1:22" ht="6" customHeight="1">
      <c r="A31" s="556"/>
      <c r="B31" s="554"/>
      <c r="C31" s="554"/>
      <c r="D31" s="538"/>
      <c r="E31" s="139"/>
      <c r="F31" s="139"/>
      <c r="G31" s="139"/>
      <c r="H31" s="139"/>
      <c r="I31" s="139"/>
      <c r="J31" s="1333"/>
      <c r="K31" s="541"/>
      <c r="N31" s="1704"/>
      <c r="O31" s="1704"/>
      <c r="P31" s="1704"/>
      <c r="Q31" s="1704"/>
      <c r="R31" s="1704"/>
      <c r="S31" s="1704"/>
      <c r="T31" s="1704"/>
      <c r="U31" s="1704"/>
      <c r="V31" s="1704"/>
    </row>
    <row r="32" spans="1:22" ht="13.5" customHeight="1" thickBot="1">
      <c r="A32" s="1333"/>
      <c r="B32" s="557" t="s">
        <v>125</v>
      </c>
      <c r="C32" s="1202" t="s">
        <v>1150</v>
      </c>
      <c r="D32" s="538"/>
      <c r="E32" s="549"/>
      <c r="F32" s="549"/>
      <c r="G32" s="1203"/>
      <c r="H32" s="549"/>
      <c r="J32" s="1333" t="s">
        <v>370</v>
      </c>
      <c r="K32" s="558">
        <f>SUM(K18:K30)</f>
        <v>1605352</v>
      </c>
      <c r="N32" s="121"/>
      <c r="O32" s="96"/>
      <c r="P32" s="96"/>
      <c r="Q32" s="96"/>
      <c r="R32" s="96"/>
      <c r="S32" s="96"/>
      <c r="T32" s="96"/>
      <c r="U32" s="96"/>
      <c r="V32" s="300"/>
    </row>
    <row r="33" spans="1:22" ht="8.25" customHeight="1" thickTop="1">
      <c r="A33" s="1333"/>
      <c r="D33" s="538"/>
      <c r="J33" s="1333"/>
      <c r="K33" s="555"/>
      <c r="N33" s="96"/>
      <c r="O33" s="96"/>
      <c r="P33" s="96"/>
      <c r="Q33" s="96"/>
      <c r="R33" s="96"/>
      <c r="S33" s="96"/>
      <c r="T33" s="1630"/>
      <c r="U33" s="1580"/>
      <c r="V33" s="300"/>
    </row>
    <row r="34" spans="1:22" ht="3" customHeight="1">
      <c r="A34" s="1333"/>
      <c r="B34" s="554"/>
      <c r="C34" s="554"/>
      <c r="D34" s="538"/>
      <c r="E34" s="546"/>
      <c r="F34" s="546"/>
      <c r="G34" s="546"/>
      <c r="H34" s="546"/>
      <c r="J34" s="1333"/>
      <c r="K34" s="555"/>
      <c r="N34" s="96"/>
      <c r="O34" s="96"/>
      <c r="P34" s="96"/>
      <c r="Q34" s="96"/>
      <c r="R34" s="96"/>
      <c r="S34" s="96"/>
      <c r="T34" s="1630"/>
      <c r="U34" s="1580"/>
      <c r="V34" s="300"/>
    </row>
    <row r="35" spans="1:22" ht="15" customHeight="1">
      <c r="A35" s="559" t="s">
        <v>357</v>
      </c>
      <c r="B35" s="560" t="s">
        <v>429</v>
      </c>
      <c r="C35" s="561"/>
      <c r="D35" s="538"/>
      <c r="E35" s="546"/>
      <c r="F35" s="546"/>
      <c r="G35" s="546"/>
      <c r="H35" s="546"/>
      <c r="I35" s="139"/>
      <c r="J35" s="1333"/>
      <c r="K35" s="555"/>
      <c r="N35" s="96"/>
      <c r="O35" s="96"/>
      <c r="P35" s="96"/>
      <c r="Q35" s="96"/>
      <c r="R35" s="96"/>
      <c r="S35" s="96"/>
      <c r="T35" s="1630"/>
      <c r="U35" s="1580"/>
      <c r="V35" s="300"/>
    </row>
    <row r="36" spans="1:22" ht="6.75" customHeight="1">
      <c r="A36" s="562"/>
      <c r="B36" s="563"/>
      <c r="C36" s="561"/>
      <c r="D36" s="538"/>
      <c r="E36" s="546"/>
      <c r="F36" s="546"/>
      <c r="G36" s="546"/>
      <c r="H36" s="546"/>
      <c r="I36" s="139"/>
      <c r="J36" s="1333"/>
      <c r="K36" s="555"/>
      <c r="N36" s="96"/>
      <c r="O36" s="96"/>
      <c r="P36" s="96"/>
      <c r="Q36" s="96"/>
      <c r="R36" s="96"/>
      <c r="S36" s="96"/>
      <c r="T36" s="1630"/>
      <c r="U36" s="1580"/>
      <c r="V36" s="300"/>
    </row>
    <row r="38" spans="1:22">
      <c r="A38" s="139"/>
      <c r="B38" s="139"/>
      <c r="C38" s="139"/>
    </row>
    <row r="39" spans="1:22" ht="15">
      <c r="A39" s="564"/>
      <c r="B39" s="1707"/>
      <c r="C39" s="1707"/>
      <c r="D39" s="1706"/>
      <c r="E39" s="1706"/>
    </row>
    <row r="40" spans="1:22" ht="15">
      <c r="A40" s="565"/>
      <c r="B40" s="1705"/>
      <c r="C40" s="1705"/>
      <c r="D40" s="1706"/>
      <c r="E40" s="1706"/>
    </row>
    <row r="41" spans="1:22" ht="15">
      <c r="A41" s="565"/>
      <c r="B41" s="1705"/>
      <c r="C41" s="1705"/>
      <c r="D41" s="1706"/>
      <c r="E41" s="1706"/>
    </row>
    <row r="42" spans="1:22" ht="15">
      <c r="A42" s="565"/>
      <c r="B42" s="566"/>
      <c r="C42" s="566"/>
      <c r="D42" s="567"/>
      <c r="E42" s="567"/>
    </row>
    <row r="43" spans="1:22" ht="15">
      <c r="A43" s="565"/>
      <c r="B43" s="1707"/>
      <c r="C43" s="1707"/>
      <c r="D43" s="1706"/>
      <c r="E43" s="1706"/>
    </row>
    <row r="44" spans="1:22" ht="15">
      <c r="A44" s="565"/>
      <c r="B44" s="1707"/>
      <c r="C44" s="1707"/>
      <c r="D44" s="1706"/>
      <c r="E44" s="1706"/>
    </row>
    <row r="45" spans="1:22" ht="12.75" customHeight="1">
      <c r="A45" s="564"/>
    </row>
    <row r="46" spans="1:22" ht="15">
      <c r="A46" s="565"/>
      <c r="B46" s="1707"/>
      <c r="C46" s="1707"/>
      <c r="D46" s="1706"/>
      <c r="E46" s="1706"/>
    </row>
    <row r="47" spans="1:22" ht="15">
      <c r="A47" s="565"/>
      <c r="E47" s="1324"/>
      <c r="F47" s="1322"/>
      <c r="G47" s="1322"/>
      <c r="H47" s="1322"/>
      <c r="I47"/>
      <c r="J47" s="1322"/>
      <c r="K47" s="548"/>
      <c r="L47" s="1322"/>
    </row>
    <row r="48" spans="1:22" ht="15">
      <c r="A48" s="565"/>
      <c r="B48" s="1707"/>
      <c r="C48" s="1707"/>
      <c r="D48" s="1708"/>
      <c r="E48" s="1708"/>
      <c r="F48" s="1708"/>
      <c r="G48" s="1708"/>
      <c r="H48" s="1708"/>
      <c r="I48" s="1708"/>
      <c r="J48" s="1708"/>
      <c r="K48" s="1708"/>
      <c r="L48" s="1708"/>
    </row>
    <row r="49" spans="1:3" ht="13.8">
      <c r="A49" s="568"/>
      <c r="B49" s="139"/>
      <c r="C49" s="139"/>
    </row>
    <row r="110" spans="1:12">
      <c r="A110" s="1329"/>
      <c r="L110" s="1329"/>
    </row>
  </sheetData>
  <sheetProtection sheet="1" formatCells="0" formatColumns="0" formatRows="0"/>
  <mergeCells count="24">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 ref="B48:L48"/>
    <mergeCell ref="B44:E44"/>
    <mergeCell ref="B46:E46"/>
    <mergeCell ref="B43:E43"/>
    <mergeCell ref="B39:E39"/>
    <mergeCell ref="U33:U36"/>
    <mergeCell ref="T33:T36"/>
    <mergeCell ref="N29:V31"/>
    <mergeCell ref="B40:E40"/>
    <mergeCell ref="B41:E41"/>
  </mergeCells>
  <dataValidations count="3">
    <dataValidation allowBlank="1" showInputMessage="1" showErrorMessage="1" prompt="Enter negative amount in parentheses." sqref="K27" xr:uid="{00000000-0002-0000-0800-000000000000}"/>
    <dataValidation type="whole" operator="lessThanOrEqual" allowBlank="1" showInputMessage="1" showErrorMessage="1" prompt="This amount must be negative. Enter amount in parentheses." sqref="K24" xr:uid="{00000000-0002-0000-0800-000001000000}">
      <formula1>0</formula1>
    </dataValidation>
    <dataValidation allowBlank="1" showInputMessage="1" showErrorMessage="1" promptTitle="Contact ADE prior to completing" prompt="Enter negative amount in parentheses." sqref="K28" xr:uid="{00000000-0002-0000-0800-000002000000}"/>
  </dataValidations>
  <hyperlinks>
    <hyperlink ref="B9" location="Page8lA2" display="2." xr:uid="{00000000-0004-0000-0800-000000000000}"/>
    <hyperlink ref="B20" location="Page8lA9" display="9." xr:uid="{00000000-0004-0000-0800-000001000000}"/>
    <hyperlink ref="B22" location="Page8lA10" display="10." xr:uid="{00000000-0004-0000-0800-000002000000}"/>
    <hyperlink ref="B15" location="Page8lA6" display="6." xr:uid="{00000000-0004-0000-0800-000003000000}"/>
    <hyperlink ref="B19" location="Page8lA8" display="8." xr:uid="{00000000-0004-0000-0800-000004000000}"/>
    <hyperlink ref="B11" location="Page8lA3" display="3." xr:uid="{00000000-0004-0000-0800-000005000000}"/>
  </hyperlinks>
  <printOptions horizontalCentered="1"/>
  <pageMargins left="0.25" right="0.25" top="0.25" bottom="0.25" header="0" footer="0.15"/>
  <pageSetup paperSize="5" scale="99" orientation="portrait" r:id="rId1"/>
  <headerFooter alignWithMargins="0">
    <oddFooter>&amp;L&amp;"Times New Roman,Bold"&amp;9Rev. 5/25&amp;K000000 Arizona Department of Education and Auditor General&amp;C&amp;"Times New Roman,Regular"&amp;9&amp;D  &amp;T</oddFooter>
  </headerFooter>
  <colBreaks count="1" manualBreakCount="1">
    <brk id="13" max="1048575" man="1"/>
  </colBreaks>
  <ignoredErrors>
    <ignoredError sqref="B22"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pageSetUpPr fitToPage="1"/>
  </sheetPr>
  <dimension ref="A1:Q31"/>
  <sheetViews>
    <sheetView showGridLines="0" tabSelected="1" topLeftCell="A6" workbookViewId="0">
      <selection activeCell="W6" sqref="W6"/>
    </sheetView>
  </sheetViews>
  <sheetFormatPr defaultColWidth="9.90625" defaultRowHeight="15.6"/>
  <cols>
    <col min="1" max="1" width="16.90625" style="97" customWidth="1"/>
    <col min="2" max="2" width="26.90625" style="97" customWidth="1"/>
    <col min="3" max="3" width="3" style="97" customWidth="1"/>
    <col min="4" max="5" width="5.90625" style="97" customWidth="1"/>
    <col min="6" max="13" width="10.90625" style="97" customWidth="1"/>
    <col min="14" max="14" width="6.90625" style="97" customWidth="1"/>
    <col min="15" max="16" width="3.90625" style="97" customWidth="1"/>
    <col min="17" max="21" width="9.90625" style="97" customWidth="1"/>
    <col min="22" max="16384" width="9.90625" style="97"/>
  </cols>
  <sheetData>
    <row r="1" spans="1:17" ht="12" customHeight="1">
      <c r="A1" s="1298" t="s">
        <v>184</v>
      </c>
      <c r="B1" s="1601" t="str">
        <f>DistrictName</f>
        <v>Murphy Elementary School District #21</v>
      </c>
      <c r="C1" s="1601"/>
      <c r="D1" s="1601"/>
      <c r="E1" s="1601"/>
      <c r="F1" s="1298" t="s">
        <v>1</v>
      </c>
      <c r="G1" s="1610" t="str">
        <f>Cover!H1</f>
        <v>Maricopa</v>
      </c>
      <c r="H1" s="1625"/>
      <c r="I1" s="139"/>
      <c r="J1" s="1298" t="s">
        <v>60</v>
      </c>
      <c r="K1" s="98" t="str">
        <f>Cover!S1</f>
        <v>070421000</v>
      </c>
      <c r="L1" s="149"/>
      <c r="M1" s="1298" t="s">
        <v>16</v>
      </c>
      <c r="N1" s="1599" t="str">
        <f>Cover!C8</f>
        <v>Proposed</v>
      </c>
      <c r="O1" s="1599"/>
      <c r="P1" s="139"/>
      <c r="Q1" s="139"/>
    </row>
    <row r="2" spans="1:17" ht="42" customHeight="1">
      <c r="A2" s="1722" t="s">
        <v>430</v>
      </c>
      <c r="B2" s="1723"/>
      <c r="C2" s="1723"/>
      <c r="D2" s="1723"/>
      <c r="E2" s="1723"/>
      <c r="F2" s="1723"/>
      <c r="G2" s="1723"/>
      <c r="H2" s="1723"/>
      <c r="I2" s="1723"/>
      <c r="J2" s="1723"/>
      <c r="K2" s="1723"/>
      <c r="L2" s="1723"/>
      <c r="M2" s="1723"/>
      <c r="N2" s="1723"/>
      <c r="O2" s="569"/>
      <c r="P2" s="569"/>
      <c r="Q2" s="569"/>
    </row>
    <row r="3" spans="1:17" ht="12" customHeight="1">
      <c r="A3" s="570"/>
      <c r="B3" s="571"/>
      <c r="C3" s="99"/>
      <c r="D3" s="572"/>
      <c r="E3" s="573"/>
      <c r="F3" s="574"/>
      <c r="G3" s="1302" t="s">
        <v>84</v>
      </c>
      <c r="H3" s="1302" t="s">
        <v>85</v>
      </c>
      <c r="I3" s="1302"/>
      <c r="J3" s="1302"/>
      <c r="K3" s="1302"/>
      <c r="L3" s="317" t="s">
        <v>86</v>
      </c>
      <c r="M3" s="317"/>
      <c r="N3" s="164"/>
    </row>
    <row r="4" spans="1:17" ht="12" customHeight="1">
      <c r="A4" s="1724" t="s">
        <v>431</v>
      </c>
      <c r="B4" s="1725"/>
      <c r="C4" s="96"/>
      <c r="D4" s="165" t="s">
        <v>87</v>
      </c>
      <c r="E4" s="575"/>
      <c r="F4" s="166" t="s">
        <v>88</v>
      </c>
      <c r="G4" s="162" t="s">
        <v>432</v>
      </c>
      <c r="H4" s="162" t="s">
        <v>433</v>
      </c>
      <c r="I4" s="162" t="s">
        <v>91</v>
      </c>
      <c r="J4" s="162" t="s">
        <v>190</v>
      </c>
      <c r="K4" s="162" t="s">
        <v>92</v>
      </c>
      <c r="L4" s="3" t="s">
        <v>93</v>
      </c>
      <c r="M4" s="166" t="s">
        <v>94</v>
      </c>
      <c r="N4" s="162" t="s">
        <v>95</v>
      </c>
    </row>
    <row r="5" spans="1:17" ht="12" customHeight="1">
      <c r="A5" s="576"/>
      <c r="C5" s="96"/>
      <c r="D5" s="162" t="s">
        <v>93</v>
      </c>
      <c r="E5" s="3" t="s">
        <v>94</v>
      </c>
      <c r="F5" s="166"/>
      <c r="G5" s="167"/>
      <c r="H5" s="162" t="s">
        <v>97</v>
      </c>
      <c r="I5" s="162"/>
      <c r="J5" s="162"/>
      <c r="K5" s="162"/>
      <c r="L5" s="3" t="s">
        <v>3</v>
      </c>
      <c r="M5" s="166" t="s">
        <v>3</v>
      </c>
      <c r="N5" s="162" t="s">
        <v>98</v>
      </c>
    </row>
    <row r="6" spans="1:17" ht="12" customHeight="1">
      <c r="A6" s="577" t="s">
        <v>96</v>
      </c>
      <c r="B6" s="169"/>
      <c r="C6" s="170"/>
      <c r="D6" s="162" t="s">
        <v>3</v>
      </c>
      <c r="E6" s="172" t="s">
        <v>3</v>
      </c>
      <c r="F6" s="173">
        <v>6100</v>
      </c>
      <c r="G6" s="171" t="s">
        <v>100</v>
      </c>
      <c r="H6" s="171" t="s">
        <v>101</v>
      </c>
      <c r="I6" s="171">
        <v>6600</v>
      </c>
      <c r="J6" s="171">
        <v>6700</v>
      </c>
      <c r="K6" s="171" t="s">
        <v>102</v>
      </c>
      <c r="L6" s="172">
        <f>PriorFiscalYear</f>
        <v>2025</v>
      </c>
      <c r="M6" s="173">
        <f>Cover!E3</f>
        <v>2026</v>
      </c>
      <c r="N6" s="171" t="s">
        <v>103</v>
      </c>
    </row>
    <row r="7" spans="1:17" ht="13.5" customHeight="1">
      <c r="A7" s="1720" t="s">
        <v>434</v>
      </c>
      <c r="B7" s="1721"/>
      <c r="C7" s="578"/>
      <c r="D7" s="1130"/>
      <c r="E7" s="174"/>
      <c r="F7" s="175"/>
      <c r="G7" s="175"/>
      <c r="H7" s="175"/>
      <c r="I7" s="175"/>
      <c r="J7" s="1128"/>
      <c r="K7" s="1131"/>
      <c r="L7" s="1130"/>
      <c r="M7" s="1130"/>
      <c r="N7" s="1130"/>
      <c r="O7" s="579"/>
    </row>
    <row r="8" spans="1:17" ht="13.5" customHeight="1">
      <c r="A8" s="102" t="s">
        <v>105</v>
      </c>
      <c r="B8" s="96"/>
      <c r="C8" s="176" t="s">
        <v>6</v>
      </c>
      <c r="D8" s="1204">
        <f>[1]!F071F1000Personnel</f>
        <v>0</v>
      </c>
      <c r="E8" s="35"/>
      <c r="F8" s="7"/>
      <c r="G8" s="7"/>
      <c r="H8" s="7"/>
      <c r="I8" s="7"/>
      <c r="J8" s="1129"/>
      <c r="K8" s="44"/>
      <c r="L8" s="1179">
        <f>[1]!F071F1000</f>
        <v>0</v>
      </c>
      <c r="M8" s="1179">
        <f>SUM(F8:K8)</f>
        <v>0</v>
      </c>
      <c r="N8" s="1192">
        <f>IF(L8=M8,0,IF(L8&gt;0,(M8-L8)/L8,""))</f>
        <v>0</v>
      </c>
      <c r="O8" s="178" t="s">
        <v>6</v>
      </c>
      <c r="P8" s="1299"/>
    </row>
    <row r="9" spans="1:17" ht="13.5" customHeight="1">
      <c r="A9" s="102" t="s">
        <v>106</v>
      </c>
      <c r="B9" s="96"/>
      <c r="C9" s="176" t="s">
        <v>44</v>
      </c>
      <c r="D9" s="1130"/>
      <c r="E9" s="174"/>
      <c r="F9" s="175"/>
      <c r="G9" s="175"/>
      <c r="H9" s="175"/>
      <c r="I9" s="175"/>
      <c r="J9" s="1128"/>
      <c r="K9" s="1131"/>
      <c r="L9" s="1107"/>
      <c r="M9" s="1107"/>
      <c r="N9" s="1107"/>
      <c r="O9" s="178" t="s">
        <v>44</v>
      </c>
      <c r="P9" s="1299"/>
    </row>
    <row r="10" spans="1:17" ht="13.5" customHeight="1">
      <c r="A10" s="102" t="s">
        <v>107</v>
      </c>
      <c r="B10" s="96"/>
      <c r="C10" s="176" t="s">
        <v>8</v>
      </c>
      <c r="D10" s="1204">
        <f>[1]!F071F2100Personnel</f>
        <v>0</v>
      </c>
      <c r="E10" s="35"/>
      <c r="F10" s="7"/>
      <c r="G10" s="7"/>
      <c r="H10" s="7"/>
      <c r="I10" s="7"/>
      <c r="J10" s="1129"/>
      <c r="K10" s="44"/>
      <c r="L10" s="1175">
        <f>[1]!F071F2100</f>
        <v>0</v>
      </c>
      <c r="M10" s="1175">
        <f>SUM(F10:K10)</f>
        <v>0</v>
      </c>
      <c r="N10" s="1176">
        <f>IF(L10=M10,0,IF(L10&gt;0,(M10-L10)/L10,""))</f>
        <v>0</v>
      </c>
      <c r="O10" s="178" t="s">
        <v>8</v>
      </c>
      <c r="P10" s="1299"/>
    </row>
    <row r="11" spans="1:17" ht="13.5" customHeight="1">
      <c r="A11" s="102" t="s">
        <v>108</v>
      </c>
      <c r="B11" s="96"/>
      <c r="C11" s="176" t="s">
        <v>22</v>
      </c>
      <c r="D11" s="1177">
        <f>[1]!F071F2200Personnel</f>
        <v>0</v>
      </c>
      <c r="E11" s="12"/>
      <c r="F11" s="8"/>
      <c r="G11" s="8"/>
      <c r="H11" s="8"/>
      <c r="I11" s="8"/>
      <c r="J11" s="580"/>
      <c r="K11" s="8"/>
      <c r="L11" s="177">
        <f>[1]!F071F2200</f>
        <v>0</v>
      </c>
      <c r="M11" s="177">
        <f t="shared" ref="M11:M17" si="0">SUM(F11:K11)</f>
        <v>0</v>
      </c>
      <c r="N11" s="1180">
        <f t="shared" ref="N11:N17" si="1">IF(L11=M11,0,IF(L11&gt;0,(M11-L11)/L11,""))</f>
        <v>0</v>
      </c>
      <c r="O11" s="178" t="s">
        <v>22</v>
      </c>
      <c r="P11" s="1299"/>
    </row>
    <row r="12" spans="1:17" ht="13.5" customHeight="1">
      <c r="A12" s="102" t="s">
        <v>109</v>
      </c>
      <c r="B12" s="96"/>
      <c r="C12" s="176" t="s">
        <v>42</v>
      </c>
      <c r="D12" s="188">
        <f>[1]!F071F2300Personnel</f>
        <v>0</v>
      </c>
      <c r="E12" s="12"/>
      <c r="F12" s="8"/>
      <c r="G12" s="8"/>
      <c r="H12" s="8"/>
      <c r="I12" s="8"/>
      <c r="J12" s="580"/>
      <c r="K12" s="8"/>
      <c r="L12" s="1181">
        <f>[1]!F071F2300</f>
        <v>0</v>
      </c>
      <c r="M12" s="177">
        <f t="shared" si="0"/>
        <v>0</v>
      </c>
      <c r="N12" s="1182">
        <f t="shared" si="1"/>
        <v>0</v>
      </c>
      <c r="O12" s="178" t="s">
        <v>42</v>
      </c>
      <c r="P12" s="1299"/>
    </row>
    <row r="13" spans="1:17" ht="13.5" customHeight="1">
      <c r="A13" s="102" t="s">
        <v>110</v>
      </c>
      <c r="B13" s="96"/>
      <c r="C13" s="176" t="s">
        <v>111</v>
      </c>
      <c r="D13" s="188">
        <f>[1]!F071F2400Personnel</f>
        <v>0</v>
      </c>
      <c r="E13" s="12"/>
      <c r="F13" s="8"/>
      <c r="G13" s="8"/>
      <c r="H13" s="8"/>
      <c r="I13" s="8"/>
      <c r="J13" s="580"/>
      <c r="K13" s="8"/>
      <c r="L13" s="1181">
        <f>[1]!F071F2400</f>
        <v>0</v>
      </c>
      <c r="M13" s="177">
        <f t="shared" si="0"/>
        <v>0</v>
      </c>
      <c r="N13" s="1182">
        <f t="shared" si="1"/>
        <v>0</v>
      </c>
      <c r="O13" s="178" t="s">
        <v>111</v>
      </c>
      <c r="P13" s="1299"/>
    </row>
    <row r="14" spans="1:17" ht="13.5" customHeight="1">
      <c r="A14" s="102" t="s">
        <v>112</v>
      </c>
      <c r="B14" s="96"/>
      <c r="C14" s="176" t="s">
        <v>113</v>
      </c>
      <c r="D14" s="188">
        <f>[1]!F071F2500Personnel</f>
        <v>0</v>
      </c>
      <c r="E14" s="12"/>
      <c r="F14" s="8"/>
      <c r="G14" s="8"/>
      <c r="H14" s="8"/>
      <c r="I14" s="8"/>
      <c r="J14" s="580"/>
      <c r="K14" s="8"/>
      <c r="L14" s="1181">
        <f>[1]!F071F2500</f>
        <v>0</v>
      </c>
      <c r="M14" s="177">
        <f t="shared" si="0"/>
        <v>0</v>
      </c>
      <c r="N14" s="1182">
        <f t="shared" si="1"/>
        <v>0</v>
      </c>
      <c r="O14" s="178" t="s">
        <v>113</v>
      </c>
      <c r="P14" s="1299"/>
    </row>
    <row r="15" spans="1:17" ht="13.5" customHeight="1">
      <c r="A15" s="102" t="s">
        <v>114</v>
      </c>
      <c r="B15" s="96"/>
      <c r="C15" s="176" t="s">
        <v>115</v>
      </c>
      <c r="D15" s="188">
        <f>[1]!F071F2600Personnel</f>
        <v>0</v>
      </c>
      <c r="E15" s="12"/>
      <c r="F15" s="8"/>
      <c r="G15" s="8"/>
      <c r="H15" s="8"/>
      <c r="I15" s="8"/>
      <c r="J15" s="580"/>
      <c r="K15" s="8"/>
      <c r="L15" s="1181">
        <f>[1]!F071F2600</f>
        <v>0</v>
      </c>
      <c r="M15" s="177">
        <f t="shared" si="0"/>
        <v>0</v>
      </c>
      <c r="N15" s="1182">
        <f t="shared" si="1"/>
        <v>0</v>
      </c>
      <c r="O15" s="178" t="s">
        <v>115</v>
      </c>
      <c r="P15" s="1299"/>
    </row>
    <row r="16" spans="1:17" ht="13.5" customHeight="1">
      <c r="A16" s="102" t="s">
        <v>435</v>
      </c>
      <c r="B16" s="96"/>
      <c r="C16" s="176" t="s">
        <v>117</v>
      </c>
      <c r="D16" s="188">
        <f>[1]!F071F2700Personnel</f>
        <v>0</v>
      </c>
      <c r="E16" s="12"/>
      <c r="F16" s="8"/>
      <c r="G16" s="8"/>
      <c r="H16" s="8"/>
      <c r="I16" s="8"/>
      <c r="J16" s="580"/>
      <c r="K16" s="8"/>
      <c r="L16" s="1181">
        <f>[1]!F071F2700</f>
        <v>0</v>
      </c>
      <c r="M16" s="177">
        <f t="shared" si="0"/>
        <v>0</v>
      </c>
      <c r="N16" s="1182">
        <f t="shared" si="1"/>
        <v>0</v>
      </c>
      <c r="O16" s="178" t="s">
        <v>117</v>
      </c>
      <c r="P16" s="1299"/>
    </row>
    <row r="17" spans="1:16" ht="13.5" customHeight="1">
      <c r="A17" s="102" t="s">
        <v>116</v>
      </c>
      <c r="B17" s="96"/>
      <c r="C17" s="176" t="s">
        <v>119</v>
      </c>
      <c r="D17" s="188">
        <f>[1]!F071F2900Personnel</f>
        <v>0</v>
      </c>
      <c r="E17" s="12"/>
      <c r="F17" s="8"/>
      <c r="G17" s="8"/>
      <c r="H17" s="8"/>
      <c r="I17" s="8"/>
      <c r="J17" s="580"/>
      <c r="K17" s="8"/>
      <c r="L17" s="1181">
        <f>[1]!F071F2900</f>
        <v>0</v>
      </c>
      <c r="M17" s="177">
        <f t="shared" si="0"/>
        <v>0</v>
      </c>
      <c r="N17" s="1182">
        <f t="shared" si="1"/>
        <v>0</v>
      </c>
      <c r="O17" s="178" t="s">
        <v>119</v>
      </c>
      <c r="P17" s="1299"/>
    </row>
    <row r="18" spans="1:16" ht="13.5" customHeight="1">
      <c r="A18" s="581" t="s">
        <v>436</v>
      </c>
      <c r="B18" s="582"/>
      <c r="C18" s="583" t="s">
        <v>121</v>
      </c>
      <c r="D18" s="1186">
        <f>SUM(D8:D17)</f>
        <v>0</v>
      </c>
      <c r="E18" s="188">
        <f>E8+SUM(E10:E17)</f>
        <v>0</v>
      </c>
      <c r="F18" s="192">
        <f>F8+SUM(F10:F17)</f>
        <v>0</v>
      </c>
      <c r="G18" s="192">
        <f>G8+SUM(G10:G17)</f>
        <v>0</v>
      </c>
      <c r="H18" s="192">
        <f>H8+SUM(H10:H17)</f>
        <v>0</v>
      </c>
      <c r="I18" s="192">
        <f>I8+SUM(I10:I17)</f>
        <v>0</v>
      </c>
      <c r="J18" s="584"/>
      <c r="K18" s="192">
        <f>K8+SUM(K10:K17)</f>
        <v>0</v>
      </c>
      <c r="L18" s="1187">
        <f>SUM(L8:L17)</f>
        <v>0</v>
      </c>
      <c r="M18" s="1187">
        <f>SUM(M8:M17)</f>
        <v>0</v>
      </c>
      <c r="N18" s="1188">
        <f>IF(L18=M18,0,IF(L18&gt;0,(M18-L18)/L18,""))</f>
        <v>0</v>
      </c>
      <c r="O18" s="332" t="s">
        <v>121</v>
      </c>
      <c r="P18" s="1299"/>
    </row>
    <row r="19" spans="1:16" ht="13.5" customHeight="1">
      <c r="A19" s="1720" t="s">
        <v>437</v>
      </c>
      <c r="B19" s="1721"/>
      <c r="C19" s="585"/>
      <c r="D19" s="1130"/>
      <c r="E19" s="174"/>
      <c r="F19" s="175"/>
      <c r="G19" s="175"/>
      <c r="H19" s="175"/>
      <c r="I19" s="175"/>
      <c r="J19" s="1128"/>
      <c r="K19" s="1131"/>
      <c r="L19" s="1107"/>
      <c r="M19" s="1107"/>
      <c r="N19" s="1107"/>
      <c r="O19" s="579"/>
    </row>
    <row r="20" spans="1:16" ht="13.5" customHeight="1">
      <c r="A20" s="102" t="s">
        <v>105</v>
      </c>
      <c r="B20" s="96"/>
      <c r="C20" s="176" t="s">
        <v>123</v>
      </c>
      <c r="D20" s="1204">
        <f>[1]!F072F1000Personnel</f>
        <v>0</v>
      </c>
      <c r="E20" s="35"/>
      <c r="F20" s="7"/>
      <c r="G20" s="7"/>
      <c r="H20" s="7"/>
      <c r="I20" s="7"/>
      <c r="J20" s="1129"/>
      <c r="K20" s="44"/>
      <c r="L20" s="1175">
        <f>[1]!F072F1000</f>
        <v>0</v>
      </c>
      <c r="M20" s="1175">
        <f>SUM(F20:K20)</f>
        <v>0</v>
      </c>
      <c r="N20" s="1176">
        <f>IF(L20=M20,0,IF(L20&gt;0,(M20-L20)/L20,""))</f>
        <v>0</v>
      </c>
      <c r="O20" s="178" t="s">
        <v>123</v>
      </c>
      <c r="P20" s="1299"/>
    </row>
    <row r="21" spans="1:16" ht="13.5" customHeight="1">
      <c r="A21" s="102" t="s">
        <v>106</v>
      </c>
      <c r="B21" s="96"/>
      <c r="C21" s="176"/>
      <c r="D21" s="1130"/>
      <c r="E21" s="174"/>
      <c r="F21" s="175"/>
      <c r="G21" s="175"/>
      <c r="H21" s="175"/>
      <c r="I21" s="175"/>
      <c r="J21" s="1128"/>
      <c r="K21" s="1131"/>
      <c r="L21" s="1107"/>
      <c r="M21" s="1107"/>
      <c r="N21" s="1107"/>
      <c r="O21" s="178" t="s">
        <v>44</v>
      </c>
      <c r="P21" s="1299"/>
    </row>
    <row r="22" spans="1:16" ht="13.5" customHeight="1">
      <c r="A22" s="102" t="s">
        <v>107</v>
      </c>
      <c r="B22" s="96"/>
      <c r="C22" s="176" t="s">
        <v>125</v>
      </c>
      <c r="D22" s="1204">
        <f>[1]!F072F2100Personnel</f>
        <v>0</v>
      </c>
      <c r="E22" s="35"/>
      <c r="F22" s="7"/>
      <c r="G22" s="7"/>
      <c r="H22" s="7"/>
      <c r="I22" s="7"/>
      <c r="J22" s="1129"/>
      <c r="K22" s="44"/>
      <c r="L22" s="1175">
        <f>[1]!F072F2100</f>
        <v>0</v>
      </c>
      <c r="M22" s="1175">
        <f>SUM(F22:K22)</f>
        <v>0</v>
      </c>
      <c r="N22" s="1176">
        <f>IF(L22=M22,0,IF(L22&gt;0,(M22-L22)/L22,""))</f>
        <v>0</v>
      </c>
      <c r="O22" s="178" t="s">
        <v>125</v>
      </c>
      <c r="P22" s="1299"/>
    </row>
    <row r="23" spans="1:16" ht="13.5" customHeight="1">
      <c r="A23" s="102" t="s">
        <v>108</v>
      </c>
      <c r="B23" s="96"/>
      <c r="C23" s="176" t="s">
        <v>127</v>
      </c>
      <c r="D23" s="1177">
        <f>[1]!F072F2200Personnel</f>
        <v>0</v>
      </c>
      <c r="E23" s="12"/>
      <c r="F23" s="8"/>
      <c r="G23" s="8"/>
      <c r="H23" s="8"/>
      <c r="I23" s="8"/>
      <c r="J23" s="580"/>
      <c r="K23" s="8"/>
      <c r="L23" s="1205">
        <f>[1]!F072F2200</f>
        <v>0</v>
      </c>
      <c r="M23" s="177">
        <f t="shared" ref="M23:M29" si="2">SUM(F23:K23)</f>
        <v>0</v>
      </c>
      <c r="N23" s="1180">
        <f t="shared" ref="N23:N30" si="3">IF(L23=M23,0,IF(L23&gt;0,(M23-L23)/L23,""))</f>
        <v>0</v>
      </c>
      <c r="O23" s="178" t="s">
        <v>127</v>
      </c>
      <c r="P23" s="1299"/>
    </row>
    <row r="24" spans="1:16" ht="13.5" customHeight="1">
      <c r="A24" s="102" t="s">
        <v>109</v>
      </c>
      <c r="B24" s="96"/>
      <c r="C24" s="176" t="s">
        <v>129</v>
      </c>
      <c r="D24" s="188">
        <f>[1]!F072F2300Personnel</f>
        <v>0</v>
      </c>
      <c r="E24" s="12"/>
      <c r="F24" s="8"/>
      <c r="G24" s="8"/>
      <c r="H24" s="8"/>
      <c r="I24" s="8"/>
      <c r="J24" s="580"/>
      <c r="K24" s="8"/>
      <c r="L24" s="179">
        <f>[1]!F072F2300</f>
        <v>0</v>
      </c>
      <c r="M24" s="177">
        <f t="shared" si="2"/>
        <v>0</v>
      </c>
      <c r="N24" s="180">
        <f t="shared" si="3"/>
        <v>0</v>
      </c>
      <c r="O24" s="178" t="s">
        <v>129</v>
      </c>
      <c r="P24" s="1299"/>
    </row>
    <row r="25" spans="1:16" ht="13.5" customHeight="1">
      <c r="A25" s="102" t="s">
        <v>110</v>
      </c>
      <c r="B25" s="96"/>
      <c r="C25" s="176" t="s">
        <v>131</v>
      </c>
      <c r="D25" s="188">
        <f>[1]!F072F2400Personnel</f>
        <v>0</v>
      </c>
      <c r="E25" s="12"/>
      <c r="F25" s="8"/>
      <c r="G25" s="8"/>
      <c r="H25" s="8"/>
      <c r="I25" s="8"/>
      <c r="J25" s="580"/>
      <c r="K25" s="8"/>
      <c r="L25" s="179">
        <f>[1]!F072F2400</f>
        <v>0</v>
      </c>
      <c r="M25" s="177">
        <f t="shared" si="2"/>
        <v>0</v>
      </c>
      <c r="N25" s="180">
        <f t="shared" si="3"/>
        <v>0</v>
      </c>
      <c r="O25" s="178" t="s">
        <v>131</v>
      </c>
      <c r="P25" s="1299"/>
    </row>
    <row r="26" spans="1:16" ht="13.5" customHeight="1">
      <c r="A26" s="102" t="s">
        <v>112</v>
      </c>
      <c r="B26" s="96"/>
      <c r="C26" s="176" t="s">
        <v>132</v>
      </c>
      <c r="D26" s="191">
        <f>[1]!F072F2500Personnel</f>
        <v>0</v>
      </c>
      <c r="E26" s="12"/>
      <c r="F26" s="8"/>
      <c r="G26" s="8"/>
      <c r="H26" s="8"/>
      <c r="I26" s="8"/>
      <c r="J26" s="580"/>
      <c r="K26" s="8"/>
      <c r="L26" s="179">
        <f>[1]!F072F2500</f>
        <v>0</v>
      </c>
      <c r="M26" s="177">
        <f t="shared" si="2"/>
        <v>0</v>
      </c>
      <c r="N26" s="180">
        <f t="shared" si="3"/>
        <v>0</v>
      </c>
      <c r="O26" s="178" t="s">
        <v>132</v>
      </c>
      <c r="P26" s="1299"/>
    </row>
    <row r="27" spans="1:16" ht="13.5" customHeight="1">
      <c r="A27" s="102" t="s">
        <v>114</v>
      </c>
      <c r="B27" s="96"/>
      <c r="C27" s="176" t="s">
        <v>133</v>
      </c>
      <c r="D27" s="191">
        <f>[1]!F072F2600Personnel</f>
        <v>0</v>
      </c>
      <c r="E27" s="12"/>
      <c r="F27" s="8"/>
      <c r="G27" s="8"/>
      <c r="H27" s="8"/>
      <c r="I27" s="8"/>
      <c r="J27" s="580"/>
      <c r="K27" s="8"/>
      <c r="L27" s="179">
        <f>[1]!F072F2600</f>
        <v>0</v>
      </c>
      <c r="M27" s="177">
        <f t="shared" si="2"/>
        <v>0</v>
      </c>
      <c r="N27" s="180">
        <f t="shared" si="3"/>
        <v>0</v>
      </c>
      <c r="O27" s="178" t="s">
        <v>133</v>
      </c>
      <c r="P27" s="1299"/>
    </row>
    <row r="28" spans="1:16" ht="13.5" customHeight="1">
      <c r="A28" s="102" t="s">
        <v>435</v>
      </c>
      <c r="B28" s="96"/>
      <c r="C28" s="176" t="s">
        <v>134</v>
      </c>
      <c r="D28" s="191">
        <f>[1]!F072F2700Personnel</f>
        <v>0</v>
      </c>
      <c r="E28" s="12"/>
      <c r="F28" s="8"/>
      <c r="G28" s="8"/>
      <c r="H28" s="8"/>
      <c r="I28" s="8"/>
      <c r="J28" s="580"/>
      <c r="K28" s="8"/>
      <c r="L28" s="179">
        <f>[1]!F072F2700</f>
        <v>0</v>
      </c>
      <c r="M28" s="177">
        <f t="shared" si="2"/>
        <v>0</v>
      </c>
      <c r="N28" s="180">
        <f t="shared" si="3"/>
        <v>0</v>
      </c>
      <c r="O28" s="178" t="s">
        <v>134</v>
      </c>
      <c r="P28" s="1299"/>
    </row>
    <row r="29" spans="1:16" ht="13.5" customHeight="1">
      <c r="A29" s="102" t="s">
        <v>116</v>
      </c>
      <c r="B29" s="96"/>
      <c r="C29" s="176" t="s">
        <v>135</v>
      </c>
      <c r="D29" s="191">
        <f>[1]!F072F2900Personnel</f>
        <v>0</v>
      </c>
      <c r="E29" s="12"/>
      <c r="F29" s="8"/>
      <c r="G29" s="8"/>
      <c r="H29" s="8"/>
      <c r="I29" s="8"/>
      <c r="J29" s="580"/>
      <c r="K29" s="8"/>
      <c r="L29" s="179">
        <f>[1]!F072F2900</f>
        <v>0</v>
      </c>
      <c r="M29" s="177">
        <f t="shared" si="2"/>
        <v>0</v>
      </c>
      <c r="N29" s="180">
        <f t="shared" si="3"/>
        <v>0</v>
      </c>
      <c r="O29" s="178" t="s">
        <v>135</v>
      </c>
      <c r="P29" s="1299"/>
    </row>
    <row r="30" spans="1:16" ht="13.5" customHeight="1">
      <c r="A30" s="581" t="s">
        <v>438</v>
      </c>
      <c r="B30" s="582"/>
      <c r="C30" s="583" t="s">
        <v>136</v>
      </c>
      <c r="D30" s="188">
        <f>SUM(D20:D29)</f>
        <v>0</v>
      </c>
      <c r="E30" s="188">
        <f>E20+SUM(E22:E29)</f>
        <v>0</v>
      </c>
      <c r="F30" s="192">
        <f>F20+SUM(F22:F29)</f>
        <v>0</v>
      </c>
      <c r="G30" s="192">
        <f>G20+SUM(G22:G29)</f>
        <v>0</v>
      </c>
      <c r="H30" s="192">
        <f>H20+SUM(H22:H29)</f>
        <v>0</v>
      </c>
      <c r="I30" s="192">
        <f>I20+SUM(I22:I29)</f>
        <v>0</v>
      </c>
      <c r="J30" s="584"/>
      <c r="K30" s="192">
        <f>K20+SUM(K22:K29)</f>
        <v>0</v>
      </c>
      <c r="L30" s="192">
        <f>SUM(L20:L29)</f>
        <v>0</v>
      </c>
      <c r="M30" s="192">
        <f>SUM(M20:M29)</f>
        <v>0</v>
      </c>
      <c r="N30" s="180">
        <f t="shared" si="3"/>
        <v>0</v>
      </c>
      <c r="O30" s="332" t="s">
        <v>136</v>
      </c>
      <c r="P30" s="1299"/>
    </row>
    <row r="31" spans="1:16" ht="9" customHeigh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15"/>
  <pageSetup paperSize="5" scale="92" orientation="landscape" r:id="rId1"/>
  <headerFooter alignWithMargins="0">
    <oddFooter>&amp;L&amp;"Times New Roman,Bold"&amp;9Rev. 5/25&amp;K000000 Arizona Department of Education and Auditor General&amp;C&amp;"Times New Roman,Regular"&amp;9&amp;D  &amp;T</oddFooter>
  </headerFooter>
  <ignoredErrors>
    <ignoredError sqref="K6 G6:H6"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71"/>
  <sheetViews>
    <sheetView showGridLines="0" tabSelected="1" workbookViewId="0">
      <selection activeCell="W6" sqref="W6"/>
    </sheetView>
  </sheetViews>
  <sheetFormatPr defaultColWidth="8.54296875" defaultRowHeight="10.199999999999999"/>
  <cols>
    <col min="1" max="1" width="28.54296875" style="590" customWidth="1"/>
    <col min="2" max="2" width="10.6328125" style="590" customWidth="1"/>
    <col min="3" max="8" width="8.90625" style="590" customWidth="1"/>
    <col min="9" max="9" width="10" style="590" customWidth="1"/>
    <col min="10" max="10" width="2" style="590" customWidth="1"/>
    <col min="11" max="11" width="10" style="590" customWidth="1"/>
    <col min="12" max="12" width="8.90625" style="590" customWidth="1"/>
    <col min="13" max="255" width="5.90625" style="590" customWidth="1"/>
    <col min="256" max="260" width="8.54296875" style="590" customWidth="1"/>
    <col min="261" max="16384" width="8.54296875" style="590"/>
  </cols>
  <sheetData>
    <row r="1" spans="1:22" ht="15">
      <c r="A1" s="586" t="str">
        <f>IF(OR(Version="Proposed",Version=""),"Summary of School District Proposed Expenditure Budget",IF(Version="Adopted","Summary of School District Adopted Expenditure Budget","Summary of School District Revised Expenditure Budget"))</f>
        <v>Summary of School District Proposed Expenditure Budget</v>
      </c>
      <c r="B1" s="1161"/>
      <c r="C1" s="1161"/>
      <c r="D1" s="1161"/>
      <c r="E1" s="1161"/>
      <c r="F1" s="586"/>
      <c r="G1" s="586"/>
      <c r="H1" s="1161" t="s">
        <v>60</v>
      </c>
      <c r="I1" s="587" t="str">
        <f>CTD</f>
        <v>070421000</v>
      </c>
      <c r="J1" s="588"/>
      <c r="K1" s="589" t="s">
        <v>439</v>
      </c>
      <c r="L1" s="150"/>
    </row>
    <row r="2" spans="1:22" ht="12" customHeight="1">
      <c r="B2" s="1325"/>
      <c r="C2" s="1325"/>
      <c r="D2" s="1325"/>
      <c r="E2" s="1325"/>
      <c r="F2" s="1325"/>
      <c r="G2" s="1325"/>
      <c r="H2" s="1162" t="s">
        <v>16</v>
      </c>
      <c r="I2" s="591" t="str">
        <f>Cover!C8</f>
        <v>Proposed</v>
      </c>
      <c r="J2" s="308"/>
      <c r="K2" s="589" t="s">
        <v>440</v>
      </c>
      <c r="L2" s="589" t="s">
        <v>441</v>
      </c>
      <c r="M2" s="308"/>
      <c r="N2" s="308"/>
      <c r="O2" s="308"/>
      <c r="P2" s="308"/>
      <c r="Q2" s="308"/>
      <c r="R2" s="308"/>
      <c r="S2" s="308"/>
      <c r="T2" s="308"/>
      <c r="U2" s="308"/>
      <c r="V2" s="308"/>
    </row>
    <row r="3" spans="1:22" ht="15" customHeight="1">
      <c r="A3" s="592" t="s">
        <v>442</v>
      </c>
      <c r="B3" s="1756" t="s">
        <v>1420</v>
      </c>
      <c r="C3" s="1756"/>
      <c r="D3" s="1733"/>
      <c r="E3" s="593" t="s">
        <v>443</v>
      </c>
      <c r="F3" s="88" t="s">
        <v>1421</v>
      </c>
      <c r="G3" s="1755" t="s">
        <v>1151</v>
      </c>
      <c r="H3" s="1755"/>
      <c r="I3" s="1755"/>
      <c r="J3" s="308"/>
      <c r="K3" s="589" t="s">
        <v>444</v>
      </c>
      <c r="L3" s="594" t="s">
        <v>445</v>
      </c>
      <c r="M3" s="308"/>
      <c r="N3" s="308"/>
      <c r="O3" s="308"/>
      <c r="P3" s="308"/>
      <c r="Q3" s="308"/>
      <c r="R3" s="308"/>
      <c r="S3" s="308"/>
      <c r="T3" s="308"/>
      <c r="U3" s="308"/>
      <c r="V3" s="308"/>
    </row>
    <row r="4" spans="1:22" ht="12" customHeight="1">
      <c r="A4" s="592" t="str">
        <f>IF(OR(I2="Proposed",I2=0),K1,IF(I2="Adopted",L2,K2))</f>
        <v>proposed by the Governing Board on,</v>
      </c>
      <c r="C4" s="1080">
        <f>IF(ISNUMBER(SEARCH("Revised*",I2)),Cover!E15,IF(ISNUMBER(SEARCH("Proposed*",I2)),Cover!E13,IF(ISNUMBER(SEARCH("Adopted*",I2)),Cover!E14,"")))</f>
        <v>45817</v>
      </c>
      <c r="D4" s="1757" t="str">
        <f>IF(OR(I2="Proposed",I2=0),K3,IF(I2="Adopted",L3,K4))</f>
        <v>, and that the complete Proposed Expenditure Budget may be reviewed by contacting</v>
      </c>
      <c r="E4" s="1757">
        <f>IF(ISNUMBER(SEARCH("Revised*",M2)),O2,O1)</f>
        <v>0</v>
      </c>
      <c r="F4" s="1757">
        <f>IF(ISNUMBER(SEARCH("Revised*",N2)),P2,P1)</f>
        <v>0</v>
      </c>
      <c r="G4" s="1757">
        <f>IF(ISNUMBER(SEARCH("Revised*",O2)),Q2,Q1)</f>
        <v>0</v>
      </c>
      <c r="H4" s="1757">
        <f>IF(ISNUMBER(SEARCH("Revised*",P2)),R2,R1)</f>
        <v>0</v>
      </c>
      <c r="I4" s="1757">
        <f>IF(ISNUMBER(SEARCH("Revised*",Q2)),S2,S1)</f>
        <v>0</v>
      </c>
      <c r="J4" s="308"/>
      <c r="K4" s="589" t="s">
        <v>446</v>
      </c>
      <c r="L4" s="595"/>
      <c r="M4" s="308"/>
      <c r="N4" s="308"/>
      <c r="O4" s="308"/>
      <c r="P4" s="308"/>
      <c r="Q4" s="308"/>
      <c r="R4" s="308"/>
      <c r="S4" s="308"/>
      <c r="T4" s="308"/>
      <c r="U4" s="308"/>
      <c r="V4" s="308"/>
    </row>
    <row r="5" spans="1:22" ht="12" customHeight="1">
      <c r="A5" s="31" t="s">
        <v>1413</v>
      </c>
      <c r="B5" s="1760" t="s">
        <v>447</v>
      </c>
      <c r="C5" s="1761"/>
      <c r="D5" s="1732" t="s">
        <v>1414</v>
      </c>
      <c r="E5" s="1733"/>
      <c r="F5" s="1757" t="s">
        <v>448</v>
      </c>
      <c r="G5" s="1757"/>
      <c r="H5" s="1757"/>
      <c r="I5" s="1759" t="str">
        <f>IF(I10&lt;1,"Enter average salaries on Budget Cover","")</f>
        <v/>
      </c>
      <c r="K5" s="1726" t="str">
        <f>IF(AND(ISNUMBER(SEARCH("Revised*",I2)),Cover!E15=""),"Enter revised date on Budget Cover",IF(AND(ISNUMBER(SEARCH("Proposed*",I2)),Cover!E13=""),"Enter proposed date on Budget Cover",""))</f>
        <v/>
      </c>
      <c r="L5" s="308"/>
      <c r="M5" s="308"/>
      <c r="N5" s="308"/>
      <c r="O5" s="308"/>
      <c r="P5" s="308"/>
      <c r="Q5" s="308"/>
      <c r="R5" s="308"/>
      <c r="S5" s="308"/>
      <c r="T5" s="308"/>
      <c r="U5" s="308"/>
      <c r="V5" s="308"/>
    </row>
    <row r="6" spans="1:22" ht="11.4">
      <c r="A6" s="596"/>
      <c r="B6" s="596"/>
      <c r="C6" s="597"/>
      <c r="D6" s="597"/>
      <c r="E6" s="1758"/>
      <c r="F6" s="1758"/>
      <c r="G6" s="1758"/>
      <c r="H6" s="596"/>
      <c r="I6" s="1759"/>
      <c r="J6" s="598"/>
      <c r="K6" s="1726"/>
      <c r="L6" s="308"/>
      <c r="M6" s="308"/>
      <c r="N6" s="308"/>
      <c r="O6" s="308"/>
      <c r="P6" s="308"/>
      <c r="Q6" s="308"/>
      <c r="R6" s="308"/>
      <c r="S6" s="308"/>
      <c r="T6" s="308"/>
      <c r="U6" s="308"/>
      <c r="V6" s="308"/>
    </row>
    <row r="7" spans="1:22" ht="11.4">
      <c r="A7" s="596"/>
      <c r="B7" s="597"/>
      <c r="C7" s="597"/>
      <c r="D7" s="597"/>
      <c r="E7" s="1742" t="s">
        <v>449</v>
      </c>
      <c r="F7" s="1742"/>
      <c r="G7" s="1742"/>
      <c r="H7" s="596"/>
      <c r="I7" s="1759"/>
      <c r="J7" s="598"/>
      <c r="K7" s="1726"/>
      <c r="L7" s="308"/>
      <c r="M7" s="308"/>
      <c r="N7" s="308"/>
      <c r="O7" s="308"/>
      <c r="P7" s="308"/>
      <c r="Q7" s="308"/>
      <c r="R7" s="308"/>
      <c r="S7" s="308"/>
      <c r="T7" s="308"/>
      <c r="U7" s="308"/>
      <c r="V7" s="308"/>
    </row>
    <row r="8" spans="1:22" ht="6" customHeight="1">
      <c r="A8" s="599"/>
      <c r="B8" s="599"/>
      <c r="C8" s="599"/>
      <c r="D8" s="599"/>
      <c r="E8" s="599"/>
      <c r="F8" s="599"/>
      <c r="G8" s="596"/>
      <c r="H8" s="596"/>
      <c r="I8" s="596"/>
      <c r="J8" s="308"/>
      <c r="K8" s="308"/>
      <c r="L8" s="308"/>
      <c r="M8" s="308"/>
      <c r="N8" s="308"/>
      <c r="O8" s="308"/>
      <c r="P8" s="308"/>
      <c r="Q8" s="308"/>
      <c r="R8" s="308"/>
      <c r="S8" s="308"/>
      <c r="T8" s="308"/>
      <c r="U8" s="308"/>
      <c r="V8" s="308"/>
    </row>
    <row r="9" spans="1:22" ht="11.25" customHeight="1">
      <c r="A9" s="600" t="s">
        <v>450</v>
      </c>
      <c r="B9" s="601"/>
      <c r="C9" s="1209" t="s">
        <v>451</v>
      </c>
      <c r="D9" s="1210" t="s">
        <v>452</v>
      </c>
      <c r="E9" s="602" t="s">
        <v>453</v>
      </c>
      <c r="F9" s="603"/>
      <c r="G9" s="604"/>
      <c r="H9" s="604"/>
      <c r="I9" s="605"/>
      <c r="J9" s="308"/>
      <c r="K9" s="308"/>
      <c r="L9" s="308"/>
      <c r="M9" s="308"/>
      <c r="N9" s="308"/>
      <c r="O9" s="308"/>
      <c r="P9" s="308"/>
      <c r="Q9" s="308"/>
      <c r="R9" s="308"/>
      <c r="S9" s="308"/>
      <c r="T9" s="308"/>
      <c r="U9" s="308"/>
      <c r="V9" s="308"/>
    </row>
    <row r="10" spans="1:22" ht="10.5" customHeight="1">
      <c r="A10" s="606"/>
      <c r="B10" s="1208" t="s">
        <v>1152</v>
      </c>
      <c r="C10" s="1208" t="s">
        <v>1153</v>
      </c>
      <c r="D10" s="1207" t="s">
        <v>1154</v>
      </c>
      <c r="E10" s="1206" t="s">
        <v>1155</v>
      </c>
      <c r="F10" s="607"/>
      <c r="G10" s="608"/>
      <c r="H10" s="96"/>
      <c r="I10" s="609">
        <f>BudgetYearSalary</f>
        <v>56200</v>
      </c>
      <c r="J10" s="308"/>
      <c r="K10" s="308"/>
      <c r="L10" s="308"/>
      <c r="M10" s="308"/>
      <c r="N10" s="308"/>
      <c r="O10" s="308"/>
      <c r="P10" s="308"/>
      <c r="Q10" s="308"/>
      <c r="R10" s="308"/>
      <c r="S10" s="308"/>
      <c r="T10" s="308"/>
      <c r="U10" s="308"/>
      <c r="V10" s="308"/>
    </row>
    <row r="11" spans="1:22" ht="10.5" customHeight="1">
      <c r="A11" s="1738" t="s">
        <v>454</v>
      </c>
      <c r="B11" s="610"/>
      <c r="C11" s="610"/>
      <c r="D11" s="611"/>
      <c r="E11" s="1206" t="s">
        <v>1156</v>
      </c>
      <c r="F11" s="607"/>
      <c r="G11" s="608"/>
      <c r="H11" s="96"/>
      <c r="I11" s="609">
        <f>PriorYearSalary</f>
        <v>55067</v>
      </c>
      <c r="J11" s="308"/>
      <c r="K11" s="308"/>
      <c r="M11" s="612"/>
      <c r="N11" s="308"/>
      <c r="O11" s="308"/>
      <c r="P11" s="308"/>
      <c r="Q11" s="308"/>
      <c r="R11" s="308"/>
      <c r="S11" s="308"/>
      <c r="T11" s="308"/>
      <c r="U11" s="308"/>
      <c r="V11" s="308"/>
    </row>
    <row r="12" spans="1:22" ht="11.25" customHeight="1">
      <c r="A12" s="1739"/>
      <c r="B12" s="1084">
        <v>1027.2034000000001</v>
      </c>
      <c r="C12" s="1084">
        <v>961.49159999999995</v>
      </c>
      <c r="D12" s="1085">
        <v>930</v>
      </c>
      <c r="E12" s="613" t="s">
        <v>455</v>
      </c>
      <c r="F12" s="607"/>
      <c r="G12" s="608"/>
      <c r="H12" s="96"/>
      <c r="I12" s="614">
        <f>SalaryIncrease</f>
        <v>1133</v>
      </c>
      <c r="J12" s="308"/>
      <c r="K12" s="308"/>
      <c r="L12" s="308"/>
      <c r="M12" s="308"/>
      <c r="N12" s="308"/>
      <c r="O12" s="308"/>
      <c r="P12" s="308"/>
      <c r="Q12" s="308"/>
      <c r="R12" s="308"/>
      <c r="S12" s="308"/>
      <c r="T12" s="308"/>
      <c r="U12" s="308"/>
      <c r="V12" s="308"/>
    </row>
    <row r="13" spans="1:22" ht="10.5" customHeight="1">
      <c r="A13" s="615" t="s">
        <v>456</v>
      </c>
      <c r="B13" s="616"/>
      <c r="C13" s="1331" t="s">
        <v>158</v>
      </c>
      <c r="D13" s="1332" t="s">
        <v>457</v>
      </c>
      <c r="E13" s="613" t="s">
        <v>458</v>
      </c>
      <c r="F13" s="607"/>
      <c r="G13" s="608"/>
      <c r="H13" s="96"/>
      <c r="I13" s="617">
        <f>PercentageIncrease</f>
        <v>0.02</v>
      </c>
      <c r="J13" s="308"/>
      <c r="K13" s="308"/>
      <c r="L13" s="308"/>
      <c r="M13" s="308"/>
      <c r="N13" s="308"/>
      <c r="O13" s="308"/>
      <c r="P13" s="308"/>
      <c r="Q13" s="308"/>
      <c r="R13" s="308"/>
      <c r="S13" s="308"/>
      <c r="T13" s="308"/>
      <c r="U13" s="308"/>
      <c r="V13" s="308"/>
    </row>
    <row r="14" spans="1:22" ht="10.5" customHeight="1">
      <c r="A14" s="1740" t="s">
        <v>459</v>
      </c>
      <c r="B14" s="1741"/>
      <c r="C14" s="1133"/>
      <c r="D14" s="1133"/>
      <c r="E14" s="1132"/>
      <c r="I14" s="618"/>
      <c r="J14" s="308"/>
      <c r="K14" s="597"/>
      <c r="P14" s="308"/>
      <c r="Q14" s="308"/>
      <c r="R14" s="308"/>
      <c r="S14" s="308"/>
      <c r="T14" s="308"/>
      <c r="U14" s="308"/>
      <c r="V14" s="308"/>
    </row>
    <row r="15" spans="1:22" ht="10.5" customHeight="1">
      <c r="A15" s="1740"/>
      <c r="B15" s="1741"/>
      <c r="C15" s="1134"/>
      <c r="D15" s="1135"/>
      <c r="E15" s="1743" t="str">
        <f>IF(SalaryComments="","",SalaryComments)</f>
        <v xml:space="preserve">Comments on average salary calculation (Optional): </v>
      </c>
      <c r="F15" s="1743"/>
      <c r="G15" s="1743"/>
      <c r="H15" s="1743"/>
      <c r="I15" s="1744"/>
      <c r="J15" s="308"/>
      <c r="K15" s="619"/>
      <c r="P15" s="308"/>
      <c r="Q15" s="308"/>
      <c r="R15" s="308"/>
      <c r="S15" s="308"/>
      <c r="T15" s="308"/>
      <c r="U15" s="308"/>
      <c r="V15" s="308"/>
    </row>
    <row r="16" spans="1:22" ht="9.75" customHeight="1">
      <c r="A16" s="1740"/>
      <c r="B16" s="1741"/>
      <c r="C16" s="1211">
        <f>PrimTaxRateCurrFY</f>
        <v>1.6880999999999999</v>
      </c>
      <c r="D16" s="1212">
        <f>EstTaxRateBudgFY</f>
        <v>1.734</v>
      </c>
      <c r="E16" s="1745"/>
      <c r="F16" s="1745"/>
      <c r="G16" s="1745"/>
      <c r="H16" s="1745"/>
      <c r="I16" s="1746"/>
      <c r="J16" s="308"/>
      <c r="K16" s="619"/>
      <c r="P16" s="308"/>
      <c r="Q16" s="308"/>
      <c r="R16" s="308"/>
      <c r="S16" s="308"/>
      <c r="T16" s="308"/>
      <c r="U16" s="308"/>
      <c r="V16" s="308"/>
    </row>
    <row r="17" spans="1:22" ht="9.75" customHeight="1">
      <c r="A17" s="1734" t="s">
        <v>460</v>
      </c>
      <c r="B17" s="1735"/>
      <c r="C17" s="1133"/>
      <c r="D17" s="1133"/>
      <c r="E17" s="1745"/>
      <c r="F17" s="1745"/>
      <c r="G17" s="1745"/>
      <c r="H17" s="1745"/>
      <c r="I17" s="1746"/>
      <c r="J17" s="308"/>
      <c r="K17" s="619"/>
      <c r="P17" s="308"/>
      <c r="Q17" s="308"/>
      <c r="R17" s="308"/>
      <c r="S17" s="308"/>
      <c r="T17" s="308"/>
      <c r="U17" s="308"/>
      <c r="V17" s="308"/>
    </row>
    <row r="18" spans="1:22" ht="11.25" customHeight="1">
      <c r="A18" s="1734"/>
      <c r="B18" s="1735"/>
      <c r="C18" s="1135"/>
      <c r="D18" s="1135"/>
      <c r="E18" s="1745"/>
      <c r="F18" s="1745"/>
      <c r="G18" s="1745"/>
      <c r="H18" s="1745"/>
      <c r="I18" s="1746"/>
      <c r="J18" s="308"/>
      <c r="K18" s="308"/>
      <c r="P18" s="308"/>
      <c r="Q18" s="308"/>
      <c r="R18" s="308"/>
      <c r="S18" s="308"/>
      <c r="T18" s="308"/>
      <c r="U18" s="308"/>
      <c r="V18" s="308"/>
    </row>
    <row r="19" spans="1:22" ht="11.25" customHeight="1">
      <c r="A19" s="1736"/>
      <c r="B19" s="1737"/>
      <c r="C19" s="1212">
        <f>TotSecTaxRateCurrFY</f>
        <v>1.9784999999999999</v>
      </c>
      <c r="D19" s="1212">
        <f>TotSecTaxRateBudgFY</f>
        <v>2.2362000000000002</v>
      </c>
      <c r="E19" s="1745"/>
      <c r="F19" s="1745"/>
      <c r="G19" s="1745"/>
      <c r="H19" s="1745"/>
      <c r="I19" s="1746"/>
      <c r="J19" s="308"/>
      <c r="K19" s="308"/>
      <c r="L19" s="308"/>
      <c r="M19" s="308"/>
      <c r="N19" s="308"/>
      <c r="O19" s="308"/>
      <c r="P19" s="308"/>
      <c r="Q19" s="308"/>
      <c r="R19" s="308"/>
      <c r="S19" s="308"/>
      <c r="T19" s="308"/>
      <c r="U19" s="308"/>
      <c r="V19" s="308"/>
    </row>
    <row r="20" spans="1:22" ht="10.5" customHeight="1">
      <c r="A20" s="615" t="s">
        <v>461</v>
      </c>
      <c r="B20" s="1730" t="s">
        <v>39</v>
      </c>
      <c r="C20" s="1751" t="s">
        <v>1312</v>
      </c>
      <c r="D20" s="1753" t="s">
        <v>40</v>
      </c>
      <c r="E20" s="1747"/>
      <c r="F20" s="1745"/>
      <c r="G20" s="1745"/>
      <c r="H20" s="1745"/>
      <c r="I20" s="1746"/>
      <c r="J20" s="308"/>
      <c r="K20" s="308"/>
      <c r="L20" s="308"/>
      <c r="M20" s="308"/>
      <c r="N20" s="308"/>
      <c r="O20" s="308"/>
      <c r="P20" s="308"/>
      <c r="Q20" s="308"/>
      <c r="R20" s="308"/>
      <c r="S20" s="308"/>
      <c r="T20" s="308"/>
      <c r="U20" s="308"/>
      <c r="V20" s="308"/>
    </row>
    <row r="21" spans="1:22" ht="10.5" customHeight="1">
      <c r="A21" s="620"/>
      <c r="B21" s="1731"/>
      <c r="C21" s="1752"/>
      <c r="D21" s="1754"/>
      <c r="E21" s="1747"/>
      <c r="F21" s="1745"/>
      <c r="G21" s="1745"/>
      <c r="H21" s="1745"/>
      <c r="I21" s="1746"/>
      <c r="J21" s="308"/>
      <c r="K21" s="308"/>
      <c r="L21" s="308"/>
      <c r="M21" s="308"/>
      <c r="N21" s="308"/>
      <c r="O21" s="308"/>
      <c r="P21" s="308"/>
      <c r="Q21" s="308"/>
      <c r="R21" s="308"/>
      <c r="S21" s="308"/>
      <c r="T21" s="308"/>
      <c r="U21" s="308"/>
      <c r="V21" s="308"/>
    </row>
    <row r="22" spans="1:22" ht="10.5" customHeight="1">
      <c r="A22" s="599" t="s">
        <v>462</v>
      </c>
      <c r="B22" s="621">
        <f>F001TotalExp</f>
        <v>11154364</v>
      </c>
      <c r="C22" s="621">
        <f>F001Carryforward</f>
        <v>4920125</v>
      </c>
      <c r="D22" s="622">
        <f>GBLBudgFY</f>
        <v>16074489</v>
      </c>
      <c r="E22" s="1747"/>
      <c r="F22" s="1745"/>
      <c r="G22" s="1745"/>
      <c r="H22" s="1745"/>
      <c r="I22" s="1746"/>
      <c r="J22" s="308"/>
      <c r="K22" s="308"/>
      <c r="L22" s="308"/>
      <c r="M22" s="308"/>
      <c r="N22" s="308"/>
      <c r="O22" s="308"/>
      <c r="P22" s="308"/>
      <c r="Q22" s="308"/>
      <c r="R22" s="308"/>
      <c r="S22" s="308"/>
      <c r="T22" s="308"/>
      <c r="U22" s="308"/>
      <c r="V22" s="308"/>
    </row>
    <row r="23" spans="1:22" ht="10.5" customHeight="1">
      <c r="A23" s="599" t="s">
        <v>463</v>
      </c>
      <c r="B23" s="623">
        <f>F010TotalExp</f>
        <v>1194026</v>
      </c>
      <c r="C23" s="623">
        <f>F010Carryforward</f>
        <v>950000</v>
      </c>
      <c r="D23" s="624">
        <f>'Page 3'!CSFBLBudgFY</f>
        <v>2144026</v>
      </c>
      <c r="E23" s="1747"/>
      <c r="F23" s="1745"/>
      <c r="G23" s="1745"/>
      <c r="H23" s="1745"/>
      <c r="I23" s="1746"/>
      <c r="J23" s="308"/>
      <c r="K23" s="308"/>
      <c r="L23" s="308"/>
      <c r="M23" s="308"/>
      <c r="N23" s="308"/>
      <c r="O23" s="308"/>
      <c r="P23" s="308"/>
      <c r="Q23" s="308"/>
      <c r="R23" s="308"/>
      <c r="S23" s="308"/>
      <c r="T23" s="308"/>
      <c r="U23" s="308"/>
      <c r="V23" s="308"/>
    </row>
    <row r="24" spans="1:22" ht="10.5" customHeight="1">
      <c r="A24" s="1497" t="s">
        <v>464</v>
      </c>
      <c r="B24" s="625">
        <f>F610TotalBudgFY</f>
        <v>1278960</v>
      </c>
      <c r="C24" s="625">
        <f>F610Carryforward</f>
        <v>326392</v>
      </c>
      <c r="D24" s="625">
        <f>UCBLBudgFY</f>
        <v>1605352</v>
      </c>
      <c r="E24" s="1748"/>
      <c r="F24" s="1749"/>
      <c r="G24" s="1749"/>
      <c r="H24" s="1749"/>
      <c r="I24" s="1750"/>
      <c r="J24" s="308"/>
      <c r="K24" s="308"/>
      <c r="L24" s="308"/>
      <c r="M24" s="308"/>
      <c r="N24" s="308"/>
      <c r="O24" s="308"/>
      <c r="P24" s="308"/>
      <c r="Q24" s="308"/>
      <c r="R24" s="308"/>
      <c r="S24" s="308"/>
      <c r="T24" s="308"/>
      <c r="U24" s="308"/>
      <c r="V24" s="308"/>
    </row>
    <row r="25" spans="1:22" ht="9" customHeight="1">
      <c r="B25" s="1306"/>
      <c r="C25" s="626"/>
      <c r="J25" s="308"/>
      <c r="K25" s="308"/>
      <c r="L25" s="308"/>
      <c r="M25" s="308"/>
      <c r="N25" s="308"/>
      <c r="O25" s="308"/>
      <c r="P25" s="308"/>
      <c r="Q25" s="308"/>
      <c r="R25" s="308"/>
      <c r="S25" s="308"/>
      <c r="T25" s="308"/>
      <c r="U25" s="308"/>
      <c r="V25" s="308"/>
    </row>
    <row r="26" spans="1:22" ht="8.25" customHeight="1">
      <c r="A26" s="627"/>
      <c r="B26" s="627"/>
      <c r="C26" s="628"/>
      <c r="D26" s="628"/>
      <c r="E26" s="628"/>
      <c r="F26" s="628"/>
      <c r="G26" s="628"/>
      <c r="H26" s="628"/>
      <c r="I26" s="629"/>
      <c r="J26" s="308"/>
      <c r="K26" s="308"/>
      <c r="L26" s="308"/>
      <c r="M26" s="308"/>
      <c r="N26" s="308"/>
      <c r="O26" s="308"/>
      <c r="P26" s="308"/>
      <c r="Q26" s="308"/>
      <c r="R26" s="308"/>
      <c r="S26" s="308"/>
      <c r="T26" s="308"/>
      <c r="U26" s="308"/>
      <c r="V26" s="308"/>
    </row>
    <row r="27" spans="1:22" ht="11.4">
      <c r="A27" s="1727" t="s">
        <v>465</v>
      </c>
      <c r="B27" s="1728"/>
      <c r="C27" s="1728"/>
      <c r="D27" s="1728"/>
      <c r="E27" s="1728"/>
      <c r="F27" s="1728"/>
      <c r="G27" s="1728"/>
      <c r="H27" s="1728"/>
      <c r="I27" s="1729"/>
      <c r="J27" s="308"/>
      <c r="K27" s="308"/>
      <c r="L27" s="308"/>
      <c r="M27" s="308"/>
      <c r="N27" s="308"/>
      <c r="O27" s="308"/>
      <c r="P27" s="308"/>
      <c r="Q27" s="308"/>
      <c r="R27" s="308"/>
      <c r="S27" s="308"/>
      <c r="T27" s="308"/>
      <c r="U27" s="308"/>
      <c r="V27" s="308"/>
    </row>
    <row r="28" spans="1:22" ht="11.4">
      <c r="A28" s="606"/>
      <c r="B28" s="630"/>
      <c r="C28" s="631"/>
      <c r="D28" s="632"/>
      <c r="E28" s="633"/>
      <c r="F28" s="634"/>
      <c r="G28" s="635" t="s">
        <v>44</v>
      </c>
      <c r="H28" s="636"/>
      <c r="I28" s="637" t="s">
        <v>466</v>
      </c>
      <c r="J28" s="308"/>
      <c r="K28" s="308"/>
      <c r="L28" s="308"/>
      <c r="M28" s="308"/>
      <c r="N28" s="308"/>
      <c r="O28" s="308"/>
      <c r="P28" s="308"/>
      <c r="Q28" s="308"/>
      <c r="R28" s="308"/>
      <c r="S28" s="308"/>
      <c r="T28" s="308"/>
      <c r="U28" s="308"/>
      <c r="V28" s="308"/>
    </row>
    <row r="29" spans="1:22" ht="11.4">
      <c r="A29" s="606"/>
      <c r="B29" s="599"/>
      <c r="C29" s="638" t="s">
        <v>467</v>
      </c>
      <c r="D29" s="639"/>
      <c r="E29" s="640" t="s">
        <v>92</v>
      </c>
      <c r="F29" s="641"/>
      <c r="G29" s="639" t="s">
        <v>468</v>
      </c>
      <c r="H29" s="642"/>
      <c r="I29" s="643" t="s">
        <v>469</v>
      </c>
      <c r="J29" s="308"/>
      <c r="K29" s="308"/>
      <c r="L29" s="308"/>
      <c r="M29" s="308"/>
      <c r="N29" s="308"/>
      <c r="O29" s="308"/>
      <c r="P29" s="308"/>
      <c r="Q29" s="308"/>
      <c r="R29" s="308"/>
      <c r="S29" s="308"/>
      <c r="T29" s="308"/>
      <c r="U29" s="308"/>
      <c r="V29" s="308"/>
    </row>
    <row r="30" spans="1:22" ht="11.4">
      <c r="A30" s="606"/>
      <c r="B30" s="599"/>
      <c r="C30" s="637" t="s">
        <v>158</v>
      </c>
      <c r="D30" s="637" t="s">
        <v>159</v>
      </c>
      <c r="E30" s="643" t="s">
        <v>158</v>
      </c>
      <c r="F30" s="643" t="s">
        <v>159</v>
      </c>
      <c r="G30" s="637" t="s">
        <v>158</v>
      </c>
      <c r="H30" s="637" t="s">
        <v>159</v>
      </c>
      <c r="I30" s="643" t="s">
        <v>158</v>
      </c>
      <c r="J30" s="308"/>
      <c r="K30" s="308"/>
      <c r="L30" s="308"/>
      <c r="M30" s="308"/>
      <c r="N30" s="308"/>
      <c r="O30" s="308"/>
      <c r="P30" s="308"/>
      <c r="Q30" s="308"/>
      <c r="R30" s="308"/>
      <c r="S30" s="308"/>
      <c r="T30" s="308"/>
      <c r="U30" s="308"/>
      <c r="V30" s="308"/>
    </row>
    <row r="31" spans="1:22" ht="7.5" customHeight="1">
      <c r="A31" s="606"/>
      <c r="B31" s="599"/>
      <c r="C31" s="1136"/>
      <c r="D31" s="1136"/>
      <c r="E31" s="1136"/>
      <c r="F31" s="1136"/>
      <c r="G31" s="1136"/>
      <c r="H31" s="1136"/>
      <c r="I31" s="1136"/>
      <c r="J31" s="308"/>
      <c r="K31" s="308"/>
      <c r="L31" s="308"/>
      <c r="M31" s="308"/>
      <c r="N31" s="308"/>
      <c r="O31" s="308"/>
      <c r="P31" s="308"/>
      <c r="Q31" s="308"/>
      <c r="R31" s="308"/>
      <c r="S31" s="308"/>
      <c r="T31" s="308"/>
      <c r="U31" s="308"/>
      <c r="V31" s="308"/>
    </row>
    <row r="32" spans="1:22" ht="12.75" customHeight="1">
      <c r="A32" s="620" t="s">
        <v>104</v>
      </c>
      <c r="B32" s="599"/>
      <c r="C32" s="1133"/>
      <c r="D32" s="1133"/>
      <c r="E32" s="1133"/>
      <c r="F32" s="1133"/>
      <c r="G32" s="1133"/>
      <c r="H32" s="1133"/>
      <c r="I32" s="1133"/>
      <c r="J32" s="308"/>
      <c r="K32" s="308"/>
      <c r="L32" s="308"/>
      <c r="M32" s="308"/>
      <c r="N32" s="308"/>
      <c r="O32" s="308"/>
      <c r="P32" s="308"/>
      <c r="Q32" s="308"/>
      <c r="R32" s="308"/>
      <c r="S32" s="308"/>
      <c r="T32" s="308"/>
      <c r="U32" s="308"/>
      <c r="V32" s="308"/>
    </row>
    <row r="33" spans="1:22" ht="12.75" customHeight="1">
      <c r="A33" s="620" t="s">
        <v>105</v>
      </c>
      <c r="B33" s="599"/>
      <c r="C33" s="1213">
        <f>[1]!F001P100F1000SBBudgFY</f>
        <v>4212732</v>
      </c>
      <c r="D33" s="1213">
        <f>F001P100F1000O6100+F001P100F1000O6200</f>
        <v>3545604</v>
      </c>
      <c r="E33" s="1213">
        <f>[1]!F001P100F1000OthBudgFY</f>
        <v>623000</v>
      </c>
      <c r="F33" s="1213">
        <f>F001P100F1000O630064006500+F001P100F1000O6600+F001P100F1000O6800</f>
        <v>25000</v>
      </c>
      <c r="G33" s="1213">
        <f>C33+E33</f>
        <v>4835732</v>
      </c>
      <c r="H33" s="1213">
        <f>D33+F33</f>
        <v>3570604</v>
      </c>
      <c r="I33" s="1214">
        <f>IF(G33=H33,0,IF(G33&gt;0,(H33-G33)/G33,""))</f>
        <v>-0.26200000000000001</v>
      </c>
      <c r="J33" s="308"/>
      <c r="K33" s="308"/>
      <c r="L33" s="308"/>
      <c r="M33" s="308"/>
      <c r="N33" s="308"/>
      <c r="O33" s="308"/>
      <c r="P33" s="308"/>
      <c r="Q33" s="308"/>
      <c r="R33" s="308"/>
      <c r="S33" s="308"/>
      <c r="T33" s="308"/>
      <c r="U33" s="308"/>
      <c r="V33" s="308"/>
    </row>
    <row r="34" spans="1:22" ht="12.75" customHeight="1">
      <c r="A34" s="620" t="s">
        <v>106</v>
      </c>
      <c r="B34" s="599"/>
      <c r="C34" s="1215"/>
      <c r="D34" s="1215"/>
      <c r="E34" s="1215"/>
      <c r="F34" s="1215"/>
      <c r="G34" s="1215"/>
      <c r="H34" s="1215"/>
      <c r="I34" s="1215"/>
      <c r="J34" s="308"/>
      <c r="K34" s="308"/>
      <c r="L34" s="308"/>
      <c r="M34" s="308"/>
      <c r="N34" s="308"/>
      <c r="O34" s="308"/>
      <c r="P34" s="308"/>
      <c r="Q34" s="308"/>
      <c r="R34" s="308"/>
      <c r="S34" s="308"/>
      <c r="T34" s="308"/>
      <c r="U34" s="308"/>
      <c r="V34" s="308"/>
    </row>
    <row r="35" spans="1:22" ht="12.75" customHeight="1">
      <c r="A35" s="620" t="s">
        <v>107</v>
      </c>
      <c r="B35" s="645"/>
      <c r="C35" s="1213">
        <f>[1]!F001P100F2100SBBudgFY</f>
        <v>610949</v>
      </c>
      <c r="D35" s="1213">
        <f>F001P100F2100O6100+F001P100F2100O6200</f>
        <v>558539</v>
      </c>
      <c r="E35" s="1213">
        <f>[1]!F001P100F2100OthBudgFY</f>
        <v>126000</v>
      </c>
      <c r="F35" s="1213">
        <f>F001P100F2100O630064006500+F001P100F2100O6600+F001P100F2100O6800</f>
        <v>76000</v>
      </c>
      <c r="G35" s="1213">
        <f>C35+E35</f>
        <v>736949</v>
      </c>
      <c r="H35" s="1213">
        <f>D35+F35</f>
        <v>634539</v>
      </c>
      <c r="I35" s="1214">
        <f>IF(G35=H35,0,IF(G35&gt;0,(H35-G35)/G35,""))</f>
        <v>-0.13900000000000001</v>
      </c>
      <c r="J35" s="308"/>
      <c r="K35" s="308"/>
      <c r="L35" s="308"/>
      <c r="M35" s="308"/>
      <c r="N35" s="308"/>
      <c r="O35" s="308"/>
      <c r="P35" s="308"/>
      <c r="Q35" s="308"/>
      <c r="R35" s="308"/>
      <c r="S35" s="308"/>
      <c r="T35" s="308"/>
      <c r="U35" s="308"/>
      <c r="V35" s="308"/>
    </row>
    <row r="36" spans="1:22" ht="13.5" customHeight="1">
      <c r="A36" s="646" t="s">
        <v>108</v>
      </c>
      <c r="B36" s="599"/>
      <c r="C36" s="652">
        <f>[1]!F001P100F2200SBBudgFY</f>
        <v>164000</v>
      </c>
      <c r="D36" s="652">
        <f>F001P100F2200O6100+F001P100F2200O6200</f>
        <v>112000</v>
      </c>
      <c r="E36" s="652">
        <f>[1]!F001P100F2200OthBudgFY</f>
        <v>20000</v>
      </c>
      <c r="F36" s="652">
        <f>F001P100F2200O630064006500+F001P100F2200O6600+F001P100F2200O6800</f>
        <v>20000</v>
      </c>
      <c r="G36" s="652">
        <f t="shared" ref="G36:H43" si="0">C36+E36</f>
        <v>184000</v>
      </c>
      <c r="H36" s="652">
        <f t="shared" si="0"/>
        <v>132000</v>
      </c>
      <c r="I36" s="661">
        <f t="shared" ref="I36:I44" si="1">IF(G36=H36,0,IF(G36&gt;0,(H36-G36)/G36,""))</f>
        <v>-0.28299999999999997</v>
      </c>
      <c r="J36" s="308"/>
      <c r="K36" s="308"/>
      <c r="L36" s="308"/>
      <c r="M36" s="308"/>
      <c r="N36" s="308"/>
      <c r="O36" s="308"/>
      <c r="P36" s="308"/>
      <c r="Q36" s="308"/>
      <c r="R36" s="308"/>
      <c r="S36" s="308"/>
      <c r="T36" s="308"/>
      <c r="U36" s="308"/>
      <c r="V36" s="308"/>
    </row>
    <row r="37" spans="1:22" ht="13.5" customHeight="1">
      <c r="A37" s="646" t="s">
        <v>470</v>
      </c>
      <c r="B37" s="650"/>
      <c r="C37" s="653">
        <f>[1]!F001P100F230024002500SBBudgFY</f>
        <v>1632368</v>
      </c>
      <c r="D37" s="652">
        <f>F001P100F2300O6100+F001P100F2400O6100+F001P100F2500O6100+F001P100F2300O6200+F001P100F2400O6200+F001P100F2500O6200</f>
        <v>1251000</v>
      </c>
      <c r="E37" s="653">
        <f>[1]!F001P100F230024002500OthBudgFY</f>
        <v>932168</v>
      </c>
      <c r="F37" s="652">
        <f>F001P100F2300O630064006500+F001P100F2300O6600+F001P100F2300O6800+F001P100F2400O630064006500+F001P100F2400O6600+F001P100F2400O6800+F001P100F2500O630064006500+F001P100F2500O6600+F001P100F2500O6800</f>
        <v>246743</v>
      </c>
      <c r="G37" s="653">
        <f t="shared" si="0"/>
        <v>2564536</v>
      </c>
      <c r="H37" s="652">
        <f t="shared" si="0"/>
        <v>1497743</v>
      </c>
      <c r="I37" s="659">
        <f t="shared" si="1"/>
        <v>-0.41599999999999998</v>
      </c>
      <c r="J37" s="308"/>
      <c r="K37" s="308"/>
      <c r="L37" s="308"/>
      <c r="M37" s="308"/>
      <c r="N37" s="308"/>
      <c r="O37" s="308"/>
      <c r="P37" s="308"/>
      <c r="Q37" s="308"/>
      <c r="R37" s="308"/>
      <c r="S37" s="308"/>
      <c r="T37" s="308"/>
      <c r="U37" s="308"/>
      <c r="V37" s="308"/>
    </row>
    <row r="38" spans="1:22" ht="12.75" customHeight="1">
      <c r="A38" s="646" t="s">
        <v>471</v>
      </c>
      <c r="B38" s="651"/>
      <c r="C38" s="653">
        <f>[1]!F001P100F2600SBBudgFY</f>
        <v>1200000</v>
      </c>
      <c r="D38" s="652">
        <f>F001P100F2600O6100+F001P100F2600O6200</f>
        <v>885000</v>
      </c>
      <c r="E38" s="653">
        <f>[1]!F001P100F2600OthBudgFY</f>
        <v>2477250</v>
      </c>
      <c r="F38" s="653">
        <f>F001P100F2600O630064006500+F001P100F2600O6600+F001P100F2600O6800</f>
        <v>1508000</v>
      </c>
      <c r="G38" s="653">
        <f t="shared" si="0"/>
        <v>3677250</v>
      </c>
      <c r="H38" s="652">
        <f t="shared" si="0"/>
        <v>2393000</v>
      </c>
      <c r="I38" s="659">
        <f t="shared" si="1"/>
        <v>-0.34899999999999998</v>
      </c>
      <c r="J38" s="308"/>
      <c r="K38" s="308"/>
      <c r="L38" s="308"/>
      <c r="M38" s="308"/>
      <c r="N38" s="308"/>
      <c r="O38" s="308"/>
      <c r="P38" s="308"/>
      <c r="Q38" s="308"/>
      <c r="R38" s="308"/>
      <c r="S38" s="308"/>
      <c r="T38" s="308"/>
      <c r="U38" s="308"/>
      <c r="V38" s="308"/>
    </row>
    <row r="39" spans="1:22" ht="13.5" customHeight="1">
      <c r="A39" s="620" t="s">
        <v>472</v>
      </c>
      <c r="B39" s="599"/>
      <c r="C39" s="653">
        <f>[1]!F001P100F2900SBBudgFY</f>
        <v>0</v>
      </c>
      <c r="D39" s="652">
        <f>F001P100F2900O6100+F001P100F2900O6200</f>
        <v>0</v>
      </c>
      <c r="E39" s="653">
        <f>[1]!F001P100F2900OthBudgFY</f>
        <v>0</v>
      </c>
      <c r="F39" s="653">
        <f>F001P100F2900O630064006500+F001P100F2900O6600+F001P100F2900O6800</f>
        <v>0</v>
      </c>
      <c r="G39" s="653">
        <f t="shared" si="0"/>
        <v>0</v>
      </c>
      <c r="H39" s="652">
        <f t="shared" si="0"/>
        <v>0</v>
      </c>
      <c r="I39" s="659">
        <f t="shared" si="1"/>
        <v>0</v>
      </c>
      <c r="J39" s="308"/>
      <c r="K39" s="308"/>
      <c r="L39" s="308"/>
      <c r="M39" s="308"/>
      <c r="N39" s="308"/>
      <c r="O39" s="308"/>
      <c r="P39" s="308"/>
      <c r="Q39" s="308"/>
      <c r="R39" s="308"/>
      <c r="S39" s="308"/>
      <c r="T39" s="308"/>
      <c r="U39" s="308"/>
      <c r="V39" s="308"/>
    </row>
    <row r="40" spans="1:22" ht="13.5" customHeight="1">
      <c r="A40" s="620" t="s">
        <v>473</v>
      </c>
      <c r="B40" s="599"/>
      <c r="C40" s="653">
        <f>[1]!F001P100F3000SBBudgFY</f>
        <v>0</v>
      </c>
      <c r="D40" s="652">
        <f>F001P100F3000O6100+F001P100F3000O6200</f>
        <v>0</v>
      </c>
      <c r="E40" s="653">
        <f>[1]!F001P100F3000OthBudgFY</f>
        <v>30750</v>
      </c>
      <c r="F40" s="653">
        <f>F001P100F3000O630064006500+F001P100F3000O6600+F001P100F3000O6800</f>
        <v>30750</v>
      </c>
      <c r="G40" s="653">
        <f t="shared" si="0"/>
        <v>30750</v>
      </c>
      <c r="H40" s="652">
        <f t="shared" si="0"/>
        <v>30750</v>
      </c>
      <c r="I40" s="659">
        <f t="shared" si="1"/>
        <v>0</v>
      </c>
      <c r="J40" s="308"/>
      <c r="K40" s="308"/>
      <c r="L40" s="308"/>
      <c r="M40" s="308"/>
      <c r="N40" s="308"/>
      <c r="O40" s="308"/>
      <c r="P40" s="308"/>
      <c r="Q40" s="308"/>
      <c r="R40" s="308"/>
      <c r="S40" s="308"/>
      <c r="T40" s="308"/>
      <c r="U40" s="308"/>
      <c r="V40" s="308"/>
    </row>
    <row r="41" spans="1:22" ht="13.5" customHeight="1">
      <c r="A41" s="606" t="s">
        <v>474</v>
      </c>
      <c r="B41" s="599"/>
      <c r="C41" s="653">
        <f>[1]!F001P610SBBudgFY</f>
        <v>0</v>
      </c>
      <c r="D41" s="652">
        <f>F001P610O6100+F001P610O6200</f>
        <v>0</v>
      </c>
      <c r="E41" s="653">
        <f>[1]!F001P610OthBudgFY</f>
        <v>0</v>
      </c>
      <c r="F41" s="653">
        <f>F001P610O630064006500+F001P610O6600+F001P610O6800</f>
        <v>0</v>
      </c>
      <c r="G41" s="653">
        <f t="shared" si="0"/>
        <v>0</v>
      </c>
      <c r="H41" s="652">
        <f t="shared" si="0"/>
        <v>0</v>
      </c>
      <c r="I41" s="659">
        <f t="shared" si="1"/>
        <v>0</v>
      </c>
      <c r="J41" s="308"/>
      <c r="K41" s="308"/>
      <c r="L41" s="308"/>
      <c r="M41" s="308"/>
      <c r="N41" s="308"/>
      <c r="O41" s="308"/>
      <c r="P41" s="308"/>
      <c r="Q41" s="308"/>
      <c r="R41" s="308"/>
      <c r="S41" s="308"/>
      <c r="T41" s="308"/>
      <c r="U41" s="308"/>
      <c r="V41" s="308"/>
    </row>
    <row r="42" spans="1:22" ht="13.5" customHeight="1">
      <c r="A42" s="606" t="s">
        <v>122</v>
      </c>
      <c r="B42" s="599"/>
      <c r="C42" s="653">
        <f>[1]!F001P620SBBudgFY</f>
        <v>70000</v>
      </c>
      <c r="D42" s="652">
        <f>F001P620O6100+F001P620O6200</f>
        <v>25000</v>
      </c>
      <c r="E42" s="653">
        <f>[1]!F001P620OthBudgFY</f>
        <v>45000</v>
      </c>
      <c r="F42" s="653">
        <f>F001P620O630064006500+F001P620O6600+F001P620O6800</f>
        <v>20000</v>
      </c>
      <c r="G42" s="653">
        <f t="shared" si="0"/>
        <v>115000</v>
      </c>
      <c r="H42" s="652">
        <f t="shared" si="0"/>
        <v>45000</v>
      </c>
      <c r="I42" s="659">
        <f t="shared" si="1"/>
        <v>-0.60899999999999999</v>
      </c>
      <c r="J42" s="308"/>
      <c r="K42" s="308"/>
      <c r="L42" s="308"/>
      <c r="M42" s="308"/>
      <c r="N42" s="308"/>
      <c r="O42" s="308"/>
      <c r="P42" s="308"/>
      <c r="Q42" s="308"/>
      <c r="R42" s="308"/>
      <c r="S42" s="308"/>
      <c r="T42" s="308"/>
      <c r="U42" s="308"/>
      <c r="V42" s="308"/>
    </row>
    <row r="43" spans="1:22" ht="13.5" customHeight="1">
      <c r="A43" s="606" t="s">
        <v>475</v>
      </c>
      <c r="B43" s="599"/>
      <c r="C43" s="653">
        <f>[1]!F001P630700800900SBBudgFY</f>
        <v>0</v>
      </c>
      <c r="D43" s="652">
        <f>F001P630O6100+F001P630O6200+F001P700800900O6100+F001P700800900O6200</f>
        <v>0</v>
      </c>
      <c r="E43" s="653">
        <f>[1]!F001P630700800900OthBudgFY</f>
        <v>0</v>
      </c>
      <c r="F43" s="653">
        <f>F001P630O630064006500+F001P630O6600+F001P630O6800+F001P700800900O630064006500+F001P700800900O6600+F001P700800900O6800</f>
        <v>0</v>
      </c>
      <c r="G43" s="653">
        <f t="shared" si="0"/>
        <v>0</v>
      </c>
      <c r="H43" s="652">
        <f t="shared" si="0"/>
        <v>0</v>
      </c>
      <c r="I43" s="659">
        <f t="shared" si="1"/>
        <v>0</v>
      </c>
      <c r="J43" s="308"/>
      <c r="K43" s="308"/>
      <c r="L43" s="308"/>
      <c r="M43" s="308"/>
      <c r="N43" s="308"/>
      <c r="O43" s="308"/>
      <c r="P43" s="308"/>
      <c r="Q43" s="308"/>
      <c r="R43" s="308"/>
      <c r="S43" s="308"/>
      <c r="T43" s="308"/>
      <c r="U43" s="308"/>
      <c r="V43" s="308"/>
    </row>
    <row r="44" spans="1:22" ht="12.75" customHeight="1">
      <c r="A44" s="654" t="s">
        <v>476</v>
      </c>
      <c r="B44" s="630"/>
      <c r="C44" s="1216">
        <f t="shared" ref="C44:H44" si="2">SUM(C33:C43)</f>
        <v>7890049</v>
      </c>
      <c r="D44" s="1216">
        <f t="shared" si="2"/>
        <v>6377143</v>
      </c>
      <c r="E44" s="1216">
        <f t="shared" si="2"/>
        <v>4254168</v>
      </c>
      <c r="F44" s="1216">
        <f t="shared" si="2"/>
        <v>1926493</v>
      </c>
      <c r="G44" s="1216">
        <f t="shared" si="2"/>
        <v>12144217</v>
      </c>
      <c r="H44" s="1216">
        <f t="shared" si="2"/>
        <v>8303636</v>
      </c>
      <c r="I44" s="1217">
        <f t="shared" si="1"/>
        <v>-0.316</v>
      </c>
      <c r="J44" s="308"/>
      <c r="K44" s="308"/>
      <c r="L44" s="308"/>
      <c r="M44" s="308"/>
      <c r="N44" s="308"/>
      <c r="O44" s="308"/>
      <c r="P44" s="308"/>
      <c r="Q44" s="308"/>
      <c r="R44" s="308"/>
      <c r="S44" s="308"/>
      <c r="T44" s="308"/>
      <c r="U44" s="308"/>
      <c r="V44" s="308"/>
    </row>
    <row r="45" spans="1:22" ht="12.75" customHeight="1">
      <c r="A45" s="620" t="s">
        <v>130</v>
      </c>
      <c r="B45" s="599"/>
      <c r="C45" s="1215"/>
      <c r="D45" s="1215"/>
      <c r="E45" s="1215"/>
      <c r="F45" s="1215"/>
      <c r="G45" s="1215"/>
      <c r="H45" s="1215"/>
      <c r="I45" s="1215"/>
      <c r="J45" s="308"/>
      <c r="K45" s="308"/>
      <c r="L45" s="308"/>
      <c r="M45" s="308"/>
      <c r="N45" s="308"/>
      <c r="O45" s="308"/>
      <c r="P45" s="308"/>
      <c r="Q45" s="308"/>
      <c r="R45" s="308"/>
      <c r="S45" s="308"/>
      <c r="T45" s="308"/>
      <c r="U45" s="308"/>
      <c r="V45" s="308"/>
    </row>
    <row r="46" spans="1:22" ht="12.75" customHeight="1">
      <c r="A46" s="620" t="s">
        <v>105</v>
      </c>
      <c r="B46" s="599"/>
      <c r="C46" s="1213">
        <f>[1]!F001P200F1000SBBudgFY</f>
        <v>476000</v>
      </c>
      <c r="D46" s="1213">
        <f>F001P200F1000O6100+F001P200F1000O6200</f>
        <v>476000</v>
      </c>
      <c r="E46" s="1213">
        <f>[1]!F001P200F1000OthBudgFY</f>
        <v>755000</v>
      </c>
      <c r="F46" s="1213">
        <f>F001P200F1000O630064006500+F001P200F1000O6600+F001P200F1000O6800</f>
        <v>755000</v>
      </c>
      <c r="G46" s="1213">
        <f>C46+E46</f>
        <v>1231000</v>
      </c>
      <c r="H46" s="1213">
        <f>D46+F46</f>
        <v>1231000</v>
      </c>
      <c r="I46" s="1214">
        <f>IF(G46=H46,0,IF(G46&gt;0,(H46-G46)/G46,""))</f>
        <v>0</v>
      </c>
      <c r="J46" s="308"/>
      <c r="K46" s="308"/>
      <c r="L46" s="308"/>
      <c r="M46" s="308"/>
      <c r="N46" s="308"/>
      <c r="O46" s="308"/>
      <c r="P46" s="308"/>
      <c r="Q46" s="308"/>
      <c r="R46" s="308"/>
      <c r="S46" s="308"/>
      <c r="T46" s="308"/>
      <c r="U46" s="308"/>
      <c r="V46" s="308"/>
    </row>
    <row r="47" spans="1:22" ht="12.75" customHeight="1">
      <c r="A47" s="620" t="s">
        <v>106</v>
      </c>
      <c r="B47" s="599"/>
      <c r="C47" s="1215"/>
      <c r="D47" s="1215"/>
      <c r="E47" s="1215"/>
      <c r="F47" s="1215"/>
      <c r="G47" s="1215"/>
      <c r="H47" s="1215"/>
      <c r="I47" s="1215"/>
      <c r="J47" s="308"/>
      <c r="K47" s="308"/>
      <c r="L47" s="308"/>
      <c r="M47" s="308"/>
      <c r="N47" s="308"/>
      <c r="O47" s="308"/>
      <c r="P47" s="308"/>
      <c r="Q47" s="308"/>
      <c r="R47" s="308"/>
      <c r="S47" s="308"/>
      <c r="T47" s="308"/>
      <c r="U47" s="308"/>
      <c r="V47" s="308"/>
    </row>
    <row r="48" spans="1:22" ht="12.75" customHeight="1">
      <c r="A48" s="620" t="s">
        <v>107</v>
      </c>
      <c r="B48" s="645"/>
      <c r="C48" s="1213">
        <f>[1]!F001P200F2100SBBudgFY</f>
        <v>403000</v>
      </c>
      <c r="D48" s="1213">
        <f>F001P200F2100O6100+F001P200F2100O6200</f>
        <v>403000</v>
      </c>
      <c r="E48" s="1213">
        <f>[1]!F001P200F2100OthBudgFY</f>
        <v>113916</v>
      </c>
      <c r="F48" s="1213">
        <f>F001P200F2100O630064006500+F001P200F2100O6600+F001P200F2100O6800</f>
        <v>113916</v>
      </c>
      <c r="G48" s="1213">
        <f>C48+E48</f>
        <v>516916</v>
      </c>
      <c r="H48" s="1213">
        <f>D48+F48</f>
        <v>516916</v>
      </c>
      <c r="I48" s="1214">
        <f>IF(G48=H48,0,IF(G48&gt;0,(H48-G48)/G48,""))</f>
        <v>0</v>
      </c>
      <c r="J48" s="308"/>
      <c r="K48" s="308"/>
      <c r="L48" s="308"/>
      <c r="M48" s="308"/>
      <c r="N48" s="308"/>
      <c r="O48" s="308"/>
      <c r="P48" s="308"/>
      <c r="Q48" s="308"/>
      <c r="R48" s="308"/>
      <c r="S48" s="308"/>
      <c r="T48" s="308"/>
      <c r="U48" s="308"/>
      <c r="V48" s="308"/>
    </row>
    <row r="49" spans="1:22" ht="13.5" customHeight="1">
      <c r="A49" s="646" t="s">
        <v>108</v>
      </c>
      <c r="B49" s="599"/>
      <c r="C49" s="652">
        <f>[1]!F001P200F2200SBBudgFY</f>
        <v>128312</v>
      </c>
      <c r="D49" s="652">
        <f>F001P200F2200O6100+F001P200F2200O6200</f>
        <v>128312</v>
      </c>
      <c r="E49" s="652">
        <f>[1]!F001P200F2200OthBudgFY</f>
        <v>3500</v>
      </c>
      <c r="F49" s="652">
        <f>F001P200F2200O630064006500+F001P200F2200O6600+F001P200F2200O6800</f>
        <v>3500</v>
      </c>
      <c r="G49" s="652">
        <f t="shared" ref="G49:G57" si="3">C49+E49</f>
        <v>131812</v>
      </c>
      <c r="H49" s="652">
        <f t="shared" ref="H49:H57" si="4">D49+F49</f>
        <v>131812</v>
      </c>
      <c r="I49" s="661">
        <f t="shared" ref="I49:I57" si="5">IF(G49=H49,0,IF(G49&gt;0,(H49-G49)/G49,""))</f>
        <v>0</v>
      </c>
      <c r="J49" s="308"/>
      <c r="K49" s="308"/>
      <c r="L49" s="308"/>
      <c r="M49" s="308"/>
      <c r="N49" s="308"/>
      <c r="O49" s="308"/>
      <c r="P49" s="308"/>
      <c r="Q49" s="308"/>
      <c r="R49" s="308"/>
      <c r="S49" s="308"/>
      <c r="T49" s="308"/>
      <c r="U49" s="308"/>
      <c r="V49" s="308"/>
    </row>
    <row r="50" spans="1:22" ht="13.5" customHeight="1">
      <c r="A50" s="646" t="s">
        <v>470</v>
      </c>
      <c r="B50" s="650"/>
      <c r="C50" s="653">
        <f>[1]!F001P200F230024002500SBBudgFY</f>
        <v>0</v>
      </c>
      <c r="D50" s="653">
        <f>F001P200F2300O6100+F001P200F2300O6200+F001P200F2400O6100+F001P200F2400O6200+F001P200F2500O6100+F001P200F2500O6200</f>
        <v>0</v>
      </c>
      <c r="E50" s="653">
        <f>[1]!F001P200F230024002500OthBudgFY</f>
        <v>4000</v>
      </c>
      <c r="F50" s="653">
        <f>F001P200F2300O630064006500+F001P200F2300O6600+F001P200F2300O6800+F001P200F2400O630064006500+F001P200F2400O6600+F001P200F2400O6800+F001P200F2500O630064006500+F001P200F2500O6600+F001P200F2500O6800</f>
        <v>4000</v>
      </c>
      <c r="G50" s="653">
        <f t="shared" si="3"/>
        <v>4000</v>
      </c>
      <c r="H50" s="652">
        <f t="shared" si="4"/>
        <v>4000</v>
      </c>
      <c r="I50" s="659">
        <f t="shared" si="5"/>
        <v>0</v>
      </c>
      <c r="J50" s="308"/>
      <c r="K50" s="308"/>
      <c r="L50" s="308"/>
      <c r="M50" s="308"/>
      <c r="N50" s="308"/>
      <c r="O50" s="308"/>
      <c r="P50" s="308"/>
      <c r="Q50" s="308"/>
      <c r="R50" s="308"/>
      <c r="S50" s="308"/>
      <c r="T50" s="308"/>
      <c r="U50" s="308"/>
      <c r="V50" s="308"/>
    </row>
    <row r="51" spans="1:22" ht="13.5" customHeight="1">
      <c r="A51" s="646" t="s">
        <v>471</v>
      </c>
      <c r="B51" s="651"/>
      <c r="C51" s="653">
        <f>[1]!F001P200F2600SBBudgFY</f>
        <v>0</v>
      </c>
      <c r="D51" s="653">
        <f>F001P200F2600O6100+F001P200F2600O6200</f>
        <v>0</v>
      </c>
      <c r="E51" s="653">
        <f>[1]!F001P200F2600OthBudgFY</f>
        <v>0</v>
      </c>
      <c r="F51" s="653">
        <f>F001P200F2600O630064006500+F001P200F2600O6600+F001P200F2600O6800</f>
        <v>0</v>
      </c>
      <c r="G51" s="653">
        <f t="shared" si="3"/>
        <v>0</v>
      </c>
      <c r="H51" s="652">
        <f t="shared" si="4"/>
        <v>0</v>
      </c>
      <c r="I51" s="659">
        <f t="shared" si="5"/>
        <v>0</v>
      </c>
      <c r="J51" s="308"/>
      <c r="K51" s="308"/>
      <c r="L51" s="308"/>
      <c r="M51" s="308"/>
      <c r="N51" s="308"/>
      <c r="O51" s="308"/>
      <c r="P51" s="308"/>
      <c r="Q51" s="308"/>
      <c r="R51" s="308"/>
      <c r="S51" s="308"/>
      <c r="T51" s="308"/>
      <c r="U51" s="308"/>
      <c r="V51" s="308"/>
    </row>
    <row r="52" spans="1:22" ht="13.5" customHeight="1">
      <c r="A52" s="620" t="s">
        <v>472</v>
      </c>
      <c r="B52" s="599"/>
      <c r="C52" s="653">
        <f>[1]!F001P200F2900SBBudgFY</f>
        <v>0</v>
      </c>
      <c r="D52" s="653">
        <f>F001P200F2900O6100+F001P200F2900O6200</f>
        <v>0</v>
      </c>
      <c r="E52" s="653">
        <f>[1]!F001P200F2900OthBudgFY</f>
        <v>0</v>
      </c>
      <c r="F52" s="653">
        <f>F001P200F2900O630064006500+F001P200F2900O6600+F001P200F2900O6800</f>
        <v>0</v>
      </c>
      <c r="G52" s="653">
        <f t="shared" si="3"/>
        <v>0</v>
      </c>
      <c r="H52" s="652">
        <f t="shared" si="4"/>
        <v>0</v>
      </c>
      <c r="I52" s="659">
        <f t="shared" si="5"/>
        <v>0</v>
      </c>
      <c r="J52" s="308"/>
      <c r="K52" s="308"/>
      <c r="L52" s="308"/>
      <c r="M52" s="308"/>
      <c r="N52" s="308"/>
      <c r="O52" s="308"/>
      <c r="P52" s="308"/>
      <c r="Q52" s="308"/>
      <c r="R52" s="308"/>
      <c r="S52" s="308"/>
      <c r="T52" s="308"/>
      <c r="U52" s="308"/>
      <c r="V52" s="308"/>
    </row>
    <row r="53" spans="1:22" ht="13.5" customHeight="1">
      <c r="A53" s="620" t="s">
        <v>473</v>
      </c>
      <c r="B53" s="599"/>
      <c r="C53" s="653">
        <f>[1]!F001P200F3000SBBudgFY</f>
        <v>0</v>
      </c>
      <c r="D53" s="653">
        <f>F001P200F3000O6100+F001P200F3000O6200</f>
        <v>0</v>
      </c>
      <c r="E53" s="653">
        <f>[1]!F001P200F3000OthBudgFY</f>
        <v>0</v>
      </c>
      <c r="F53" s="653">
        <f>F001P200F3000O630064006500+F001P200F3000O6600+F001P200F3000O6800</f>
        <v>0</v>
      </c>
      <c r="G53" s="653">
        <f t="shared" si="3"/>
        <v>0</v>
      </c>
      <c r="H53" s="652">
        <f t="shared" si="4"/>
        <v>0</v>
      </c>
      <c r="I53" s="659">
        <f t="shared" si="5"/>
        <v>0</v>
      </c>
      <c r="J53" s="308"/>
      <c r="K53" s="308"/>
      <c r="L53" s="308"/>
      <c r="M53" s="308"/>
      <c r="N53" s="308"/>
      <c r="O53" s="308"/>
      <c r="P53" s="308"/>
      <c r="Q53" s="308"/>
      <c r="R53" s="308"/>
      <c r="S53" s="308"/>
      <c r="T53" s="308"/>
      <c r="U53" s="308"/>
      <c r="V53" s="308"/>
    </row>
    <row r="54" spans="1:22" ht="13.5" customHeight="1">
      <c r="A54" s="654" t="s">
        <v>477</v>
      </c>
      <c r="B54" s="599"/>
      <c r="C54" s="658">
        <f t="shared" ref="C54:H54" si="6">SUM(C46:C53)</f>
        <v>1007312</v>
      </c>
      <c r="D54" s="658">
        <f t="shared" si="6"/>
        <v>1007312</v>
      </c>
      <c r="E54" s="658">
        <f t="shared" si="6"/>
        <v>876416</v>
      </c>
      <c r="F54" s="658">
        <f t="shared" si="6"/>
        <v>876416</v>
      </c>
      <c r="G54" s="653">
        <f t="shared" si="6"/>
        <v>1883728</v>
      </c>
      <c r="H54" s="653">
        <f t="shared" si="6"/>
        <v>1883728</v>
      </c>
      <c r="I54" s="659">
        <f t="shared" si="5"/>
        <v>0</v>
      </c>
      <c r="J54" s="308"/>
      <c r="K54" s="308"/>
      <c r="L54" s="308"/>
      <c r="M54" s="308"/>
      <c r="N54" s="308"/>
      <c r="O54" s="308"/>
      <c r="P54" s="308"/>
      <c r="Q54" s="308"/>
      <c r="R54" s="308"/>
      <c r="S54" s="308"/>
      <c r="T54" s="308"/>
      <c r="U54" s="308"/>
      <c r="V54" s="308"/>
    </row>
    <row r="55" spans="1:22" ht="13.5" customHeight="1">
      <c r="A55" s="620" t="s">
        <v>142</v>
      </c>
      <c r="B55" s="656"/>
      <c r="C55" s="653">
        <f>[1]!F001P400SBBudgFY</f>
        <v>550000</v>
      </c>
      <c r="D55" s="658">
        <f>F001P400O6100+F001P400O6200</f>
        <v>325000</v>
      </c>
      <c r="E55" s="653">
        <f>[1]!F001P400OthBudgFy</f>
        <v>1850000</v>
      </c>
      <c r="F55" s="658">
        <f>F001P400O630064006500+F001P400O6600+F001P400O6800</f>
        <v>550000</v>
      </c>
      <c r="G55" s="653">
        <f t="shared" si="3"/>
        <v>2400000</v>
      </c>
      <c r="H55" s="652">
        <f t="shared" si="4"/>
        <v>875000</v>
      </c>
      <c r="I55" s="659">
        <f t="shared" si="5"/>
        <v>-0.63500000000000001</v>
      </c>
      <c r="J55" s="308"/>
      <c r="K55" s="308"/>
      <c r="L55" s="308"/>
      <c r="M55" s="308"/>
      <c r="N55" s="308"/>
      <c r="O55" s="308"/>
      <c r="P55" s="308"/>
      <c r="Q55" s="308"/>
      <c r="R55" s="308"/>
      <c r="S55" s="308"/>
      <c r="T55" s="308"/>
      <c r="U55" s="308"/>
      <c r="V55" s="308"/>
    </row>
    <row r="56" spans="1:22" ht="13.5" customHeight="1">
      <c r="A56" s="646" t="s">
        <v>478</v>
      </c>
      <c r="B56" s="657"/>
      <c r="C56" s="653">
        <f>[1]!F001P510SBBudgFY</f>
        <v>0</v>
      </c>
      <c r="D56" s="658">
        <f>F001P510O6100+F001P510O6200</f>
        <v>0</v>
      </c>
      <c r="E56" s="653">
        <f>[1]!F001P510OthBudgFY</f>
        <v>0</v>
      </c>
      <c r="F56" s="658">
        <f>F001P510O630064006500+F001P510O6600+F001P510O6800</f>
        <v>0</v>
      </c>
      <c r="G56" s="653">
        <f t="shared" si="3"/>
        <v>0</v>
      </c>
      <c r="H56" s="652">
        <f t="shared" si="4"/>
        <v>0</v>
      </c>
      <c r="I56" s="659">
        <f t="shared" si="5"/>
        <v>0</v>
      </c>
      <c r="J56" s="308"/>
      <c r="K56" s="308"/>
      <c r="L56" s="308"/>
      <c r="M56" s="308"/>
      <c r="N56" s="308"/>
      <c r="O56" s="308"/>
      <c r="P56" s="308"/>
      <c r="Q56" s="308"/>
      <c r="R56" s="308"/>
      <c r="S56" s="308"/>
      <c r="T56" s="308"/>
      <c r="U56" s="308"/>
      <c r="V56" s="308"/>
    </row>
    <row r="57" spans="1:22" ht="13.5" customHeight="1">
      <c r="A57" s="620" t="s">
        <v>147</v>
      </c>
      <c r="B57" s="656"/>
      <c r="C57" s="644">
        <f>[1]!F001P530SBBudgFY</f>
        <v>0</v>
      </c>
      <c r="D57" s="1218">
        <f>F001P530O6100+F001P530O6200</f>
        <v>0</v>
      </c>
      <c r="E57" s="644">
        <f>[1]!F001P530OthBudgFY</f>
        <v>0</v>
      </c>
      <c r="F57" s="1218">
        <f>F001P530O630064006500+F001P530O6600+F001P530O6800</f>
        <v>0</v>
      </c>
      <c r="G57" s="644">
        <f t="shared" si="3"/>
        <v>0</v>
      </c>
      <c r="H57" s="1216">
        <f t="shared" si="4"/>
        <v>0</v>
      </c>
      <c r="I57" s="1217">
        <f t="shared" si="5"/>
        <v>0</v>
      </c>
      <c r="J57" s="308"/>
      <c r="K57" s="308"/>
      <c r="L57" s="308"/>
      <c r="M57" s="308"/>
      <c r="N57" s="308"/>
      <c r="O57" s="308"/>
      <c r="P57" s="308"/>
      <c r="Q57" s="308"/>
      <c r="R57" s="308"/>
      <c r="S57" s="308"/>
      <c r="T57" s="308"/>
      <c r="U57" s="308"/>
      <c r="V57" s="308"/>
    </row>
    <row r="58" spans="1:22" ht="12.75" customHeight="1">
      <c r="A58" s="620" t="s">
        <v>479</v>
      </c>
      <c r="B58" s="1091"/>
      <c r="C58" s="1215"/>
      <c r="D58" s="1215"/>
      <c r="E58" s="1215"/>
      <c r="F58" s="1215"/>
      <c r="G58" s="1215"/>
      <c r="H58" s="1215"/>
      <c r="I58" s="1215"/>
      <c r="J58" s="308"/>
      <c r="K58" s="308"/>
      <c r="L58" s="308"/>
      <c r="M58" s="308"/>
      <c r="N58" s="308"/>
      <c r="O58" s="308"/>
      <c r="P58" s="308"/>
      <c r="Q58" s="308"/>
      <c r="R58" s="308"/>
      <c r="S58" s="308"/>
      <c r="T58" s="308"/>
      <c r="U58" s="308"/>
      <c r="V58" s="308"/>
    </row>
    <row r="59" spans="1:22" ht="12.75" customHeight="1">
      <c r="A59" s="620" t="s">
        <v>480</v>
      </c>
      <c r="B59" s="1091"/>
      <c r="C59" s="1213">
        <f>[1]!F001P540SBBudgFY</f>
        <v>0</v>
      </c>
      <c r="D59" s="1219">
        <f>F001P540O6100+F001P540O6200</f>
        <v>0</v>
      </c>
      <c r="E59" s="1213">
        <f>[1]!F001P540OthBudgFY</f>
        <v>0</v>
      </c>
      <c r="F59" s="1219">
        <f>F001P540O630064006500+F001P540O6600+F001P540O6800</f>
        <v>0</v>
      </c>
      <c r="G59" s="1213">
        <f>C59+E59</f>
        <v>0</v>
      </c>
      <c r="H59" s="1213">
        <f>D59+F59</f>
        <v>0</v>
      </c>
      <c r="I59" s="1214">
        <f>IF(G59=H59,0,IF(G59&gt;0,(H59-G59)/G59,""))</f>
        <v>0</v>
      </c>
      <c r="J59" s="308"/>
      <c r="K59" s="308"/>
      <c r="L59" s="308"/>
      <c r="M59" s="308"/>
      <c r="N59" s="308"/>
      <c r="O59" s="308"/>
      <c r="P59" s="308"/>
      <c r="Q59" s="308"/>
      <c r="R59" s="308"/>
      <c r="S59" s="308"/>
      <c r="T59" s="308"/>
      <c r="U59" s="308"/>
      <c r="V59" s="308"/>
    </row>
    <row r="60" spans="1:22" ht="14.25" customHeight="1">
      <c r="A60" s="646" t="s">
        <v>152</v>
      </c>
      <c r="B60" s="1296"/>
      <c r="C60" s="648">
        <f>[1]!F001P550SBBudgFY</f>
        <v>77087</v>
      </c>
      <c r="D60" s="660">
        <f>F001P550O6100+F001P550O6200</f>
        <v>92000</v>
      </c>
      <c r="E60" s="648">
        <f>[1]!F001P550OthBudgFY</f>
        <v>0</v>
      </c>
      <c r="F60" s="660">
        <f>F001P550O630064006500+F001P550O6600+F001P550O6800</f>
        <v>0</v>
      </c>
      <c r="G60" s="648">
        <f>C60+E60</f>
        <v>77087</v>
      </c>
      <c r="H60" s="652">
        <f>D60+F60</f>
        <v>92000</v>
      </c>
      <c r="I60" s="661">
        <f>IF(G60=H60,0,IF(G60&gt;0,(H60-G60)/G60,""))</f>
        <v>0.193</v>
      </c>
      <c r="J60" s="308"/>
      <c r="K60" s="308"/>
      <c r="L60" s="308"/>
      <c r="M60" s="308"/>
      <c r="N60" s="308"/>
      <c r="O60" s="308"/>
      <c r="P60" s="308"/>
      <c r="Q60" s="308"/>
      <c r="R60" s="308"/>
      <c r="S60" s="308"/>
      <c r="T60" s="308"/>
      <c r="U60" s="308"/>
      <c r="V60" s="308"/>
    </row>
    <row r="61" spans="1:22" ht="12.75" customHeight="1">
      <c r="A61" s="1505" t="s">
        <v>39</v>
      </c>
      <c r="B61" s="1506"/>
      <c r="C61" s="655">
        <f t="shared" ref="C61:H61" si="7">SUM(C54:C60)+C44</f>
        <v>9524448</v>
      </c>
      <c r="D61" s="655">
        <f t="shared" si="7"/>
        <v>7801455</v>
      </c>
      <c r="E61" s="655">
        <f t="shared" si="7"/>
        <v>6980584</v>
      </c>
      <c r="F61" s="655">
        <f t="shared" si="7"/>
        <v>3352909</v>
      </c>
      <c r="G61" s="655">
        <f t="shared" si="7"/>
        <v>16505032</v>
      </c>
      <c r="H61" s="655">
        <f t="shared" si="7"/>
        <v>11154364</v>
      </c>
      <c r="I61" s="649">
        <f>IF(G61=H61,0,IF(G61&gt;0,(H61-G61)/G61,""))</f>
        <v>-0.32400000000000001</v>
      </c>
      <c r="J61" s="308"/>
      <c r="K61" s="308"/>
      <c r="L61" s="308"/>
      <c r="M61" s="308"/>
      <c r="N61" s="308"/>
      <c r="O61" s="308"/>
      <c r="P61" s="308"/>
      <c r="Q61" s="308"/>
      <c r="R61" s="308"/>
      <c r="S61" s="308"/>
      <c r="T61" s="308"/>
      <c r="U61" s="308"/>
      <c r="V61" s="308"/>
    </row>
    <row r="62" spans="1:22" ht="12">
      <c r="A62" s="1505" t="s">
        <v>1318</v>
      </c>
      <c r="B62" s="1506"/>
      <c r="C62" s="1359"/>
      <c r="D62" s="1359"/>
      <c r="E62" s="1359"/>
      <c r="F62" s="1359"/>
      <c r="G62" s="1359"/>
      <c r="H62" s="1216">
        <f>F001Carryforward</f>
        <v>4920125</v>
      </c>
      <c r="I62" s="1359"/>
      <c r="J62" s="308"/>
      <c r="K62" s="308"/>
      <c r="L62" s="308"/>
      <c r="M62" s="308"/>
      <c r="N62" s="308"/>
      <c r="O62" s="308"/>
      <c r="P62" s="308"/>
      <c r="Q62" s="308"/>
      <c r="R62" s="308"/>
      <c r="S62" s="308"/>
      <c r="T62" s="308"/>
      <c r="U62" s="308"/>
      <c r="V62" s="308"/>
    </row>
    <row r="63" spans="1:22" ht="11.4">
      <c r="A63" s="1499" t="s">
        <v>1316</v>
      </c>
      <c r="B63" s="1500"/>
      <c r="C63" s="1498">
        <f>C61</f>
        <v>9524448</v>
      </c>
      <c r="D63" s="1498">
        <f t="shared" ref="D63:G63" si="8">D61</f>
        <v>7801455</v>
      </c>
      <c r="E63" s="1498">
        <f t="shared" si="8"/>
        <v>6980584</v>
      </c>
      <c r="F63" s="1498">
        <f t="shared" si="8"/>
        <v>3352909</v>
      </c>
      <c r="G63" s="1498">
        <f t="shared" si="8"/>
        <v>16505032</v>
      </c>
      <c r="H63" s="1498">
        <f>H61+H62</f>
        <v>16074489</v>
      </c>
      <c r="I63" s="649">
        <f>IF(G63=H63,0,IF(G63&gt;0,(H63-G63)/G63,""))</f>
        <v>-2.5999999999999999E-2</v>
      </c>
      <c r="J63" s="308"/>
      <c r="K63" s="308"/>
      <c r="L63" s="308"/>
      <c r="M63" s="308"/>
      <c r="N63" s="308"/>
      <c r="O63" s="308"/>
      <c r="P63" s="308"/>
      <c r="Q63" s="308"/>
      <c r="R63" s="308"/>
      <c r="S63" s="308"/>
      <c r="T63" s="308"/>
      <c r="U63" s="308"/>
      <c r="V63" s="308"/>
    </row>
    <row r="64" spans="1:22" ht="11.4">
      <c r="A64" s="596"/>
      <c r="B64" s="596"/>
      <c r="H64" s="599"/>
      <c r="I64" s="596"/>
      <c r="J64" s="308"/>
      <c r="K64" s="308"/>
      <c r="L64" s="308"/>
      <c r="M64" s="308"/>
      <c r="N64" s="308"/>
      <c r="O64" s="308"/>
      <c r="P64" s="308"/>
      <c r="Q64" s="308"/>
      <c r="R64" s="308"/>
      <c r="S64" s="308"/>
      <c r="T64" s="308"/>
      <c r="U64" s="308"/>
      <c r="V64" s="308"/>
    </row>
    <row r="65" spans="1:22" ht="11.4">
      <c r="B65" s="596"/>
      <c r="H65" s="599"/>
      <c r="J65" s="308"/>
      <c r="K65" s="308"/>
      <c r="L65" s="308"/>
      <c r="M65" s="308"/>
      <c r="N65" s="308"/>
      <c r="O65" s="308"/>
      <c r="P65" s="308"/>
      <c r="Q65" s="308"/>
      <c r="R65" s="308"/>
      <c r="S65" s="308"/>
      <c r="T65" s="308"/>
      <c r="U65" s="308"/>
      <c r="V65" s="308"/>
    </row>
    <row r="66" spans="1:22" ht="11.4">
      <c r="A66" s="596"/>
      <c r="B66" s="596"/>
      <c r="H66" s="599"/>
      <c r="I66" s="596"/>
      <c r="J66" s="308"/>
      <c r="K66" s="308"/>
      <c r="L66" s="308"/>
      <c r="M66" s="308"/>
      <c r="N66" s="308"/>
      <c r="O66" s="308"/>
      <c r="P66" s="308"/>
      <c r="Q66" s="308"/>
      <c r="R66" s="308"/>
      <c r="S66" s="308"/>
      <c r="T66" s="308"/>
      <c r="U66" s="308"/>
      <c r="V66" s="308"/>
    </row>
    <row r="67" spans="1:22" ht="11.4">
      <c r="A67" s="596"/>
      <c r="B67" s="596"/>
      <c r="C67" s="597"/>
      <c r="D67" s="599"/>
      <c r="E67" s="599"/>
      <c r="F67" s="599"/>
      <c r="G67" s="599"/>
      <c r="H67" s="599"/>
      <c r="I67" s="596"/>
      <c r="J67" s="308"/>
      <c r="K67" s="308"/>
      <c r="L67" s="308"/>
      <c r="M67" s="308"/>
      <c r="N67" s="308"/>
      <c r="O67" s="308"/>
      <c r="P67" s="308"/>
      <c r="Q67" s="308"/>
      <c r="R67" s="308"/>
      <c r="S67" s="308"/>
      <c r="T67" s="308"/>
      <c r="U67" s="308"/>
      <c r="V67" s="308"/>
    </row>
    <row r="68" spans="1:22" ht="11.4">
      <c r="B68" s="596"/>
      <c r="D68" s="599"/>
      <c r="E68" s="599"/>
      <c r="F68" s="599"/>
      <c r="G68" s="599"/>
      <c r="H68" s="599"/>
      <c r="I68" s="596"/>
      <c r="J68" s="308"/>
      <c r="K68" s="308"/>
      <c r="L68" s="308"/>
      <c r="M68" s="308"/>
      <c r="N68" s="308"/>
      <c r="O68" s="308"/>
      <c r="P68" s="308"/>
      <c r="Q68" s="308"/>
      <c r="R68" s="308"/>
      <c r="S68" s="308"/>
      <c r="T68" s="308"/>
      <c r="U68" s="308"/>
      <c r="V68" s="308"/>
    </row>
    <row r="69" spans="1:22" ht="11.4">
      <c r="A69" s="596"/>
      <c r="B69" s="596"/>
      <c r="C69" s="596"/>
      <c r="D69" s="596"/>
      <c r="E69" s="596"/>
      <c r="F69" s="596"/>
      <c r="G69" s="596"/>
      <c r="H69" s="596"/>
      <c r="I69" s="596"/>
      <c r="J69" s="308"/>
      <c r="K69" s="308"/>
      <c r="L69" s="308"/>
      <c r="M69" s="308"/>
      <c r="N69" s="308"/>
      <c r="O69" s="308"/>
      <c r="P69" s="308"/>
      <c r="Q69" s="308"/>
      <c r="R69" s="308"/>
      <c r="S69" s="308"/>
      <c r="T69" s="308"/>
      <c r="U69" s="308"/>
      <c r="V69" s="308"/>
    </row>
    <row r="70" spans="1:22" ht="11.4">
      <c r="A70" s="596"/>
      <c r="B70" s="596"/>
      <c r="C70" s="596"/>
      <c r="D70" s="596"/>
      <c r="E70" s="596"/>
      <c r="F70" s="596"/>
      <c r="G70" s="596"/>
      <c r="H70" s="596"/>
      <c r="I70" s="596"/>
      <c r="J70" s="308"/>
      <c r="K70" s="308"/>
      <c r="L70" s="308"/>
      <c r="M70" s="308"/>
      <c r="N70" s="308"/>
      <c r="O70" s="308"/>
      <c r="P70" s="308"/>
      <c r="Q70" s="308"/>
      <c r="R70" s="308"/>
      <c r="S70" s="308"/>
      <c r="T70" s="308"/>
      <c r="U70" s="308"/>
      <c r="V70" s="308"/>
    </row>
    <row r="71" spans="1:22" ht="11.4">
      <c r="A71" s="596"/>
      <c r="B71" s="596"/>
      <c r="C71" s="596"/>
      <c r="D71" s="596"/>
      <c r="E71" s="596"/>
      <c r="F71" s="596"/>
      <c r="G71" s="596"/>
      <c r="H71" s="596"/>
      <c r="I71" s="596"/>
      <c r="J71" s="308"/>
      <c r="K71" s="308"/>
      <c r="L71" s="308"/>
      <c r="M71" s="308"/>
      <c r="N71" s="308"/>
      <c r="O71" s="308"/>
      <c r="P71" s="308"/>
      <c r="Q71" s="308"/>
      <c r="R71" s="308"/>
      <c r="S71" s="308"/>
      <c r="T71" s="308"/>
      <c r="U71" s="308"/>
      <c r="V71" s="308"/>
    </row>
    <row r="72" spans="1:22" ht="11.4">
      <c r="A72" s="596"/>
      <c r="B72" s="596"/>
      <c r="C72" s="596"/>
      <c r="D72" s="596"/>
      <c r="E72" s="596"/>
      <c r="F72" s="596"/>
      <c r="G72" s="596"/>
      <c r="H72" s="596"/>
      <c r="I72" s="596"/>
      <c r="J72" s="308"/>
      <c r="K72" s="308"/>
      <c r="L72" s="308"/>
      <c r="M72" s="308"/>
      <c r="N72" s="308"/>
      <c r="O72" s="308"/>
      <c r="P72" s="308"/>
      <c r="Q72" s="308"/>
      <c r="R72" s="308"/>
      <c r="S72" s="308"/>
      <c r="T72" s="308"/>
      <c r="U72" s="308"/>
      <c r="V72" s="308"/>
    </row>
    <row r="73" spans="1:22" ht="11.4">
      <c r="A73" s="596"/>
      <c r="B73" s="596"/>
      <c r="C73" s="596"/>
      <c r="D73" s="596"/>
      <c r="E73" s="596"/>
      <c r="F73" s="596"/>
      <c r="G73" s="596"/>
      <c r="H73" s="596"/>
      <c r="I73" s="596"/>
      <c r="J73" s="308"/>
      <c r="K73" s="308"/>
      <c r="L73" s="308"/>
      <c r="M73" s="308"/>
      <c r="N73" s="308"/>
      <c r="O73" s="308"/>
      <c r="P73" s="308"/>
      <c r="Q73" s="308"/>
      <c r="R73" s="308"/>
      <c r="S73" s="308"/>
      <c r="T73" s="308"/>
      <c r="U73" s="308"/>
      <c r="V73" s="308"/>
    </row>
    <row r="74" spans="1:22" ht="11.4">
      <c r="A74" s="596"/>
      <c r="B74" s="596"/>
      <c r="C74" s="596"/>
      <c r="D74" s="596"/>
      <c r="E74" s="596"/>
      <c r="F74" s="596"/>
      <c r="G74" s="596"/>
      <c r="H74" s="596"/>
      <c r="I74" s="596"/>
      <c r="J74" s="308"/>
      <c r="K74" s="308"/>
      <c r="L74" s="308"/>
      <c r="M74" s="308"/>
      <c r="N74" s="308"/>
      <c r="O74" s="308"/>
      <c r="P74" s="308"/>
      <c r="Q74" s="308"/>
      <c r="R74" s="308"/>
      <c r="S74" s="308"/>
      <c r="T74" s="308"/>
      <c r="U74" s="308"/>
      <c r="V74" s="308"/>
    </row>
    <row r="75" spans="1:22" ht="11.4">
      <c r="A75" s="596"/>
      <c r="B75" s="596"/>
      <c r="C75" s="596"/>
      <c r="D75" s="596"/>
      <c r="E75" s="596"/>
      <c r="F75" s="596"/>
      <c r="G75" s="596"/>
      <c r="H75" s="596"/>
      <c r="I75" s="596"/>
      <c r="J75" s="308"/>
      <c r="K75" s="308"/>
      <c r="L75" s="308"/>
      <c r="M75" s="308"/>
      <c r="N75" s="308"/>
      <c r="O75" s="308"/>
      <c r="P75" s="308"/>
      <c r="Q75" s="308"/>
      <c r="R75" s="308"/>
      <c r="S75" s="308"/>
      <c r="T75" s="308"/>
      <c r="U75" s="308"/>
      <c r="V75" s="308"/>
    </row>
    <row r="76" spans="1:22" ht="11.4">
      <c r="A76" s="596"/>
      <c r="B76" s="596"/>
      <c r="C76" s="596"/>
      <c r="D76" s="596"/>
      <c r="E76" s="596"/>
      <c r="F76" s="596"/>
      <c r="G76" s="596"/>
      <c r="H76" s="596"/>
      <c r="I76" s="596"/>
      <c r="J76" s="308"/>
      <c r="K76" s="308"/>
      <c r="L76" s="308"/>
      <c r="M76" s="308"/>
      <c r="N76" s="308"/>
      <c r="O76" s="308"/>
      <c r="P76" s="308"/>
      <c r="Q76" s="308"/>
      <c r="R76" s="308"/>
      <c r="S76" s="308"/>
      <c r="T76" s="308"/>
      <c r="U76" s="308"/>
      <c r="V76" s="308"/>
    </row>
    <row r="77" spans="1:22" ht="11.4">
      <c r="J77" s="308"/>
      <c r="K77" s="308"/>
      <c r="L77" s="308"/>
      <c r="M77" s="308"/>
      <c r="N77" s="308"/>
      <c r="O77" s="308"/>
      <c r="P77" s="308"/>
      <c r="Q77" s="308"/>
      <c r="R77" s="308"/>
      <c r="S77" s="308"/>
      <c r="T77" s="308"/>
      <c r="U77" s="308"/>
      <c r="V77" s="308"/>
    </row>
    <row r="78" spans="1:22" ht="11.4">
      <c r="J78" s="308"/>
      <c r="K78" s="308"/>
      <c r="L78" s="308"/>
      <c r="M78" s="308"/>
      <c r="N78" s="308"/>
      <c r="O78" s="308"/>
      <c r="P78" s="308"/>
      <c r="Q78" s="308"/>
      <c r="R78" s="308"/>
      <c r="S78" s="308"/>
      <c r="T78" s="308"/>
      <c r="U78" s="308"/>
      <c r="V78" s="308"/>
    </row>
    <row r="79" spans="1:22" ht="11.4">
      <c r="J79" s="308"/>
      <c r="K79" s="308"/>
      <c r="L79" s="308"/>
      <c r="M79" s="308"/>
      <c r="N79" s="308"/>
      <c r="O79" s="308"/>
      <c r="P79" s="308"/>
      <c r="Q79" s="308"/>
      <c r="R79" s="308"/>
      <c r="S79" s="308"/>
      <c r="T79" s="308"/>
      <c r="U79" s="308"/>
      <c r="V79" s="308"/>
    </row>
    <row r="80" spans="1:22" ht="11.4">
      <c r="J80" s="308"/>
      <c r="K80" s="308"/>
      <c r="L80" s="308"/>
      <c r="M80" s="308"/>
      <c r="N80" s="308"/>
      <c r="O80" s="308"/>
      <c r="P80" s="308"/>
      <c r="Q80" s="308"/>
      <c r="R80" s="308"/>
      <c r="S80" s="308"/>
      <c r="T80" s="308"/>
      <c r="U80" s="308"/>
      <c r="V80" s="308"/>
    </row>
    <row r="81" spans="10:22" ht="11.4">
      <c r="J81" s="308"/>
      <c r="K81" s="308"/>
      <c r="L81" s="308"/>
      <c r="M81" s="308"/>
      <c r="N81" s="308"/>
      <c r="O81" s="308"/>
      <c r="P81" s="308"/>
      <c r="Q81" s="308"/>
      <c r="R81" s="308"/>
      <c r="S81" s="308"/>
      <c r="T81" s="308"/>
      <c r="U81" s="308"/>
      <c r="V81" s="308"/>
    </row>
    <row r="82" spans="10:22" ht="11.4">
      <c r="J82" s="308"/>
      <c r="K82" s="308"/>
      <c r="L82" s="308"/>
      <c r="M82" s="308"/>
      <c r="N82" s="308"/>
      <c r="O82" s="308"/>
      <c r="P82" s="308"/>
      <c r="Q82" s="308"/>
      <c r="R82" s="308"/>
      <c r="S82" s="308"/>
      <c r="T82" s="308"/>
      <c r="U82" s="308"/>
      <c r="V82" s="308"/>
    </row>
    <row r="83" spans="10:22" ht="11.4">
      <c r="J83" s="308"/>
      <c r="K83" s="308"/>
      <c r="L83" s="308"/>
      <c r="M83" s="308"/>
      <c r="N83" s="308"/>
      <c r="O83" s="308"/>
      <c r="P83" s="308"/>
      <c r="Q83" s="308"/>
      <c r="R83" s="308"/>
      <c r="S83" s="308"/>
      <c r="T83" s="308"/>
      <c r="U83" s="308"/>
      <c r="V83" s="308"/>
    </row>
    <row r="84" spans="10:22" ht="11.4">
      <c r="J84" s="308"/>
      <c r="K84" s="308"/>
      <c r="L84" s="308"/>
      <c r="M84" s="308"/>
      <c r="N84" s="308"/>
      <c r="O84" s="308"/>
      <c r="P84" s="308"/>
      <c r="Q84" s="308"/>
      <c r="R84" s="308"/>
      <c r="S84" s="308"/>
      <c r="T84" s="308"/>
      <c r="U84" s="308"/>
      <c r="V84" s="308"/>
    </row>
    <row r="85" spans="10:22" ht="11.4">
      <c r="J85" s="308"/>
      <c r="K85" s="308"/>
      <c r="L85" s="308"/>
      <c r="M85" s="308"/>
      <c r="N85" s="308"/>
      <c r="O85" s="308"/>
      <c r="P85" s="308"/>
      <c r="Q85" s="308"/>
      <c r="R85" s="308"/>
      <c r="S85" s="308"/>
      <c r="T85" s="308"/>
      <c r="U85" s="308"/>
      <c r="V85" s="308"/>
    </row>
    <row r="86" spans="10:22" ht="11.4">
      <c r="J86" s="308"/>
      <c r="K86" s="308"/>
      <c r="L86" s="308"/>
      <c r="M86" s="308"/>
      <c r="N86" s="308"/>
      <c r="O86" s="308"/>
      <c r="P86" s="308"/>
      <c r="Q86" s="308"/>
      <c r="R86" s="308"/>
      <c r="S86" s="308"/>
      <c r="T86" s="308"/>
      <c r="U86" s="308"/>
      <c r="V86" s="308"/>
    </row>
    <row r="87" spans="10:22" ht="11.4">
      <c r="J87" s="308"/>
      <c r="K87" s="308"/>
      <c r="L87" s="308"/>
      <c r="M87" s="308"/>
      <c r="N87" s="308"/>
      <c r="O87" s="308"/>
      <c r="P87" s="308"/>
      <c r="Q87" s="308"/>
      <c r="R87" s="308"/>
      <c r="S87" s="308"/>
      <c r="T87" s="308"/>
      <c r="U87" s="308"/>
      <c r="V87" s="308"/>
    </row>
    <row r="88" spans="10:22" ht="11.4">
      <c r="J88" s="308"/>
      <c r="K88" s="308"/>
      <c r="L88" s="308"/>
      <c r="M88" s="308"/>
      <c r="N88" s="308"/>
      <c r="O88" s="308"/>
      <c r="P88" s="308"/>
      <c r="Q88" s="308"/>
      <c r="R88" s="308"/>
      <c r="S88" s="308"/>
      <c r="T88" s="308"/>
      <c r="U88" s="308"/>
      <c r="V88" s="308"/>
    </row>
    <row r="89" spans="10:22" ht="11.4">
      <c r="J89" s="308"/>
      <c r="K89" s="308"/>
      <c r="L89" s="308"/>
      <c r="M89" s="308"/>
      <c r="N89" s="308"/>
      <c r="O89" s="308"/>
      <c r="P89" s="308"/>
      <c r="Q89" s="308"/>
      <c r="R89" s="308"/>
      <c r="S89" s="308"/>
      <c r="T89" s="308"/>
      <c r="U89" s="308"/>
      <c r="V89" s="308"/>
    </row>
    <row r="90" spans="10:22" ht="11.4">
      <c r="J90" s="308"/>
      <c r="K90" s="308"/>
      <c r="L90" s="308"/>
      <c r="M90" s="308"/>
      <c r="N90" s="308"/>
      <c r="O90" s="308"/>
      <c r="P90" s="308"/>
      <c r="Q90" s="308"/>
      <c r="R90" s="308"/>
      <c r="S90" s="308"/>
      <c r="T90" s="308"/>
      <c r="U90" s="308"/>
      <c r="V90" s="308"/>
    </row>
    <row r="91" spans="10:22" ht="11.4">
      <c r="J91" s="308"/>
      <c r="K91" s="308"/>
      <c r="L91" s="308"/>
      <c r="M91" s="308"/>
      <c r="N91" s="308"/>
      <c r="O91" s="308"/>
      <c r="P91" s="308"/>
      <c r="Q91" s="308"/>
      <c r="R91" s="308"/>
      <c r="S91" s="308"/>
      <c r="T91" s="308"/>
      <c r="U91" s="308"/>
      <c r="V91" s="308"/>
    </row>
    <row r="92" spans="10:22" ht="11.4">
      <c r="J92" s="308"/>
      <c r="K92" s="308"/>
      <c r="L92" s="308"/>
      <c r="M92" s="308"/>
      <c r="N92" s="308"/>
      <c r="O92" s="308"/>
      <c r="P92" s="308"/>
      <c r="Q92" s="308"/>
      <c r="R92" s="308"/>
      <c r="S92" s="308"/>
      <c r="T92" s="308"/>
      <c r="U92" s="308"/>
      <c r="V92" s="308"/>
    </row>
    <row r="93" spans="10:22" ht="11.4">
      <c r="J93" s="308"/>
      <c r="K93" s="308"/>
      <c r="L93" s="308"/>
      <c r="M93" s="308"/>
      <c r="N93" s="308"/>
      <c r="O93" s="308"/>
      <c r="P93" s="308"/>
      <c r="Q93" s="308"/>
      <c r="R93" s="308"/>
      <c r="S93" s="308"/>
      <c r="T93" s="308"/>
      <c r="U93" s="308"/>
      <c r="V93" s="308"/>
    </row>
    <row r="94" spans="10:22" ht="11.4">
      <c r="J94" s="308"/>
      <c r="K94" s="308"/>
      <c r="L94" s="308"/>
      <c r="M94" s="308"/>
      <c r="N94" s="308"/>
      <c r="O94" s="308"/>
      <c r="P94" s="308"/>
      <c r="Q94" s="308"/>
      <c r="R94" s="308"/>
      <c r="S94" s="308"/>
      <c r="T94" s="308"/>
      <c r="U94" s="308"/>
      <c r="V94" s="308"/>
    </row>
    <row r="95" spans="10:22" ht="11.4">
      <c r="J95" s="308"/>
      <c r="K95" s="308"/>
      <c r="L95" s="308"/>
      <c r="M95" s="308"/>
      <c r="N95" s="308"/>
      <c r="O95" s="308"/>
      <c r="P95" s="308"/>
      <c r="Q95" s="308"/>
      <c r="R95" s="308"/>
      <c r="S95" s="308"/>
      <c r="T95" s="308"/>
      <c r="U95" s="308"/>
      <c r="V95" s="308"/>
    </row>
    <row r="96" spans="10:22" ht="11.4">
      <c r="J96" s="308"/>
      <c r="K96" s="308"/>
      <c r="L96" s="308"/>
      <c r="M96" s="308"/>
      <c r="N96" s="308"/>
      <c r="O96" s="308"/>
      <c r="P96" s="308"/>
      <c r="Q96" s="308"/>
      <c r="R96" s="308"/>
      <c r="S96" s="308"/>
      <c r="T96" s="308"/>
      <c r="U96" s="308"/>
      <c r="V96" s="308"/>
    </row>
    <row r="97" spans="10:22" ht="11.4">
      <c r="J97" s="308"/>
      <c r="K97" s="308"/>
      <c r="L97" s="308"/>
      <c r="M97" s="308"/>
      <c r="N97" s="308"/>
      <c r="O97" s="308"/>
      <c r="P97" s="308"/>
      <c r="Q97" s="308"/>
      <c r="R97" s="308"/>
      <c r="S97" s="308"/>
      <c r="T97" s="308"/>
      <c r="U97" s="308"/>
      <c r="V97" s="308"/>
    </row>
    <row r="98" spans="10:22" ht="11.4">
      <c r="J98" s="308"/>
      <c r="K98" s="308"/>
      <c r="L98" s="308"/>
      <c r="M98" s="308"/>
      <c r="N98" s="308"/>
      <c r="O98" s="308"/>
      <c r="P98" s="308"/>
      <c r="Q98" s="308"/>
      <c r="R98" s="308"/>
      <c r="S98" s="308"/>
      <c r="T98" s="308"/>
      <c r="U98" s="308"/>
      <c r="V98" s="308"/>
    </row>
    <row r="99" spans="10:22" ht="11.4">
      <c r="J99" s="308"/>
      <c r="K99" s="308"/>
      <c r="L99" s="308"/>
      <c r="M99" s="308"/>
      <c r="N99" s="308"/>
      <c r="O99" s="308"/>
      <c r="P99" s="308"/>
      <c r="Q99" s="308"/>
      <c r="R99" s="308"/>
      <c r="S99" s="308"/>
      <c r="T99" s="308"/>
      <c r="U99" s="308"/>
      <c r="V99" s="308"/>
    </row>
    <row r="100" spans="10:22" ht="11.4">
      <c r="J100" s="308"/>
      <c r="K100" s="308"/>
      <c r="L100" s="308"/>
      <c r="M100" s="308"/>
      <c r="N100" s="308"/>
      <c r="O100" s="308"/>
      <c r="P100" s="308"/>
      <c r="Q100" s="308"/>
      <c r="R100" s="308"/>
      <c r="S100" s="308"/>
      <c r="T100" s="308"/>
      <c r="U100" s="308"/>
      <c r="V100" s="308"/>
    </row>
    <row r="101" spans="10:22" ht="11.4">
      <c r="J101" s="308"/>
      <c r="K101" s="308"/>
      <c r="L101" s="308"/>
      <c r="M101" s="308"/>
      <c r="N101" s="308"/>
      <c r="O101" s="308"/>
      <c r="P101" s="308"/>
      <c r="Q101" s="308"/>
      <c r="R101" s="308"/>
      <c r="S101" s="308"/>
      <c r="T101" s="308"/>
      <c r="U101" s="308"/>
      <c r="V101" s="308"/>
    </row>
    <row r="102" spans="10:22" ht="11.4">
      <c r="J102" s="308"/>
      <c r="K102" s="308"/>
      <c r="L102" s="308"/>
      <c r="M102" s="308"/>
      <c r="N102" s="308"/>
      <c r="O102" s="308"/>
      <c r="P102" s="308"/>
      <c r="Q102" s="308"/>
      <c r="R102" s="308"/>
      <c r="S102" s="308"/>
      <c r="T102" s="308"/>
      <c r="U102" s="308"/>
      <c r="V102" s="308"/>
    </row>
    <row r="103" spans="10:22" ht="11.4">
      <c r="J103" s="308"/>
      <c r="K103" s="308"/>
      <c r="L103" s="308"/>
      <c r="M103" s="308"/>
      <c r="N103" s="308"/>
      <c r="O103" s="308"/>
      <c r="P103" s="308"/>
      <c r="Q103" s="308"/>
      <c r="R103" s="308"/>
      <c r="S103" s="308"/>
      <c r="T103" s="308"/>
      <c r="U103" s="308"/>
      <c r="V103" s="308"/>
    </row>
    <row r="104" spans="10:22" ht="11.4">
      <c r="J104" s="308"/>
      <c r="K104" s="308"/>
      <c r="L104" s="308"/>
      <c r="M104" s="308"/>
      <c r="N104" s="308"/>
      <c r="O104" s="308"/>
      <c r="P104" s="308"/>
      <c r="Q104" s="308"/>
      <c r="R104" s="308"/>
      <c r="S104" s="308"/>
      <c r="T104" s="308"/>
      <c r="U104" s="308"/>
      <c r="V104" s="308"/>
    </row>
    <row r="105" spans="10:22" ht="11.4">
      <c r="J105" s="308"/>
      <c r="K105" s="308"/>
      <c r="L105" s="308"/>
      <c r="M105" s="308"/>
      <c r="N105" s="308"/>
      <c r="O105" s="308"/>
      <c r="P105" s="308"/>
      <c r="Q105" s="308"/>
      <c r="R105" s="308"/>
      <c r="S105" s="308"/>
      <c r="T105" s="308"/>
      <c r="U105" s="308"/>
      <c r="V105" s="308"/>
    </row>
    <row r="106" spans="10:22" ht="11.4">
      <c r="J106" s="308"/>
      <c r="K106" s="308"/>
      <c r="L106" s="308"/>
      <c r="M106" s="308"/>
      <c r="N106" s="308"/>
      <c r="O106" s="308"/>
      <c r="P106" s="308"/>
      <c r="Q106" s="308"/>
      <c r="R106" s="308"/>
      <c r="S106" s="308"/>
      <c r="T106" s="308"/>
      <c r="U106" s="308"/>
      <c r="V106" s="308"/>
    </row>
    <row r="107" spans="10:22" ht="11.4">
      <c r="J107" s="308"/>
      <c r="K107" s="308"/>
      <c r="L107" s="308"/>
      <c r="M107" s="308"/>
      <c r="N107" s="308"/>
      <c r="O107" s="308"/>
      <c r="P107" s="308"/>
      <c r="Q107" s="308"/>
      <c r="R107" s="308"/>
      <c r="S107" s="308"/>
      <c r="T107" s="308"/>
      <c r="U107" s="308"/>
      <c r="V107" s="308"/>
    </row>
    <row r="108" spans="10:22" ht="11.4">
      <c r="J108" s="308"/>
      <c r="K108" s="308"/>
      <c r="L108" s="308"/>
      <c r="M108" s="308"/>
      <c r="N108" s="308"/>
      <c r="O108" s="308"/>
      <c r="P108" s="308"/>
      <c r="Q108" s="308"/>
      <c r="R108" s="308"/>
      <c r="S108" s="308"/>
      <c r="T108" s="308"/>
      <c r="U108" s="308"/>
      <c r="V108" s="308"/>
    </row>
    <row r="109" spans="10:22" ht="11.4">
      <c r="J109" s="308"/>
      <c r="K109" s="308"/>
      <c r="L109" s="308"/>
      <c r="M109" s="308"/>
      <c r="N109" s="308"/>
      <c r="O109" s="308"/>
      <c r="P109" s="308"/>
      <c r="Q109" s="308"/>
      <c r="R109" s="308"/>
      <c r="S109" s="308"/>
      <c r="T109" s="308"/>
      <c r="U109" s="308"/>
      <c r="V109" s="308"/>
    </row>
    <row r="110" spans="10:22" ht="11.4">
      <c r="J110" s="308"/>
      <c r="K110" s="308"/>
      <c r="L110" s="308"/>
      <c r="M110" s="308"/>
      <c r="N110" s="308"/>
      <c r="O110" s="308"/>
      <c r="P110" s="308"/>
      <c r="Q110" s="308"/>
      <c r="R110" s="308"/>
      <c r="S110" s="308"/>
      <c r="T110" s="308"/>
      <c r="U110" s="308"/>
      <c r="V110" s="308"/>
    </row>
    <row r="111" spans="10:22" ht="11.4">
      <c r="J111" s="308"/>
      <c r="K111" s="308"/>
      <c r="L111" s="308"/>
      <c r="M111" s="308"/>
      <c r="N111" s="308"/>
      <c r="O111" s="308"/>
      <c r="P111" s="308"/>
      <c r="Q111" s="308"/>
      <c r="R111" s="308"/>
      <c r="S111" s="308"/>
      <c r="T111" s="308"/>
      <c r="U111" s="308"/>
      <c r="V111" s="308"/>
    </row>
    <row r="112" spans="10:22" ht="11.4">
      <c r="J112" s="308"/>
      <c r="K112" s="308"/>
      <c r="L112" s="308"/>
      <c r="M112" s="308"/>
      <c r="N112" s="308"/>
      <c r="O112" s="308"/>
      <c r="P112" s="308"/>
      <c r="Q112" s="308"/>
      <c r="R112" s="308"/>
      <c r="S112" s="308"/>
      <c r="T112" s="308"/>
      <c r="U112" s="308"/>
      <c r="V112" s="308"/>
    </row>
    <row r="113" spans="10:22" ht="11.4">
      <c r="J113" s="308"/>
      <c r="K113" s="308"/>
      <c r="L113" s="308"/>
      <c r="M113" s="308"/>
      <c r="N113" s="308"/>
      <c r="O113" s="308"/>
      <c r="P113" s="308"/>
      <c r="Q113" s="308"/>
      <c r="R113" s="308"/>
      <c r="S113" s="308"/>
      <c r="T113" s="308"/>
      <c r="U113" s="308"/>
      <c r="V113" s="308"/>
    </row>
    <row r="114" spans="10:22" ht="11.4">
      <c r="J114" s="308"/>
      <c r="K114" s="308"/>
      <c r="L114" s="308"/>
      <c r="M114" s="308"/>
      <c r="N114" s="308"/>
      <c r="O114" s="308"/>
      <c r="P114" s="308"/>
      <c r="Q114" s="308"/>
      <c r="R114" s="308"/>
      <c r="S114" s="308"/>
      <c r="T114" s="308"/>
      <c r="U114" s="308"/>
      <c r="V114" s="308"/>
    </row>
    <row r="115" spans="10:22" ht="11.4">
      <c r="J115" s="308"/>
      <c r="K115" s="308"/>
      <c r="L115" s="308"/>
      <c r="M115" s="308"/>
      <c r="N115" s="308"/>
      <c r="O115" s="308"/>
      <c r="P115" s="308"/>
      <c r="Q115" s="308"/>
      <c r="R115" s="308"/>
      <c r="S115" s="308"/>
      <c r="T115" s="308"/>
      <c r="U115" s="308"/>
      <c r="V115" s="308"/>
    </row>
    <row r="116" spans="10:22" ht="11.4">
      <c r="J116" s="308"/>
      <c r="K116" s="308"/>
      <c r="L116" s="308"/>
      <c r="M116" s="308"/>
      <c r="N116" s="308"/>
      <c r="O116" s="308"/>
      <c r="P116" s="308"/>
      <c r="Q116" s="308"/>
      <c r="R116" s="308"/>
      <c r="S116" s="308"/>
      <c r="T116" s="308"/>
      <c r="U116" s="308"/>
      <c r="V116" s="308"/>
    </row>
    <row r="117" spans="10:22" ht="11.4">
      <c r="J117" s="308"/>
      <c r="K117" s="308"/>
      <c r="L117" s="308"/>
      <c r="M117" s="308"/>
      <c r="N117" s="308"/>
      <c r="O117" s="308"/>
      <c r="P117" s="308"/>
      <c r="Q117" s="308"/>
      <c r="R117" s="308"/>
      <c r="S117" s="308"/>
      <c r="T117" s="308"/>
      <c r="U117" s="308"/>
      <c r="V117" s="308"/>
    </row>
    <row r="118" spans="10:22" ht="11.4">
      <c r="J118" s="308"/>
      <c r="K118" s="308"/>
      <c r="L118" s="308"/>
      <c r="M118" s="308"/>
      <c r="N118" s="308"/>
      <c r="O118" s="308"/>
      <c r="P118" s="308"/>
      <c r="Q118" s="308"/>
      <c r="R118" s="308"/>
      <c r="S118" s="308"/>
      <c r="T118" s="308"/>
      <c r="U118" s="308"/>
      <c r="V118" s="308"/>
    </row>
    <row r="119" spans="10:22" ht="11.4">
      <c r="J119" s="308"/>
      <c r="K119" s="308"/>
      <c r="L119" s="308"/>
      <c r="M119" s="308"/>
      <c r="N119" s="308"/>
      <c r="O119" s="308"/>
      <c r="P119" s="308"/>
      <c r="Q119" s="308"/>
      <c r="R119" s="308"/>
      <c r="S119" s="308"/>
      <c r="T119" s="308"/>
      <c r="U119" s="308"/>
      <c r="V119" s="308"/>
    </row>
    <row r="120" spans="10:22" ht="11.4">
      <c r="J120" s="308"/>
      <c r="K120" s="308"/>
      <c r="L120" s="308"/>
      <c r="M120" s="308"/>
      <c r="N120" s="308"/>
      <c r="O120" s="308"/>
      <c r="P120" s="308"/>
      <c r="Q120" s="308"/>
      <c r="R120" s="308"/>
      <c r="S120" s="308"/>
      <c r="T120" s="308"/>
      <c r="U120" s="308"/>
      <c r="V120" s="308"/>
    </row>
    <row r="121" spans="10:22" ht="11.4">
      <c r="J121" s="308"/>
      <c r="K121" s="308"/>
      <c r="L121" s="308"/>
      <c r="M121" s="308"/>
      <c r="N121" s="308"/>
      <c r="O121" s="308"/>
      <c r="P121" s="308"/>
      <c r="Q121" s="308"/>
      <c r="R121" s="308"/>
      <c r="S121" s="308"/>
      <c r="T121" s="308"/>
      <c r="U121" s="308"/>
      <c r="V121" s="308"/>
    </row>
    <row r="122" spans="10:22" ht="11.4">
      <c r="J122" s="308"/>
      <c r="K122" s="308"/>
      <c r="L122" s="308"/>
      <c r="M122" s="308"/>
      <c r="N122" s="308"/>
      <c r="O122" s="308"/>
      <c r="P122" s="308"/>
      <c r="Q122" s="308"/>
      <c r="R122" s="308"/>
      <c r="S122" s="308"/>
      <c r="T122" s="308"/>
      <c r="U122" s="308"/>
      <c r="V122" s="308"/>
    </row>
    <row r="123" spans="10:22" ht="11.4">
      <c r="J123" s="308"/>
      <c r="K123" s="308"/>
      <c r="L123" s="308"/>
      <c r="M123" s="308"/>
      <c r="N123" s="308"/>
      <c r="O123" s="308"/>
      <c r="P123" s="308"/>
      <c r="Q123" s="308"/>
      <c r="R123" s="308"/>
      <c r="S123" s="308"/>
      <c r="T123" s="308"/>
      <c r="U123" s="308"/>
      <c r="V123" s="308"/>
    </row>
    <row r="124" spans="10:22" ht="11.4">
      <c r="J124" s="308"/>
      <c r="K124" s="308"/>
      <c r="L124" s="308"/>
      <c r="M124" s="308"/>
      <c r="N124" s="308"/>
      <c r="O124" s="308"/>
      <c r="P124" s="308"/>
      <c r="Q124" s="308"/>
      <c r="R124" s="308"/>
      <c r="S124" s="308"/>
      <c r="T124" s="308"/>
      <c r="U124" s="308"/>
      <c r="V124" s="308"/>
    </row>
    <row r="125" spans="10:22" ht="11.4">
      <c r="J125" s="308"/>
      <c r="K125" s="308"/>
      <c r="L125" s="308"/>
      <c r="M125" s="308"/>
      <c r="N125" s="308"/>
      <c r="O125" s="308"/>
      <c r="P125" s="308"/>
      <c r="Q125" s="308"/>
      <c r="R125" s="308"/>
      <c r="S125" s="308"/>
      <c r="T125" s="308"/>
      <c r="U125" s="308"/>
      <c r="V125" s="308"/>
    </row>
    <row r="126" spans="10:22" ht="11.4">
      <c r="J126" s="308"/>
      <c r="K126" s="308"/>
      <c r="L126" s="308"/>
      <c r="M126" s="308"/>
      <c r="N126" s="308"/>
      <c r="O126" s="308"/>
      <c r="P126" s="308"/>
      <c r="Q126" s="308"/>
      <c r="R126" s="308"/>
      <c r="S126" s="308"/>
      <c r="T126" s="308"/>
      <c r="U126" s="308"/>
      <c r="V126" s="308"/>
    </row>
    <row r="127" spans="10:22" ht="11.4">
      <c r="J127" s="308"/>
      <c r="K127" s="308"/>
      <c r="L127" s="308"/>
      <c r="M127" s="308"/>
      <c r="N127" s="308"/>
      <c r="O127" s="308"/>
      <c r="P127" s="308"/>
      <c r="Q127" s="308"/>
      <c r="R127" s="308"/>
      <c r="S127" s="308"/>
      <c r="T127" s="308"/>
      <c r="U127" s="308"/>
      <c r="V127" s="308"/>
    </row>
    <row r="128" spans="10:22" ht="11.4">
      <c r="J128" s="308"/>
      <c r="K128" s="308"/>
      <c r="L128" s="308"/>
      <c r="M128" s="308"/>
      <c r="N128" s="308"/>
      <c r="O128" s="308"/>
      <c r="P128" s="308"/>
      <c r="Q128" s="308"/>
      <c r="R128" s="308"/>
      <c r="S128" s="308"/>
      <c r="T128" s="308"/>
      <c r="U128" s="308"/>
      <c r="V128" s="308"/>
    </row>
    <row r="129" spans="10:22" ht="11.4">
      <c r="J129" s="308"/>
      <c r="K129" s="308"/>
      <c r="L129" s="308"/>
      <c r="M129" s="308"/>
      <c r="N129" s="308"/>
      <c r="O129" s="308"/>
      <c r="P129" s="308"/>
      <c r="Q129" s="308"/>
      <c r="R129" s="308"/>
      <c r="S129" s="308"/>
      <c r="T129" s="308"/>
      <c r="U129" s="308"/>
      <c r="V129" s="308"/>
    </row>
    <row r="130" spans="10:22" ht="11.4">
      <c r="J130" s="308"/>
      <c r="K130" s="308"/>
      <c r="L130" s="308"/>
      <c r="M130" s="308"/>
      <c r="N130" s="308"/>
      <c r="O130" s="308"/>
      <c r="P130" s="308"/>
      <c r="Q130" s="308"/>
      <c r="R130" s="308"/>
      <c r="S130" s="308"/>
      <c r="T130" s="308"/>
      <c r="U130" s="308"/>
      <c r="V130" s="308"/>
    </row>
    <row r="131" spans="10:22" ht="11.4">
      <c r="J131" s="308"/>
      <c r="K131" s="308"/>
      <c r="L131" s="308"/>
      <c r="M131" s="308"/>
      <c r="N131" s="308"/>
      <c r="O131" s="308"/>
      <c r="P131" s="308"/>
      <c r="Q131" s="308"/>
      <c r="R131" s="308"/>
      <c r="S131" s="308"/>
      <c r="T131" s="308"/>
      <c r="U131" s="308"/>
      <c r="V131" s="308"/>
    </row>
    <row r="132" spans="10:22" ht="11.4">
      <c r="J132" s="308"/>
      <c r="K132" s="308"/>
      <c r="L132" s="308"/>
      <c r="M132" s="308"/>
      <c r="N132" s="308"/>
      <c r="O132" s="308"/>
      <c r="P132" s="308"/>
      <c r="Q132" s="308"/>
      <c r="R132" s="308"/>
      <c r="S132" s="308"/>
      <c r="T132" s="308"/>
      <c r="U132" s="308"/>
      <c r="V132" s="308"/>
    </row>
    <row r="133" spans="10:22" ht="11.4">
      <c r="J133" s="308"/>
      <c r="K133" s="308"/>
      <c r="L133" s="308"/>
      <c r="M133" s="308"/>
      <c r="N133" s="308"/>
      <c r="O133" s="308"/>
      <c r="P133" s="308"/>
      <c r="Q133" s="308"/>
      <c r="R133" s="308"/>
      <c r="S133" s="308"/>
      <c r="T133" s="308"/>
      <c r="U133" s="308"/>
      <c r="V133" s="308"/>
    </row>
    <row r="134" spans="10:22" ht="11.4">
      <c r="J134" s="308"/>
      <c r="K134" s="308"/>
      <c r="L134" s="308"/>
      <c r="M134" s="308"/>
      <c r="N134" s="308"/>
      <c r="O134" s="308"/>
      <c r="P134" s="308"/>
      <c r="Q134" s="308"/>
      <c r="R134" s="308"/>
      <c r="S134" s="308"/>
      <c r="T134" s="308"/>
      <c r="U134" s="308"/>
      <c r="V134" s="308"/>
    </row>
    <row r="135" spans="10:22" ht="11.4">
      <c r="J135" s="308"/>
      <c r="K135" s="308"/>
      <c r="L135" s="308"/>
      <c r="M135" s="308"/>
      <c r="N135" s="308"/>
      <c r="O135" s="308"/>
      <c r="P135" s="308"/>
      <c r="Q135" s="308"/>
      <c r="R135" s="308"/>
      <c r="S135" s="308"/>
      <c r="T135" s="308"/>
      <c r="U135" s="308"/>
      <c r="V135" s="308"/>
    </row>
    <row r="136" spans="10:22" ht="11.4">
      <c r="J136" s="308"/>
      <c r="K136" s="308"/>
      <c r="L136" s="308"/>
      <c r="M136" s="308"/>
      <c r="N136" s="308"/>
      <c r="O136" s="308"/>
      <c r="P136" s="308"/>
      <c r="Q136" s="308"/>
      <c r="R136" s="308"/>
      <c r="S136" s="308"/>
      <c r="T136" s="308"/>
      <c r="U136" s="308"/>
      <c r="V136" s="308"/>
    </row>
    <row r="137" spans="10:22" ht="11.4">
      <c r="J137" s="308"/>
      <c r="K137" s="308"/>
      <c r="L137" s="308"/>
      <c r="M137" s="308"/>
      <c r="N137" s="308"/>
      <c r="O137" s="308"/>
      <c r="P137" s="308"/>
      <c r="Q137" s="308"/>
      <c r="R137" s="308"/>
      <c r="S137" s="308"/>
      <c r="T137" s="308"/>
      <c r="U137" s="308"/>
      <c r="V137" s="308"/>
    </row>
    <row r="138" spans="10:22" ht="11.4">
      <c r="J138" s="308"/>
      <c r="K138" s="308"/>
      <c r="L138" s="308"/>
      <c r="M138" s="308"/>
      <c r="N138" s="308"/>
      <c r="O138" s="308"/>
      <c r="P138" s="308"/>
      <c r="Q138" s="308"/>
      <c r="R138" s="308"/>
      <c r="S138" s="308"/>
      <c r="T138" s="308"/>
      <c r="U138" s="308"/>
      <c r="V138" s="308"/>
    </row>
    <row r="139" spans="10:22" ht="11.4">
      <c r="J139" s="308"/>
      <c r="K139" s="308"/>
      <c r="L139" s="308"/>
      <c r="M139" s="308"/>
      <c r="N139" s="308"/>
      <c r="O139" s="308"/>
      <c r="P139" s="308"/>
      <c r="Q139" s="308"/>
      <c r="R139" s="308"/>
      <c r="S139" s="308"/>
      <c r="T139" s="308"/>
      <c r="U139" s="308"/>
      <c r="V139" s="308"/>
    </row>
    <row r="140" spans="10:22" ht="11.4">
      <c r="J140" s="308"/>
      <c r="K140" s="308"/>
      <c r="L140" s="308"/>
      <c r="M140" s="308"/>
      <c r="N140" s="308"/>
      <c r="O140" s="308"/>
      <c r="P140" s="308"/>
      <c r="Q140" s="308"/>
      <c r="R140" s="308"/>
      <c r="S140" s="308"/>
      <c r="T140" s="308"/>
      <c r="U140" s="308"/>
      <c r="V140" s="308"/>
    </row>
    <row r="141" spans="10:22" ht="11.4">
      <c r="J141" s="308"/>
      <c r="K141" s="308"/>
      <c r="L141" s="308"/>
      <c r="M141" s="308"/>
      <c r="N141" s="308"/>
      <c r="O141" s="308"/>
      <c r="P141" s="308"/>
      <c r="Q141" s="308"/>
      <c r="R141" s="308"/>
      <c r="S141" s="308"/>
      <c r="T141" s="308"/>
      <c r="U141" s="308"/>
      <c r="V141" s="308"/>
    </row>
    <row r="142" spans="10:22" ht="11.4">
      <c r="J142" s="308"/>
      <c r="K142" s="308"/>
      <c r="L142" s="308"/>
      <c r="M142" s="308"/>
      <c r="N142" s="308"/>
      <c r="O142" s="308"/>
      <c r="P142" s="308"/>
      <c r="Q142" s="308"/>
      <c r="R142" s="308"/>
      <c r="S142" s="308"/>
      <c r="T142" s="308"/>
      <c r="U142" s="308"/>
      <c r="V142" s="308"/>
    </row>
    <row r="143" spans="10:22" ht="11.4">
      <c r="J143" s="308"/>
      <c r="K143" s="308"/>
      <c r="L143" s="308"/>
      <c r="M143" s="308"/>
      <c r="N143" s="308"/>
      <c r="O143" s="308"/>
      <c r="P143" s="308"/>
      <c r="Q143" s="308"/>
      <c r="R143" s="308"/>
      <c r="S143" s="308"/>
      <c r="T143" s="308"/>
      <c r="U143" s="308"/>
      <c r="V143" s="308"/>
    </row>
    <row r="144" spans="10:22" ht="11.4">
      <c r="J144" s="308"/>
      <c r="K144" s="308"/>
      <c r="L144" s="308"/>
      <c r="M144" s="308"/>
      <c r="N144" s="308"/>
      <c r="O144" s="308"/>
      <c r="P144" s="308"/>
      <c r="Q144" s="308"/>
      <c r="R144" s="308"/>
      <c r="S144" s="308"/>
      <c r="T144" s="308"/>
      <c r="U144" s="308"/>
      <c r="V144" s="308"/>
    </row>
    <row r="145" spans="10:22" ht="11.4">
      <c r="J145" s="308"/>
      <c r="K145" s="308"/>
      <c r="L145" s="308"/>
      <c r="M145" s="308"/>
      <c r="N145" s="308"/>
      <c r="O145" s="308"/>
      <c r="P145" s="308"/>
      <c r="Q145" s="308"/>
      <c r="R145" s="308"/>
      <c r="S145" s="308"/>
      <c r="T145" s="308"/>
      <c r="U145" s="308"/>
      <c r="V145" s="308"/>
    </row>
    <row r="146" spans="10:22" ht="11.4">
      <c r="J146" s="308"/>
      <c r="K146" s="308"/>
      <c r="L146" s="308"/>
      <c r="M146" s="308"/>
      <c r="N146" s="308"/>
      <c r="O146" s="308"/>
      <c r="P146" s="308"/>
      <c r="Q146" s="308"/>
      <c r="R146" s="308"/>
      <c r="S146" s="308"/>
      <c r="T146" s="308"/>
      <c r="U146" s="308"/>
      <c r="V146" s="308"/>
    </row>
    <row r="147" spans="10:22" ht="11.4">
      <c r="J147" s="308"/>
      <c r="K147" s="308"/>
      <c r="L147" s="308"/>
      <c r="M147" s="308"/>
      <c r="N147" s="308"/>
      <c r="O147" s="308"/>
      <c r="P147" s="308"/>
      <c r="Q147" s="308"/>
      <c r="R147" s="308"/>
      <c r="S147" s="308"/>
      <c r="T147" s="308"/>
      <c r="U147" s="308"/>
      <c r="V147" s="308"/>
    </row>
    <row r="148" spans="10:22" ht="11.4">
      <c r="J148" s="308"/>
      <c r="K148" s="308"/>
      <c r="L148" s="308"/>
      <c r="M148" s="308"/>
      <c r="N148" s="308"/>
      <c r="O148" s="308"/>
      <c r="P148" s="308"/>
      <c r="Q148" s="308"/>
      <c r="R148" s="308"/>
      <c r="S148" s="308"/>
      <c r="T148" s="308"/>
      <c r="U148" s="308"/>
      <c r="V148" s="308"/>
    </row>
    <row r="149" spans="10:22" ht="11.4">
      <c r="J149" s="308"/>
      <c r="K149" s="308"/>
      <c r="L149" s="308"/>
      <c r="M149" s="308"/>
      <c r="N149" s="308"/>
      <c r="O149" s="308"/>
      <c r="P149" s="308"/>
      <c r="Q149" s="308"/>
      <c r="R149" s="308"/>
      <c r="S149" s="308"/>
      <c r="T149" s="308"/>
      <c r="U149" s="308"/>
      <c r="V149" s="308"/>
    </row>
    <row r="150" spans="10:22" ht="11.4">
      <c r="J150" s="308"/>
      <c r="K150" s="308"/>
      <c r="L150" s="308"/>
      <c r="M150" s="308"/>
      <c r="N150" s="308"/>
      <c r="O150" s="308"/>
      <c r="P150" s="308"/>
      <c r="Q150" s="308"/>
      <c r="R150" s="308"/>
      <c r="S150" s="308"/>
      <c r="T150" s="308"/>
      <c r="U150" s="308"/>
      <c r="V150" s="308"/>
    </row>
    <row r="151" spans="10:22" ht="11.4">
      <c r="J151" s="308"/>
      <c r="K151" s="308"/>
      <c r="L151" s="308"/>
      <c r="M151" s="308"/>
      <c r="N151" s="308"/>
      <c r="O151" s="308"/>
      <c r="P151" s="308"/>
      <c r="Q151" s="308"/>
      <c r="R151" s="308"/>
      <c r="S151" s="308"/>
      <c r="T151" s="308"/>
      <c r="U151" s="308"/>
      <c r="V151" s="308"/>
    </row>
    <row r="152" spans="10:22" ht="11.4">
      <c r="J152" s="308"/>
      <c r="K152" s="308"/>
      <c r="L152" s="308"/>
      <c r="M152" s="308"/>
      <c r="N152" s="308"/>
      <c r="O152" s="308"/>
      <c r="P152" s="308"/>
      <c r="Q152" s="308"/>
      <c r="R152" s="308"/>
      <c r="S152" s="308"/>
      <c r="T152" s="308"/>
      <c r="U152" s="308"/>
      <c r="V152" s="308"/>
    </row>
    <row r="153" spans="10:22" ht="11.4">
      <c r="J153" s="308"/>
      <c r="K153" s="308"/>
      <c r="L153" s="308"/>
      <c r="M153" s="308"/>
      <c r="N153" s="308"/>
      <c r="O153" s="308"/>
      <c r="P153" s="308"/>
      <c r="Q153" s="308"/>
      <c r="R153" s="308"/>
      <c r="S153" s="308"/>
      <c r="T153" s="308"/>
      <c r="U153" s="308"/>
      <c r="V153" s="308"/>
    </row>
    <row r="154" spans="10:22" ht="11.4">
      <c r="J154" s="308"/>
      <c r="K154" s="308"/>
      <c r="L154" s="308"/>
      <c r="M154" s="308"/>
      <c r="N154" s="308"/>
      <c r="O154" s="308"/>
      <c r="P154" s="308"/>
      <c r="Q154" s="308"/>
      <c r="R154" s="308"/>
      <c r="S154" s="308"/>
      <c r="T154" s="308"/>
      <c r="U154" s="308"/>
      <c r="V154" s="308"/>
    </row>
    <row r="155" spans="10:22" ht="11.4">
      <c r="J155" s="308"/>
      <c r="K155" s="308"/>
      <c r="L155" s="308"/>
      <c r="M155" s="308"/>
      <c r="N155" s="308"/>
      <c r="O155" s="308"/>
      <c r="P155" s="308"/>
      <c r="Q155" s="308"/>
      <c r="R155" s="308"/>
      <c r="S155" s="308"/>
      <c r="T155" s="308"/>
      <c r="U155" s="308"/>
      <c r="V155" s="308"/>
    </row>
    <row r="156" spans="10:22" ht="11.4">
      <c r="J156" s="308"/>
      <c r="K156" s="308"/>
      <c r="L156" s="308"/>
      <c r="M156" s="308"/>
      <c r="N156" s="308"/>
      <c r="O156" s="308"/>
      <c r="P156" s="308"/>
      <c r="Q156" s="308"/>
      <c r="R156" s="308"/>
      <c r="S156" s="308"/>
      <c r="T156" s="308"/>
      <c r="U156" s="308"/>
      <c r="V156" s="308"/>
    </row>
    <row r="157" spans="10:22" ht="11.4">
      <c r="J157" s="308"/>
      <c r="K157" s="308"/>
      <c r="L157" s="308"/>
      <c r="M157" s="308"/>
      <c r="N157" s="308"/>
      <c r="O157" s="308"/>
      <c r="P157" s="308"/>
      <c r="Q157" s="308"/>
      <c r="R157" s="308"/>
      <c r="S157" s="308"/>
      <c r="T157" s="308"/>
      <c r="U157" s="308"/>
      <c r="V157" s="308"/>
    </row>
    <row r="158" spans="10:22" ht="11.4">
      <c r="J158" s="308"/>
      <c r="K158" s="308"/>
      <c r="L158" s="308"/>
      <c r="M158" s="308"/>
      <c r="N158" s="308"/>
      <c r="O158" s="308"/>
      <c r="P158" s="308"/>
      <c r="Q158" s="308"/>
      <c r="R158" s="308"/>
      <c r="S158" s="308"/>
      <c r="T158" s="308"/>
      <c r="U158" s="308"/>
      <c r="V158" s="308"/>
    </row>
    <row r="159" spans="10:22" ht="11.4">
      <c r="J159" s="308"/>
      <c r="K159" s="308"/>
      <c r="L159" s="308"/>
      <c r="M159" s="308"/>
      <c r="N159" s="308"/>
      <c r="O159" s="308"/>
      <c r="P159" s="308"/>
      <c r="Q159" s="308"/>
      <c r="R159" s="308"/>
      <c r="S159" s="308"/>
      <c r="T159" s="308"/>
      <c r="U159" s="308"/>
      <c r="V159" s="308"/>
    </row>
    <row r="160" spans="10:22" ht="11.4">
      <c r="J160" s="308"/>
      <c r="K160" s="308"/>
      <c r="L160" s="308"/>
      <c r="M160" s="308"/>
      <c r="N160" s="308"/>
      <c r="O160" s="308"/>
      <c r="P160" s="308"/>
      <c r="Q160" s="308"/>
      <c r="R160" s="308"/>
      <c r="S160" s="308"/>
      <c r="T160" s="308"/>
      <c r="U160" s="308"/>
      <c r="V160" s="308"/>
    </row>
    <row r="161" spans="10:22" ht="11.4">
      <c r="J161" s="308"/>
      <c r="K161" s="308"/>
      <c r="L161" s="308"/>
      <c r="M161" s="308"/>
      <c r="N161" s="308"/>
      <c r="O161" s="308"/>
      <c r="P161" s="308"/>
      <c r="Q161" s="308"/>
      <c r="R161" s="308"/>
      <c r="S161" s="308"/>
      <c r="T161" s="308"/>
      <c r="U161" s="308"/>
      <c r="V161" s="308"/>
    </row>
    <row r="162" spans="10:22" ht="11.4">
      <c r="J162" s="308"/>
      <c r="K162" s="308"/>
      <c r="L162" s="308"/>
      <c r="M162" s="308"/>
      <c r="N162" s="308"/>
      <c r="O162" s="308"/>
      <c r="P162" s="308"/>
      <c r="Q162" s="308"/>
      <c r="R162" s="308"/>
      <c r="S162" s="308"/>
      <c r="T162" s="308"/>
      <c r="U162" s="308"/>
      <c r="V162" s="308"/>
    </row>
    <row r="163" spans="10:22" ht="11.4">
      <c r="J163" s="308"/>
      <c r="K163" s="308"/>
      <c r="L163" s="308"/>
      <c r="M163" s="308"/>
      <c r="N163" s="308"/>
      <c r="O163" s="308"/>
      <c r="P163" s="308"/>
      <c r="Q163" s="308"/>
      <c r="R163" s="308"/>
      <c r="S163" s="308"/>
      <c r="T163" s="308"/>
      <c r="U163" s="308"/>
      <c r="V163" s="308"/>
    </row>
    <row r="164" spans="10:22" ht="11.4">
      <c r="J164" s="308"/>
      <c r="K164" s="308"/>
      <c r="L164" s="308"/>
      <c r="M164" s="308"/>
      <c r="N164" s="308"/>
      <c r="O164" s="308"/>
      <c r="P164" s="308"/>
      <c r="Q164" s="308"/>
      <c r="R164" s="308"/>
      <c r="S164" s="308"/>
      <c r="T164" s="308"/>
      <c r="U164" s="308"/>
      <c r="V164" s="308"/>
    </row>
    <row r="165" spans="10:22" ht="11.4">
      <c r="J165" s="308"/>
      <c r="K165" s="308"/>
      <c r="L165" s="308"/>
      <c r="M165" s="308"/>
      <c r="N165" s="308"/>
      <c r="O165" s="308"/>
      <c r="P165" s="308"/>
      <c r="Q165" s="308"/>
      <c r="R165" s="308"/>
      <c r="S165" s="308"/>
      <c r="T165" s="308"/>
      <c r="U165" s="308"/>
      <c r="V165" s="308"/>
    </row>
    <row r="166" spans="10:22" ht="11.4">
      <c r="J166" s="308"/>
      <c r="K166" s="308"/>
      <c r="L166" s="308"/>
      <c r="M166" s="308"/>
      <c r="N166" s="308"/>
      <c r="O166" s="308"/>
      <c r="P166" s="308"/>
      <c r="Q166" s="308"/>
      <c r="R166" s="308"/>
      <c r="S166" s="308"/>
      <c r="T166" s="308"/>
      <c r="U166" s="308"/>
      <c r="V166" s="308"/>
    </row>
    <row r="167" spans="10:22" ht="11.4">
      <c r="J167" s="308"/>
      <c r="K167" s="308"/>
      <c r="L167" s="308"/>
      <c r="M167" s="308"/>
      <c r="N167" s="308"/>
      <c r="O167" s="308"/>
      <c r="P167" s="308"/>
      <c r="Q167" s="308"/>
      <c r="R167" s="308"/>
      <c r="S167" s="308"/>
      <c r="T167" s="308"/>
      <c r="U167" s="308"/>
      <c r="V167" s="308"/>
    </row>
    <row r="168" spans="10:22" ht="11.4">
      <c r="J168" s="308"/>
      <c r="K168" s="308"/>
      <c r="L168" s="308"/>
      <c r="M168" s="308"/>
      <c r="N168" s="308"/>
      <c r="O168" s="308"/>
      <c r="P168" s="308"/>
      <c r="Q168" s="308"/>
      <c r="R168" s="308"/>
      <c r="S168" s="308"/>
      <c r="T168" s="308"/>
      <c r="U168" s="308"/>
      <c r="V168" s="308"/>
    </row>
    <row r="169" spans="10:22" ht="11.4">
      <c r="J169" s="308"/>
      <c r="K169" s="308"/>
      <c r="L169" s="308"/>
      <c r="M169" s="308"/>
      <c r="N169" s="308"/>
      <c r="O169" s="308"/>
      <c r="P169" s="308"/>
      <c r="Q169" s="308"/>
      <c r="R169" s="308"/>
      <c r="S169" s="308"/>
      <c r="T169" s="308"/>
      <c r="U169" s="308"/>
      <c r="V169" s="308"/>
    </row>
    <row r="170" spans="10:22" ht="11.4">
      <c r="J170" s="308"/>
      <c r="K170" s="308"/>
      <c r="L170" s="308"/>
      <c r="M170" s="308"/>
      <c r="N170" s="308"/>
      <c r="O170" s="308"/>
      <c r="P170" s="308"/>
      <c r="Q170" s="308"/>
      <c r="R170" s="308"/>
      <c r="S170" s="308"/>
      <c r="T170" s="308"/>
      <c r="U170" s="308"/>
      <c r="V170" s="308"/>
    </row>
    <row r="171" spans="10:22" ht="11.4">
      <c r="J171" s="308"/>
      <c r="K171" s="308"/>
      <c r="L171" s="308"/>
      <c r="M171" s="308"/>
      <c r="N171" s="308"/>
      <c r="O171" s="308"/>
      <c r="P171" s="308"/>
      <c r="Q171" s="308"/>
      <c r="R171" s="308"/>
      <c r="S171" s="308"/>
      <c r="T171" s="308"/>
      <c r="U171" s="308"/>
      <c r="V171" s="308"/>
    </row>
    <row r="172" spans="10:22" ht="11.4">
      <c r="J172" s="308"/>
      <c r="K172" s="308"/>
      <c r="L172" s="308"/>
      <c r="M172" s="308"/>
      <c r="N172" s="308"/>
      <c r="O172" s="308"/>
      <c r="P172" s="308"/>
      <c r="Q172" s="308"/>
      <c r="R172" s="308"/>
      <c r="S172" s="308"/>
      <c r="T172" s="308"/>
      <c r="U172" s="308"/>
      <c r="V172" s="308"/>
    </row>
    <row r="173" spans="10:22" ht="11.4">
      <c r="J173" s="308"/>
      <c r="K173" s="308"/>
      <c r="L173" s="308"/>
      <c r="M173" s="308"/>
      <c r="N173" s="308"/>
      <c r="O173" s="308"/>
      <c r="P173" s="308"/>
      <c r="Q173" s="308"/>
      <c r="R173" s="308"/>
      <c r="S173" s="308"/>
      <c r="T173" s="308"/>
      <c r="U173" s="308"/>
      <c r="V173" s="308"/>
    </row>
    <row r="174" spans="10:22" ht="11.4">
      <c r="J174" s="308"/>
      <c r="K174" s="308"/>
      <c r="L174" s="308"/>
      <c r="M174" s="308"/>
      <c r="N174" s="308"/>
      <c r="O174" s="308"/>
      <c r="P174" s="308"/>
      <c r="Q174" s="308"/>
      <c r="R174" s="308"/>
      <c r="S174" s="308"/>
      <c r="T174" s="308"/>
      <c r="U174" s="308"/>
      <c r="V174" s="308"/>
    </row>
    <row r="175" spans="10:22" ht="11.4">
      <c r="J175" s="308"/>
      <c r="K175" s="308"/>
      <c r="L175" s="308"/>
      <c r="M175" s="308"/>
      <c r="N175" s="308"/>
      <c r="O175" s="308"/>
      <c r="P175" s="308"/>
      <c r="Q175" s="308"/>
      <c r="R175" s="308"/>
      <c r="S175" s="308"/>
      <c r="T175" s="308"/>
      <c r="U175" s="308"/>
      <c r="V175" s="308"/>
    </row>
    <row r="176" spans="10:22" ht="11.4">
      <c r="J176" s="308"/>
      <c r="K176" s="308"/>
      <c r="L176" s="308"/>
      <c r="M176" s="308"/>
      <c r="N176" s="308"/>
      <c r="O176" s="308"/>
      <c r="P176" s="308"/>
      <c r="Q176" s="308"/>
      <c r="R176" s="308"/>
      <c r="S176" s="308"/>
      <c r="T176" s="308"/>
      <c r="U176" s="308"/>
      <c r="V176" s="308"/>
    </row>
    <row r="177" spans="10:22" ht="11.4">
      <c r="J177" s="308"/>
      <c r="K177" s="308"/>
      <c r="L177" s="308"/>
      <c r="M177" s="308"/>
      <c r="N177" s="308"/>
      <c r="O177" s="308"/>
      <c r="P177" s="308"/>
      <c r="Q177" s="308"/>
      <c r="R177" s="308"/>
      <c r="S177" s="308"/>
      <c r="T177" s="308"/>
      <c r="U177" s="308"/>
      <c r="V177" s="308"/>
    </row>
    <row r="178" spans="10:22" ht="11.4">
      <c r="J178" s="308"/>
      <c r="K178" s="308"/>
      <c r="L178" s="308"/>
      <c r="M178" s="308"/>
      <c r="N178" s="308"/>
      <c r="O178" s="308"/>
      <c r="P178" s="308"/>
      <c r="Q178" s="308"/>
      <c r="R178" s="308"/>
      <c r="S178" s="308"/>
      <c r="T178" s="308"/>
      <c r="U178" s="308"/>
      <c r="V178" s="308"/>
    </row>
    <row r="179" spans="10:22" ht="11.4">
      <c r="J179" s="308"/>
      <c r="K179" s="308"/>
      <c r="L179" s="308"/>
      <c r="M179" s="308"/>
      <c r="N179" s="308"/>
      <c r="O179" s="308"/>
      <c r="P179" s="308"/>
      <c r="Q179" s="308"/>
      <c r="R179" s="308"/>
      <c r="S179" s="308"/>
      <c r="T179" s="308"/>
      <c r="U179" s="308"/>
      <c r="V179" s="308"/>
    </row>
    <row r="180" spans="10:22" ht="11.4">
      <c r="J180" s="308"/>
      <c r="K180" s="308"/>
      <c r="L180" s="308"/>
      <c r="M180" s="308"/>
      <c r="N180" s="308"/>
      <c r="O180" s="308"/>
      <c r="P180" s="308"/>
      <c r="Q180" s="308"/>
      <c r="R180" s="308"/>
      <c r="S180" s="308"/>
      <c r="T180" s="308"/>
      <c r="U180" s="308"/>
      <c r="V180" s="308"/>
    </row>
    <row r="181" spans="10:22" ht="11.4">
      <c r="J181" s="308"/>
      <c r="K181" s="308"/>
      <c r="L181" s="308"/>
      <c r="M181" s="308"/>
      <c r="N181" s="308"/>
      <c r="O181" s="308"/>
      <c r="P181" s="308"/>
      <c r="Q181" s="308"/>
      <c r="R181" s="308"/>
      <c r="S181" s="308"/>
      <c r="T181" s="308"/>
      <c r="U181" s="308"/>
      <c r="V181" s="308"/>
    </row>
    <row r="182" spans="10:22" ht="11.4">
      <c r="J182" s="308"/>
      <c r="K182" s="308"/>
      <c r="L182" s="308"/>
      <c r="M182" s="308"/>
      <c r="N182" s="308"/>
      <c r="O182" s="308"/>
      <c r="P182" s="308"/>
      <c r="Q182" s="308"/>
      <c r="R182" s="308"/>
      <c r="S182" s="308"/>
      <c r="T182" s="308"/>
      <c r="U182" s="308"/>
      <c r="V182" s="308"/>
    </row>
    <row r="183" spans="10:22" ht="11.4">
      <c r="J183" s="308"/>
      <c r="K183" s="308"/>
      <c r="L183" s="308"/>
      <c r="M183" s="308"/>
      <c r="N183" s="308"/>
      <c r="O183" s="308"/>
      <c r="P183" s="308"/>
      <c r="Q183" s="308"/>
      <c r="R183" s="308"/>
      <c r="S183" s="308"/>
      <c r="T183" s="308"/>
      <c r="U183" s="308"/>
      <c r="V183" s="308"/>
    </row>
    <row r="184" spans="10:22" ht="11.4">
      <c r="J184" s="308"/>
      <c r="K184" s="308"/>
      <c r="L184" s="308"/>
      <c r="M184" s="308"/>
      <c r="N184" s="308"/>
      <c r="O184" s="308"/>
      <c r="P184" s="308"/>
      <c r="Q184" s="308"/>
      <c r="R184" s="308"/>
      <c r="S184" s="308"/>
      <c r="T184" s="308"/>
      <c r="U184" s="308"/>
      <c r="V184" s="308"/>
    </row>
    <row r="185" spans="10:22" ht="11.4">
      <c r="J185" s="308"/>
      <c r="K185" s="308"/>
      <c r="L185" s="308"/>
      <c r="M185" s="308"/>
      <c r="N185" s="308"/>
      <c r="O185" s="308"/>
      <c r="P185" s="308"/>
      <c r="Q185" s="308"/>
      <c r="R185" s="308"/>
      <c r="S185" s="308"/>
      <c r="T185" s="308"/>
      <c r="U185" s="308"/>
      <c r="V185" s="308"/>
    </row>
    <row r="186" spans="10:22" ht="11.4">
      <c r="J186" s="308"/>
      <c r="K186" s="308"/>
      <c r="L186" s="308"/>
      <c r="M186" s="308"/>
      <c r="N186" s="308"/>
      <c r="O186" s="308"/>
      <c r="P186" s="308"/>
      <c r="Q186" s="308"/>
      <c r="R186" s="308"/>
      <c r="S186" s="308"/>
      <c r="T186" s="308"/>
      <c r="U186" s="308"/>
      <c r="V186" s="308"/>
    </row>
    <row r="187" spans="10:22" ht="11.4">
      <c r="J187" s="308"/>
      <c r="K187" s="308"/>
      <c r="L187" s="308"/>
      <c r="M187" s="308"/>
      <c r="N187" s="308"/>
      <c r="O187" s="308"/>
      <c r="P187" s="308"/>
      <c r="Q187" s="308"/>
      <c r="R187" s="308"/>
      <c r="S187" s="308"/>
      <c r="T187" s="308"/>
      <c r="U187" s="308"/>
      <c r="V187" s="308"/>
    </row>
    <row r="188" spans="10:22" ht="11.4">
      <c r="J188" s="308"/>
      <c r="K188" s="308"/>
      <c r="L188" s="308"/>
      <c r="M188" s="308"/>
      <c r="N188" s="308"/>
      <c r="O188" s="308"/>
      <c r="P188" s="308"/>
      <c r="Q188" s="308"/>
      <c r="R188" s="308"/>
      <c r="S188" s="308"/>
      <c r="T188" s="308"/>
      <c r="U188" s="308"/>
      <c r="V188" s="308"/>
    </row>
    <row r="189" spans="10:22" ht="11.4">
      <c r="J189" s="308"/>
      <c r="K189" s="308"/>
      <c r="L189" s="308"/>
      <c r="M189" s="308"/>
      <c r="N189" s="308"/>
      <c r="O189" s="308"/>
      <c r="P189" s="308"/>
      <c r="Q189" s="308"/>
      <c r="R189" s="308"/>
      <c r="S189" s="308"/>
      <c r="T189" s="308"/>
      <c r="U189" s="308"/>
      <c r="V189" s="308"/>
    </row>
    <row r="190" spans="10:22" ht="11.4">
      <c r="J190" s="308"/>
      <c r="K190" s="308"/>
      <c r="L190" s="308"/>
      <c r="M190" s="308"/>
      <c r="N190" s="308"/>
      <c r="O190" s="308"/>
      <c r="P190" s="308"/>
      <c r="Q190" s="308"/>
      <c r="R190" s="308"/>
      <c r="S190" s="308"/>
      <c r="T190" s="308"/>
      <c r="U190" s="308"/>
      <c r="V190" s="308"/>
    </row>
    <row r="191" spans="10:22" ht="11.4">
      <c r="J191" s="308"/>
      <c r="K191" s="308"/>
      <c r="L191" s="308"/>
      <c r="M191" s="308"/>
      <c r="N191" s="308"/>
      <c r="O191" s="308"/>
      <c r="P191" s="308"/>
      <c r="Q191" s="308"/>
      <c r="R191" s="308"/>
      <c r="S191" s="308"/>
      <c r="T191" s="308"/>
      <c r="U191" s="308"/>
      <c r="V191" s="308"/>
    </row>
    <row r="192" spans="10:22" ht="11.4">
      <c r="J192" s="308"/>
      <c r="K192" s="308"/>
      <c r="L192" s="308"/>
      <c r="M192" s="308"/>
      <c r="N192" s="308"/>
      <c r="O192" s="308"/>
      <c r="P192" s="308"/>
      <c r="Q192" s="308"/>
      <c r="R192" s="308"/>
      <c r="S192" s="308"/>
      <c r="T192" s="308"/>
      <c r="U192" s="308"/>
      <c r="V192" s="308"/>
    </row>
    <row r="193" spans="10:22" ht="11.4">
      <c r="J193" s="308"/>
      <c r="K193" s="308"/>
      <c r="L193" s="308"/>
      <c r="M193" s="308"/>
      <c r="N193" s="308"/>
      <c r="O193" s="308"/>
      <c r="P193" s="308"/>
      <c r="Q193" s="308"/>
      <c r="R193" s="308"/>
      <c r="S193" s="308"/>
      <c r="T193" s="308"/>
      <c r="U193" s="308"/>
      <c r="V193" s="308"/>
    </row>
    <row r="194" spans="10:22" ht="11.4">
      <c r="J194" s="308"/>
      <c r="K194" s="308"/>
      <c r="L194" s="308"/>
      <c r="M194" s="308"/>
      <c r="N194" s="308"/>
      <c r="O194" s="308"/>
      <c r="P194" s="308"/>
      <c r="Q194" s="308"/>
      <c r="R194" s="308"/>
      <c r="S194" s="308"/>
      <c r="T194" s="308"/>
      <c r="U194" s="308"/>
      <c r="V194" s="308"/>
    </row>
    <row r="195" spans="10:22" ht="11.4">
      <c r="J195" s="308"/>
      <c r="K195" s="308"/>
      <c r="L195" s="308"/>
      <c r="M195" s="308"/>
      <c r="N195" s="308"/>
      <c r="O195" s="308"/>
      <c r="P195" s="308"/>
      <c r="Q195" s="308"/>
      <c r="R195" s="308"/>
      <c r="S195" s="308"/>
      <c r="T195" s="308"/>
      <c r="U195" s="308"/>
      <c r="V195" s="308"/>
    </row>
    <row r="196" spans="10:22" ht="11.4">
      <c r="J196" s="308"/>
      <c r="K196" s="308"/>
      <c r="L196" s="308"/>
      <c r="M196" s="308"/>
      <c r="N196" s="308"/>
      <c r="O196" s="308"/>
      <c r="P196" s="308"/>
      <c r="Q196" s="308"/>
      <c r="R196" s="308"/>
      <c r="S196" s="308"/>
      <c r="T196" s="308"/>
      <c r="U196" s="308"/>
      <c r="V196" s="308"/>
    </row>
    <row r="197" spans="10:22" ht="11.4">
      <c r="J197" s="308"/>
      <c r="K197" s="308"/>
      <c r="L197" s="308"/>
      <c r="M197" s="308"/>
      <c r="N197" s="308"/>
      <c r="O197" s="308"/>
      <c r="P197" s="308"/>
      <c r="Q197" s="308"/>
      <c r="R197" s="308"/>
      <c r="S197" s="308"/>
      <c r="T197" s="308"/>
      <c r="U197" s="308"/>
      <c r="V197" s="308"/>
    </row>
    <row r="198" spans="10:22" ht="11.4">
      <c r="J198" s="308"/>
      <c r="K198" s="308"/>
      <c r="L198" s="308"/>
      <c r="M198" s="308"/>
      <c r="N198" s="308"/>
      <c r="O198" s="308"/>
      <c r="P198" s="308"/>
      <c r="Q198" s="308"/>
      <c r="R198" s="308"/>
      <c r="S198" s="308"/>
      <c r="T198" s="308"/>
      <c r="U198" s="308"/>
      <c r="V198" s="308"/>
    </row>
    <row r="199" spans="10:22" ht="11.4">
      <c r="J199" s="308"/>
      <c r="K199" s="308"/>
      <c r="L199" s="308"/>
      <c r="M199" s="308"/>
      <c r="N199" s="308"/>
      <c r="O199" s="308"/>
      <c r="P199" s="308"/>
      <c r="Q199" s="308"/>
      <c r="R199" s="308"/>
      <c r="S199" s="308"/>
      <c r="T199" s="308"/>
      <c r="U199" s="308"/>
      <c r="V199" s="308"/>
    </row>
    <row r="200" spans="10:22" ht="11.4">
      <c r="J200" s="308"/>
      <c r="K200" s="308"/>
      <c r="L200" s="308"/>
      <c r="M200" s="308"/>
      <c r="N200" s="308"/>
      <c r="O200" s="308"/>
      <c r="P200" s="308"/>
      <c r="Q200" s="308"/>
      <c r="R200" s="308"/>
      <c r="S200" s="308"/>
      <c r="T200" s="308"/>
      <c r="U200" s="308"/>
      <c r="V200" s="308"/>
    </row>
    <row r="201" spans="10:22" ht="11.4">
      <c r="J201" s="308"/>
      <c r="K201" s="308"/>
      <c r="L201" s="308"/>
      <c r="M201" s="308"/>
      <c r="N201" s="308"/>
      <c r="O201" s="308"/>
      <c r="P201" s="308"/>
      <c r="Q201" s="308"/>
      <c r="R201" s="308"/>
      <c r="S201" s="308"/>
      <c r="T201" s="308"/>
      <c r="U201" s="308"/>
      <c r="V201" s="308"/>
    </row>
    <row r="202" spans="10:22" ht="11.4">
      <c r="J202" s="308"/>
      <c r="K202" s="308"/>
      <c r="L202" s="308"/>
      <c r="M202" s="308"/>
      <c r="N202" s="308"/>
      <c r="O202" s="308"/>
      <c r="P202" s="308"/>
      <c r="Q202" s="308"/>
      <c r="R202" s="308"/>
      <c r="S202" s="308"/>
      <c r="T202" s="308"/>
      <c r="U202" s="308"/>
      <c r="V202" s="308"/>
    </row>
    <row r="203" spans="10:22" ht="11.4">
      <c r="J203" s="308"/>
      <c r="K203" s="308"/>
      <c r="L203" s="308"/>
      <c r="M203" s="308"/>
      <c r="N203" s="308"/>
      <c r="O203" s="308"/>
      <c r="P203" s="308"/>
      <c r="Q203" s="308"/>
      <c r="R203" s="308"/>
      <c r="S203" s="308"/>
      <c r="T203" s="308"/>
      <c r="U203" s="308"/>
      <c r="V203" s="308"/>
    </row>
    <row r="204" spans="10:22" ht="11.4">
      <c r="J204" s="308"/>
      <c r="K204" s="308"/>
      <c r="L204" s="308"/>
      <c r="M204" s="308"/>
      <c r="N204" s="308"/>
      <c r="O204" s="308"/>
      <c r="P204" s="308"/>
      <c r="Q204" s="308"/>
      <c r="R204" s="308"/>
      <c r="S204" s="308"/>
      <c r="T204" s="308"/>
      <c r="U204" s="308"/>
      <c r="V204" s="308"/>
    </row>
    <row r="205" spans="10:22" ht="11.4">
      <c r="J205" s="308"/>
      <c r="K205" s="308"/>
      <c r="L205" s="308"/>
      <c r="M205" s="308"/>
      <c r="N205" s="308"/>
      <c r="O205" s="308"/>
      <c r="P205" s="308"/>
      <c r="Q205" s="308"/>
      <c r="R205" s="308"/>
      <c r="S205" s="308"/>
      <c r="T205" s="308"/>
      <c r="U205" s="308"/>
      <c r="V205" s="308"/>
    </row>
    <row r="206" spans="10:22" ht="11.4">
      <c r="J206" s="308"/>
      <c r="K206" s="308"/>
      <c r="L206" s="308"/>
      <c r="M206" s="308"/>
      <c r="N206" s="308"/>
      <c r="O206" s="308"/>
      <c r="P206" s="308"/>
      <c r="Q206" s="308"/>
      <c r="R206" s="308"/>
      <c r="S206" s="308"/>
      <c r="T206" s="308"/>
      <c r="U206" s="308"/>
      <c r="V206" s="308"/>
    </row>
    <row r="207" spans="10:22" ht="11.4">
      <c r="J207" s="308"/>
      <c r="K207" s="308"/>
      <c r="L207" s="308"/>
      <c r="M207" s="308"/>
      <c r="N207" s="308"/>
      <c r="O207" s="308"/>
      <c r="P207" s="308"/>
      <c r="Q207" s="308"/>
      <c r="R207" s="308"/>
      <c r="S207" s="308"/>
      <c r="T207" s="308"/>
      <c r="U207" s="308"/>
      <c r="V207" s="308"/>
    </row>
    <row r="208" spans="10:22" ht="11.4">
      <c r="J208" s="308"/>
      <c r="K208" s="308"/>
      <c r="L208" s="308"/>
      <c r="M208" s="308"/>
      <c r="N208" s="308"/>
      <c r="O208" s="308"/>
      <c r="P208" s="308"/>
      <c r="Q208" s="308"/>
      <c r="R208" s="308"/>
      <c r="S208" s="308"/>
      <c r="T208" s="308"/>
      <c r="U208" s="308"/>
      <c r="V208" s="308"/>
    </row>
    <row r="209" spans="10:22" ht="11.4">
      <c r="J209" s="308"/>
      <c r="K209" s="308"/>
      <c r="L209" s="308"/>
      <c r="M209" s="308"/>
      <c r="N209" s="308"/>
      <c r="O209" s="308"/>
      <c r="P209" s="308"/>
      <c r="Q209" s="308"/>
      <c r="R209" s="308"/>
      <c r="S209" s="308"/>
      <c r="T209" s="308"/>
      <c r="U209" s="308"/>
      <c r="V209" s="308"/>
    </row>
    <row r="210" spans="10:22" ht="11.4">
      <c r="J210" s="308"/>
      <c r="K210" s="308"/>
      <c r="L210" s="308"/>
      <c r="M210" s="308"/>
      <c r="N210" s="308"/>
      <c r="O210" s="308"/>
      <c r="P210" s="308"/>
      <c r="Q210" s="308"/>
      <c r="R210" s="308"/>
      <c r="S210" s="308"/>
      <c r="T210" s="308"/>
      <c r="U210" s="308"/>
      <c r="V210" s="308"/>
    </row>
    <row r="211" spans="10:22" ht="11.4">
      <c r="J211" s="308"/>
      <c r="K211" s="308"/>
      <c r="L211" s="308"/>
      <c r="M211" s="308"/>
      <c r="N211" s="308"/>
      <c r="O211" s="308"/>
      <c r="P211" s="308"/>
      <c r="Q211" s="308"/>
      <c r="R211" s="308"/>
      <c r="S211" s="308"/>
      <c r="T211" s="308"/>
      <c r="U211" s="308"/>
      <c r="V211" s="308"/>
    </row>
    <row r="212" spans="10:22" ht="11.4">
      <c r="J212" s="308"/>
      <c r="K212" s="308"/>
      <c r="L212" s="308"/>
      <c r="M212" s="308"/>
      <c r="N212" s="308"/>
      <c r="O212" s="308"/>
      <c r="P212" s="308"/>
      <c r="Q212" s="308"/>
      <c r="R212" s="308"/>
      <c r="S212" s="308"/>
      <c r="T212" s="308"/>
      <c r="U212" s="308"/>
      <c r="V212" s="308"/>
    </row>
    <row r="213" spans="10:22" ht="11.4">
      <c r="J213" s="308"/>
      <c r="K213" s="308"/>
      <c r="L213" s="308"/>
      <c r="M213" s="308"/>
      <c r="N213" s="308"/>
      <c r="O213" s="308"/>
      <c r="P213" s="308"/>
      <c r="Q213" s="308"/>
      <c r="R213" s="308"/>
      <c r="S213" s="308"/>
      <c r="T213" s="308"/>
      <c r="U213" s="308"/>
      <c r="V213" s="308"/>
    </row>
    <row r="214" spans="10:22" ht="11.4">
      <c r="J214" s="308"/>
      <c r="K214" s="308"/>
      <c r="L214" s="308"/>
      <c r="M214" s="308"/>
      <c r="N214" s="308"/>
      <c r="O214" s="308"/>
      <c r="P214" s="308"/>
      <c r="Q214" s="308"/>
      <c r="R214" s="308"/>
      <c r="S214" s="308"/>
      <c r="T214" s="308"/>
      <c r="U214" s="308"/>
      <c r="V214" s="308"/>
    </row>
    <row r="215" spans="10:22" ht="11.4">
      <c r="J215" s="308"/>
      <c r="K215" s="308"/>
      <c r="L215" s="308"/>
      <c r="M215" s="308"/>
      <c r="N215" s="308"/>
      <c r="O215" s="308"/>
      <c r="P215" s="308"/>
      <c r="Q215" s="308"/>
      <c r="R215" s="308"/>
      <c r="S215" s="308"/>
      <c r="T215" s="308"/>
      <c r="U215" s="308"/>
      <c r="V215" s="308"/>
    </row>
    <row r="216" spans="10:22" ht="11.4">
      <c r="J216" s="308"/>
      <c r="K216" s="308"/>
      <c r="L216" s="308"/>
      <c r="M216" s="308"/>
      <c r="N216" s="308"/>
      <c r="O216" s="308"/>
      <c r="P216" s="308"/>
      <c r="Q216" s="308"/>
      <c r="R216" s="308"/>
      <c r="S216" s="308"/>
      <c r="T216" s="308"/>
      <c r="U216" s="308"/>
      <c r="V216" s="308"/>
    </row>
    <row r="217" spans="10:22" ht="11.4">
      <c r="J217" s="308"/>
      <c r="K217" s="308"/>
      <c r="L217" s="308"/>
      <c r="M217" s="308"/>
      <c r="N217" s="308"/>
      <c r="O217" s="308"/>
      <c r="P217" s="308"/>
      <c r="Q217" s="308"/>
      <c r="R217" s="308"/>
      <c r="S217" s="308"/>
      <c r="T217" s="308"/>
      <c r="U217" s="308"/>
      <c r="V217" s="308"/>
    </row>
    <row r="218" spans="10:22" ht="11.4">
      <c r="J218" s="308"/>
      <c r="K218" s="308"/>
      <c r="L218" s="308"/>
      <c r="M218" s="308"/>
      <c r="N218" s="308"/>
      <c r="O218" s="308"/>
      <c r="P218" s="308"/>
      <c r="Q218" s="308"/>
      <c r="R218" s="308"/>
      <c r="S218" s="308"/>
      <c r="T218" s="308"/>
      <c r="U218" s="308"/>
      <c r="V218" s="308"/>
    </row>
    <row r="219" spans="10:22" ht="11.4">
      <c r="J219" s="308"/>
      <c r="K219" s="308"/>
      <c r="L219" s="308"/>
      <c r="M219" s="308"/>
      <c r="N219" s="308"/>
      <c r="O219" s="308"/>
      <c r="P219" s="308"/>
      <c r="Q219" s="308"/>
      <c r="R219" s="308"/>
      <c r="S219" s="308"/>
      <c r="T219" s="308"/>
      <c r="U219" s="308"/>
      <c r="V219" s="308"/>
    </row>
    <row r="220" spans="10:22" ht="11.4">
      <c r="J220" s="308"/>
      <c r="K220" s="308"/>
      <c r="L220" s="308"/>
      <c r="M220" s="308"/>
      <c r="N220" s="308"/>
      <c r="O220" s="308"/>
      <c r="P220" s="308"/>
      <c r="Q220" s="308"/>
      <c r="R220" s="308"/>
      <c r="S220" s="308"/>
      <c r="T220" s="308"/>
      <c r="U220" s="308"/>
      <c r="V220" s="308"/>
    </row>
    <row r="221" spans="10:22" ht="11.4">
      <c r="J221" s="308"/>
      <c r="K221" s="308"/>
      <c r="L221" s="308"/>
      <c r="M221" s="308"/>
      <c r="N221" s="308"/>
      <c r="O221" s="308"/>
      <c r="P221" s="308"/>
      <c r="Q221" s="308"/>
      <c r="R221" s="308"/>
      <c r="S221" s="308"/>
      <c r="T221" s="308"/>
      <c r="U221" s="308"/>
      <c r="V221" s="308"/>
    </row>
    <row r="222" spans="10:22" ht="11.4">
      <c r="J222" s="308"/>
      <c r="K222" s="308"/>
      <c r="L222" s="308"/>
      <c r="M222" s="308"/>
      <c r="N222" s="308"/>
      <c r="O222" s="308"/>
      <c r="P222" s="308"/>
      <c r="Q222" s="308"/>
      <c r="R222" s="308"/>
      <c r="S222" s="308"/>
      <c r="T222" s="308"/>
      <c r="U222" s="308"/>
      <c r="V222" s="308"/>
    </row>
    <row r="223" spans="10:22" ht="11.4">
      <c r="J223" s="308"/>
      <c r="K223" s="308"/>
      <c r="L223" s="308"/>
      <c r="M223" s="308"/>
      <c r="N223" s="308"/>
      <c r="O223" s="308"/>
      <c r="P223" s="308"/>
      <c r="Q223" s="308"/>
      <c r="R223" s="308"/>
      <c r="S223" s="308"/>
      <c r="T223" s="308"/>
      <c r="U223" s="308"/>
      <c r="V223" s="308"/>
    </row>
    <row r="224" spans="10:22" ht="11.4">
      <c r="J224" s="308"/>
      <c r="K224" s="308"/>
      <c r="L224" s="308"/>
      <c r="M224" s="308"/>
      <c r="N224" s="308"/>
      <c r="O224" s="308"/>
      <c r="P224" s="308"/>
      <c r="Q224" s="308"/>
      <c r="R224" s="308"/>
      <c r="S224" s="308"/>
      <c r="T224" s="308"/>
      <c r="U224" s="308"/>
      <c r="V224" s="308"/>
    </row>
    <row r="225" spans="10:22" ht="11.4">
      <c r="J225" s="308"/>
      <c r="K225" s="308"/>
      <c r="L225" s="308"/>
      <c r="M225" s="308"/>
      <c r="N225" s="308"/>
      <c r="O225" s="308"/>
      <c r="P225" s="308"/>
      <c r="Q225" s="308"/>
      <c r="R225" s="308"/>
      <c r="S225" s="308"/>
      <c r="T225" s="308"/>
      <c r="U225" s="308"/>
      <c r="V225" s="308"/>
    </row>
    <row r="226" spans="10:22" ht="11.4">
      <c r="J226" s="308"/>
      <c r="K226" s="308"/>
      <c r="L226" s="308"/>
      <c r="M226" s="308"/>
      <c r="N226" s="308"/>
      <c r="O226" s="308"/>
      <c r="P226" s="308"/>
      <c r="Q226" s="308"/>
      <c r="R226" s="308"/>
      <c r="S226" s="308"/>
      <c r="T226" s="308"/>
      <c r="U226" s="308"/>
      <c r="V226" s="308"/>
    </row>
    <row r="227" spans="10:22" ht="11.4">
      <c r="J227" s="308"/>
      <c r="K227" s="308"/>
      <c r="L227" s="308"/>
      <c r="M227" s="308"/>
      <c r="N227" s="308"/>
      <c r="O227" s="308"/>
      <c r="P227" s="308"/>
      <c r="Q227" s="308"/>
      <c r="R227" s="308"/>
      <c r="S227" s="308"/>
      <c r="T227" s="308"/>
      <c r="U227" s="308"/>
      <c r="V227" s="308"/>
    </row>
    <row r="228" spans="10:22" ht="11.4">
      <c r="J228" s="308"/>
      <c r="K228" s="308"/>
      <c r="L228" s="308"/>
      <c r="M228" s="308"/>
      <c r="N228" s="308"/>
      <c r="O228" s="308"/>
      <c r="P228" s="308"/>
      <c r="Q228" s="308"/>
      <c r="R228" s="308"/>
      <c r="S228" s="308"/>
      <c r="T228" s="308"/>
      <c r="U228" s="308"/>
      <c r="V228" s="308"/>
    </row>
    <row r="229" spans="10:22" ht="11.4">
      <c r="J229" s="308"/>
      <c r="K229" s="308"/>
      <c r="L229" s="308"/>
      <c r="M229" s="308"/>
      <c r="N229" s="308"/>
      <c r="O229" s="308"/>
      <c r="P229" s="308"/>
      <c r="Q229" s="308"/>
      <c r="R229" s="308"/>
      <c r="S229" s="308"/>
      <c r="T229" s="308"/>
      <c r="U229" s="308"/>
      <c r="V229" s="308"/>
    </row>
    <row r="230" spans="10:22" ht="11.4">
      <c r="J230" s="308"/>
      <c r="K230" s="308"/>
      <c r="L230" s="308"/>
      <c r="M230" s="308"/>
      <c r="N230" s="308"/>
      <c r="O230" s="308"/>
      <c r="P230" s="308"/>
      <c r="Q230" s="308"/>
      <c r="R230" s="308"/>
      <c r="S230" s="308"/>
      <c r="T230" s="308"/>
      <c r="U230" s="308"/>
      <c r="V230" s="308"/>
    </row>
    <row r="231" spans="10:22" ht="11.4">
      <c r="J231" s="308"/>
      <c r="K231" s="308"/>
      <c r="L231" s="308"/>
      <c r="M231" s="308"/>
      <c r="N231" s="308"/>
      <c r="O231" s="308"/>
      <c r="P231" s="308"/>
      <c r="Q231" s="308"/>
      <c r="R231" s="308"/>
      <c r="S231" s="308"/>
      <c r="T231" s="308"/>
      <c r="U231" s="308"/>
      <c r="V231" s="308"/>
    </row>
    <row r="232" spans="10:22" ht="11.4">
      <c r="J232" s="308"/>
      <c r="K232" s="308"/>
      <c r="L232" s="308"/>
      <c r="M232" s="308"/>
      <c r="N232" s="308"/>
      <c r="O232" s="308"/>
      <c r="P232" s="308"/>
      <c r="Q232" s="308"/>
      <c r="R232" s="308"/>
      <c r="S232" s="308"/>
      <c r="T232" s="308"/>
      <c r="U232" s="308"/>
      <c r="V232" s="308"/>
    </row>
    <row r="233" spans="10:22" ht="11.4">
      <c r="J233" s="308"/>
      <c r="K233" s="308"/>
      <c r="L233" s="308"/>
      <c r="M233" s="308"/>
      <c r="N233" s="308"/>
      <c r="O233" s="308"/>
      <c r="P233" s="308"/>
      <c r="Q233" s="308"/>
      <c r="R233" s="308"/>
      <c r="S233" s="308"/>
      <c r="T233" s="308"/>
      <c r="U233" s="308"/>
      <c r="V233" s="308"/>
    </row>
    <row r="234" spans="10:22" ht="11.4">
      <c r="J234" s="308"/>
      <c r="K234" s="308"/>
      <c r="L234" s="308"/>
      <c r="M234" s="308"/>
      <c r="N234" s="308"/>
      <c r="O234" s="308"/>
      <c r="P234" s="308"/>
      <c r="Q234" s="308"/>
      <c r="R234" s="308"/>
      <c r="S234" s="308"/>
      <c r="T234" s="308"/>
      <c r="U234" s="308"/>
      <c r="V234" s="308"/>
    </row>
    <row r="235" spans="10:22" ht="11.4">
      <c r="J235" s="308"/>
      <c r="K235" s="308"/>
      <c r="L235" s="308"/>
      <c r="M235" s="308"/>
      <c r="N235" s="308"/>
      <c r="O235" s="308"/>
      <c r="P235" s="308"/>
      <c r="Q235" s="308"/>
      <c r="R235" s="308"/>
      <c r="S235" s="308"/>
      <c r="T235" s="308"/>
      <c r="U235" s="308"/>
      <c r="V235" s="308"/>
    </row>
    <row r="236" spans="10:22" ht="11.4">
      <c r="J236" s="308"/>
      <c r="K236" s="308"/>
      <c r="L236" s="308"/>
      <c r="M236" s="308"/>
      <c r="N236" s="308"/>
      <c r="O236" s="308"/>
      <c r="P236" s="308"/>
      <c r="Q236" s="308"/>
      <c r="R236" s="308"/>
      <c r="S236" s="308"/>
      <c r="T236" s="308"/>
      <c r="U236" s="308"/>
      <c r="V236" s="308"/>
    </row>
    <row r="237" spans="10:22" ht="11.4">
      <c r="J237" s="308"/>
      <c r="K237" s="308"/>
      <c r="L237" s="308"/>
      <c r="M237" s="308"/>
      <c r="N237" s="308"/>
      <c r="O237" s="308"/>
      <c r="P237" s="308"/>
      <c r="Q237" s="308"/>
      <c r="R237" s="308"/>
      <c r="S237" s="308"/>
      <c r="T237" s="308"/>
      <c r="U237" s="308"/>
      <c r="V237" s="308"/>
    </row>
    <row r="238" spans="10:22" ht="11.4">
      <c r="J238" s="308"/>
      <c r="K238" s="308"/>
      <c r="L238" s="308"/>
      <c r="M238" s="308"/>
      <c r="N238" s="308"/>
      <c r="O238" s="308"/>
      <c r="P238" s="308"/>
      <c r="Q238" s="308"/>
      <c r="R238" s="308"/>
      <c r="S238" s="308"/>
      <c r="T238" s="308"/>
      <c r="U238" s="308"/>
      <c r="V238" s="308"/>
    </row>
    <row r="239" spans="10:22" ht="11.4">
      <c r="J239" s="308"/>
      <c r="K239" s="308"/>
      <c r="L239" s="308"/>
      <c r="M239" s="308"/>
      <c r="N239" s="308"/>
      <c r="O239" s="308"/>
      <c r="P239" s="308"/>
      <c r="Q239" s="308"/>
      <c r="R239" s="308"/>
      <c r="S239" s="308"/>
      <c r="T239" s="308"/>
      <c r="U239" s="308"/>
      <c r="V239" s="308"/>
    </row>
    <row r="240" spans="10:22" ht="11.4">
      <c r="J240" s="308"/>
      <c r="K240" s="308"/>
      <c r="L240" s="308"/>
      <c r="M240" s="308"/>
      <c r="N240" s="308"/>
      <c r="O240" s="308"/>
      <c r="P240" s="308"/>
      <c r="Q240" s="308"/>
      <c r="R240" s="308"/>
      <c r="S240" s="308"/>
      <c r="T240" s="308"/>
      <c r="U240" s="308"/>
      <c r="V240" s="308"/>
    </row>
    <row r="241" spans="10:22" ht="11.4">
      <c r="J241" s="308"/>
      <c r="K241" s="308"/>
      <c r="L241" s="308"/>
      <c r="M241" s="308"/>
      <c r="N241" s="308"/>
      <c r="O241" s="308"/>
      <c r="P241" s="308"/>
      <c r="Q241" s="308"/>
      <c r="R241" s="308"/>
      <c r="S241" s="308"/>
      <c r="T241" s="308"/>
      <c r="U241" s="308"/>
      <c r="V241" s="308"/>
    </row>
    <row r="242" spans="10:22" ht="11.4">
      <c r="J242" s="308"/>
      <c r="K242" s="308"/>
      <c r="L242" s="308"/>
      <c r="M242" s="308"/>
      <c r="N242" s="308"/>
      <c r="O242" s="308"/>
      <c r="P242" s="308"/>
      <c r="Q242" s="308"/>
      <c r="R242" s="308"/>
      <c r="S242" s="308"/>
      <c r="T242" s="308"/>
      <c r="U242" s="308"/>
      <c r="V242" s="308"/>
    </row>
    <row r="243" spans="10:22" ht="11.4">
      <c r="J243" s="308"/>
      <c r="K243" s="308"/>
      <c r="L243" s="308"/>
      <c r="M243" s="308"/>
      <c r="N243" s="308"/>
      <c r="O243" s="308"/>
      <c r="P243" s="308"/>
      <c r="Q243" s="308"/>
      <c r="R243" s="308"/>
      <c r="S243" s="308"/>
      <c r="T243" s="308"/>
      <c r="U243" s="308"/>
      <c r="V243" s="308"/>
    </row>
    <row r="244" spans="10:22" ht="11.4">
      <c r="J244" s="308"/>
      <c r="K244" s="308"/>
      <c r="L244" s="308"/>
      <c r="M244" s="308"/>
      <c r="N244" s="308"/>
      <c r="O244" s="308"/>
      <c r="P244" s="308"/>
      <c r="Q244" s="308"/>
      <c r="R244" s="308"/>
      <c r="S244" s="308"/>
      <c r="T244" s="308"/>
      <c r="U244" s="308"/>
      <c r="V244" s="308"/>
    </row>
    <row r="245" spans="10:22" ht="11.4">
      <c r="J245" s="308"/>
      <c r="K245" s="308"/>
      <c r="L245" s="308"/>
      <c r="M245" s="308"/>
      <c r="N245" s="308"/>
      <c r="O245" s="308"/>
      <c r="P245" s="308"/>
      <c r="Q245" s="308"/>
      <c r="R245" s="308"/>
      <c r="S245" s="308"/>
      <c r="T245" s="308"/>
      <c r="U245" s="308"/>
      <c r="V245" s="308"/>
    </row>
    <row r="246" spans="10:22" ht="11.4">
      <c r="J246" s="308"/>
      <c r="K246" s="308"/>
      <c r="L246" s="308"/>
      <c r="M246" s="308"/>
      <c r="N246" s="308"/>
      <c r="O246" s="308"/>
      <c r="P246" s="308"/>
      <c r="Q246" s="308"/>
      <c r="R246" s="308"/>
      <c r="S246" s="308"/>
      <c r="T246" s="308"/>
      <c r="U246" s="308"/>
      <c r="V246" s="308"/>
    </row>
    <row r="247" spans="10:22" ht="11.4">
      <c r="J247" s="308"/>
      <c r="K247" s="308"/>
      <c r="L247" s="308"/>
      <c r="M247" s="308"/>
      <c r="N247" s="308"/>
      <c r="O247" s="308"/>
      <c r="P247" s="308"/>
      <c r="Q247" s="308"/>
      <c r="R247" s="308"/>
      <c r="S247" s="308"/>
      <c r="T247" s="308"/>
      <c r="U247" s="308"/>
      <c r="V247" s="308"/>
    </row>
    <row r="248" spans="10:22" ht="11.4">
      <c r="J248" s="308"/>
      <c r="K248" s="308"/>
      <c r="L248" s="308"/>
      <c r="M248" s="308"/>
      <c r="N248" s="308"/>
      <c r="O248" s="308"/>
      <c r="P248" s="308"/>
      <c r="Q248" s="308"/>
      <c r="R248" s="308"/>
      <c r="S248" s="308"/>
      <c r="T248" s="308"/>
      <c r="U248" s="308"/>
      <c r="V248" s="308"/>
    </row>
    <row r="249" spans="10:22" ht="11.4">
      <c r="J249" s="308"/>
      <c r="K249" s="308"/>
      <c r="L249" s="308"/>
      <c r="M249" s="308"/>
      <c r="N249" s="308"/>
      <c r="O249" s="308"/>
      <c r="P249" s="308"/>
      <c r="Q249" s="308"/>
      <c r="R249" s="308"/>
      <c r="S249" s="308"/>
      <c r="T249" s="308"/>
      <c r="U249" s="308"/>
      <c r="V249" s="308"/>
    </row>
    <row r="250" spans="10:22" ht="11.4">
      <c r="J250" s="308"/>
      <c r="K250" s="308"/>
      <c r="L250" s="308"/>
      <c r="M250" s="308"/>
      <c r="N250" s="308"/>
      <c r="O250" s="308"/>
      <c r="P250" s="308"/>
      <c r="Q250" s="308"/>
      <c r="R250" s="308"/>
      <c r="S250" s="308"/>
      <c r="T250" s="308"/>
      <c r="U250" s="308"/>
      <c r="V250" s="308"/>
    </row>
    <row r="251" spans="10:22" ht="11.4">
      <c r="J251" s="308"/>
      <c r="K251" s="308"/>
      <c r="L251" s="308"/>
      <c r="M251" s="308"/>
      <c r="N251" s="308"/>
      <c r="O251" s="308"/>
      <c r="P251" s="308"/>
      <c r="Q251" s="308"/>
      <c r="R251" s="308"/>
      <c r="S251" s="308"/>
      <c r="T251" s="308"/>
      <c r="U251" s="308"/>
      <c r="V251" s="308"/>
    </row>
    <row r="252" spans="10:22" ht="11.4">
      <c r="J252" s="308"/>
      <c r="K252" s="308"/>
      <c r="L252" s="308"/>
      <c r="M252" s="308"/>
      <c r="N252" s="308"/>
      <c r="O252" s="308"/>
      <c r="P252" s="308"/>
      <c r="Q252" s="308"/>
      <c r="R252" s="308"/>
      <c r="S252" s="308"/>
      <c r="T252" s="308"/>
      <c r="U252" s="308"/>
      <c r="V252" s="308"/>
    </row>
    <row r="253" spans="10:22" ht="11.4">
      <c r="J253" s="308"/>
      <c r="K253" s="308"/>
      <c r="L253" s="308"/>
      <c r="M253" s="308"/>
      <c r="N253" s="308"/>
      <c r="O253" s="308"/>
      <c r="P253" s="308"/>
      <c r="Q253" s="308"/>
      <c r="R253" s="308"/>
      <c r="S253" s="308"/>
      <c r="T253" s="308"/>
      <c r="U253" s="308"/>
      <c r="V253" s="308"/>
    </row>
    <row r="254" spans="10:22" ht="11.4">
      <c r="J254" s="308"/>
      <c r="K254" s="308"/>
      <c r="L254" s="308"/>
      <c r="M254" s="308"/>
      <c r="N254" s="308"/>
      <c r="O254" s="308"/>
      <c r="P254" s="308"/>
      <c r="Q254" s="308"/>
      <c r="R254" s="308"/>
      <c r="S254" s="308"/>
      <c r="T254" s="308"/>
      <c r="U254" s="308"/>
      <c r="V254" s="308"/>
    </row>
    <row r="255" spans="10:22" ht="11.4">
      <c r="J255" s="308"/>
      <c r="K255" s="308"/>
      <c r="L255" s="308"/>
      <c r="M255" s="308"/>
      <c r="N255" s="308"/>
      <c r="O255" s="308"/>
      <c r="P255" s="308"/>
      <c r="Q255" s="308"/>
      <c r="R255" s="308"/>
      <c r="S255" s="308"/>
      <c r="T255" s="308"/>
      <c r="U255" s="308"/>
      <c r="V255" s="308"/>
    </row>
    <row r="256" spans="10:22" ht="11.4">
      <c r="J256" s="308"/>
      <c r="K256" s="308"/>
      <c r="L256" s="308"/>
      <c r="M256" s="308"/>
      <c r="N256" s="308"/>
      <c r="O256" s="308"/>
      <c r="P256" s="308"/>
      <c r="Q256" s="308"/>
      <c r="R256" s="308"/>
      <c r="S256" s="308"/>
      <c r="T256" s="308"/>
      <c r="U256" s="308"/>
      <c r="V256" s="308"/>
    </row>
    <row r="257" spans="10:22" ht="11.4">
      <c r="J257" s="308"/>
      <c r="K257" s="308"/>
      <c r="L257" s="308"/>
      <c r="M257" s="308"/>
      <c r="N257" s="308"/>
      <c r="O257" s="308"/>
      <c r="P257" s="308"/>
      <c r="Q257" s="308"/>
      <c r="R257" s="308"/>
      <c r="S257" s="308"/>
      <c r="T257" s="308"/>
      <c r="U257" s="308"/>
      <c r="V257" s="308"/>
    </row>
    <row r="258" spans="10:22" ht="11.4">
      <c r="J258" s="308"/>
      <c r="K258" s="308"/>
      <c r="L258" s="308"/>
      <c r="M258" s="308"/>
      <c r="N258" s="308"/>
      <c r="O258" s="308"/>
      <c r="P258" s="308"/>
      <c r="Q258" s="308"/>
      <c r="R258" s="308"/>
      <c r="S258" s="308"/>
      <c r="T258" s="308"/>
      <c r="U258" s="308"/>
      <c r="V258" s="308"/>
    </row>
    <row r="259" spans="10:22" ht="11.4">
      <c r="J259" s="308"/>
      <c r="K259" s="308"/>
      <c r="L259" s="308"/>
      <c r="M259" s="308"/>
      <c r="N259" s="308"/>
      <c r="O259" s="308"/>
      <c r="P259" s="308"/>
      <c r="Q259" s="308"/>
      <c r="R259" s="308"/>
      <c r="S259" s="308"/>
      <c r="T259" s="308"/>
      <c r="U259" s="308"/>
      <c r="V259" s="308"/>
    </row>
    <row r="260" spans="10:22" ht="11.4">
      <c r="J260" s="308"/>
      <c r="K260" s="308"/>
      <c r="L260" s="308"/>
      <c r="M260" s="308"/>
      <c r="N260" s="308"/>
      <c r="O260" s="308"/>
      <c r="P260" s="308"/>
      <c r="Q260" s="308"/>
      <c r="R260" s="308"/>
      <c r="S260" s="308"/>
      <c r="T260" s="308"/>
      <c r="U260" s="308"/>
      <c r="V260" s="308"/>
    </row>
    <row r="261" spans="10:22" ht="11.4">
      <c r="J261" s="308"/>
      <c r="K261" s="308"/>
      <c r="L261" s="308"/>
      <c r="M261" s="308"/>
      <c r="N261" s="308"/>
      <c r="O261" s="308"/>
      <c r="P261" s="308"/>
      <c r="Q261" s="308"/>
      <c r="R261" s="308"/>
      <c r="S261" s="308"/>
      <c r="T261" s="308"/>
      <c r="U261" s="308"/>
      <c r="V261" s="308"/>
    </row>
    <row r="262" spans="10:22" ht="11.4">
      <c r="J262" s="308"/>
      <c r="K262" s="308"/>
      <c r="L262" s="308"/>
      <c r="M262" s="308"/>
      <c r="N262" s="308"/>
      <c r="O262" s="308"/>
      <c r="P262" s="308"/>
      <c r="Q262" s="308"/>
      <c r="R262" s="308"/>
      <c r="S262" s="308"/>
      <c r="T262" s="308"/>
      <c r="U262" s="308"/>
      <c r="V262" s="308"/>
    </row>
    <row r="263" spans="10:22" ht="11.4">
      <c r="J263" s="308"/>
      <c r="K263" s="308"/>
      <c r="L263" s="308"/>
      <c r="M263" s="308"/>
      <c r="N263" s="308"/>
      <c r="O263" s="308"/>
      <c r="P263" s="308"/>
      <c r="Q263" s="308"/>
      <c r="R263" s="308"/>
      <c r="S263" s="308"/>
      <c r="T263" s="308"/>
      <c r="U263" s="308"/>
      <c r="V263" s="308"/>
    </row>
    <row r="264" spans="10:22" ht="11.4">
      <c r="J264" s="308"/>
      <c r="K264" s="308"/>
      <c r="L264" s="308"/>
      <c r="M264" s="308"/>
      <c r="N264" s="308"/>
      <c r="O264" s="308"/>
      <c r="P264" s="308"/>
      <c r="Q264" s="308"/>
      <c r="R264" s="308"/>
      <c r="S264" s="308"/>
      <c r="T264" s="308"/>
      <c r="U264" s="308"/>
      <c r="V264" s="308"/>
    </row>
    <row r="265" spans="10:22" ht="11.4">
      <c r="J265" s="308"/>
      <c r="K265" s="308"/>
      <c r="L265" s="308"/>
      <c r="M265" s="308"/>
      <c r="N265" s="308"/>
      <c r="O265" s="308"/>
      <c r="P265" s="308"/>
      <c r="Q265" s="308"/>
      <c r="R265" s="308"/>
      <c r="S265" s="308"/>
      <c r="T265" s="308"/>
      <c r="U265" s="308"/>
      <c r="V265" s="308"/>
    </row>
    <row r="266" spans="10:22" ht="11.4">
      <c r="J266" s="308"/>
      <c r="K266" s="308"/>
      <c r="L266" s="308"/>
      <c r="M266" s="308"/>
      <c r="N266" s="308"/>
      <c r="O266" s="308"/>
      <c r="P266" s="308"/>
      <c r="Q266" s="308"/>
      <c r="R266" s="308"/>
      <c r="S266" s="308"/>
      <c r="T266" s="308"/>
      <c r="U266" s="308"/>
      <c r="V266" s="308"/>
    </row>
    <row r="267" spans="10:22" ht="11.4">
      <c r="J267" s="308"/>
      <c r="K267" s="308"/>
      <c r="L267" s="308"/>
      <c r="M267" s="308"/>
      <c r="N267" s="308"/>
      <c r="O267" s="308"/>
      <c r="P267" s="308"/>
      <c r="Q267" s="308"/>
      <c r="R267" s="308"/>
      <c r="S267" s="308"/>
      <c r="T267" s="308"/>
      <c r="U267" s="308"/>
      <c r="V267" s="308"/>
    </row>
    <row r="268" spans="10:22" ht="11.4">
      <c r="J268" s="308"/>
      <c r="K268" s="308"/>
      <c r="L268" s="308"/>
      <c r="M268" s="308"/>
      <c r="N268" s="308"/>
      <c r="O268" s="308"/>
      <c r="P268" s="308"/>
      <c r="Q268" s="308"/>
      <c r="R268" s="308"/>
      <c r="S268" s="308"/>
      <c r="T268" s="308"/>
      <c r="U268" s="308"/>
      <c r="V268" s="308"/>
    </row>
    <row r="269" spans="10:22" ht="11.4">
      <c r="J269" s="308"/>
      <c r="K269" s="308"/>
      <c r="L269" s="308"/>
      <c r="M269" s="308"/>
      <c r="N269" s="308"/>
      <c r="O269" s="308"/>
      <c r="P269" s="308"/>
      <c r="Q269" s="308"/>
      <c r="R269" s="308"/>
      <c r="S269" s="308"/>
      <c r="T269" s="308"/>
      <c r="U269" s="308"/>
      <c r="V269" s="308"/>
    </row>
    <row r="270" spans="10:22" ht="11.4">
      <c r="J270" s="308"/>
      <c r="K270" s="308"/>
      <c r="L270" s="308"/>
      <c r="M270" s="308"/>
      <c r="N270" s="308"/>
      <c r="O270" s="308"/>
      <c r="P270" s="308"/>
      <c r="Q270" s="308"/>
      <c r="R270" s="308"/>
      <c r="S270" s="308"/>
      <c r="T270" s="308"/>
      <c r="U270" s="308"/>
      <c r="V270" s="308"/>
    </row>
    <row r="271" spans="10:22" ht="11.4">
      <c r="J271" s="308"/>
      <c r="K271" s="308"/>
      <c r="L271" s="308"/>
      <c r="M271" s="308"/>
      <c r="N271" s="308"/>
      <c r="O271" s="308"/>
      <c r="P271" s="308"/>
      <c r="Q271" s="308"/>
      <c r="R271" s="308"/>
      <c r="S271" s="308"/>
      <c r="T271" s="308"/>
      <c r="U271" s="308"/>
      <c r="V271" s="308"/>
    </row>
  </sheetData>
  <sheetProtection sheet="1" formatCells="0" formatColumns="0" formatRows="0"/>
  <mergeCells count="18">
    <mergeCell ref="G3:I3"/>
    <mergeCell ref="B3:D3"/>
    <mergeCell ref="D4:I4"/>
    <mergeCell ref="E6:G6"/>
    <mergeCell ref="F5:H5"/>
    <mergeCell ref="I5:I7"/>
    <mergeCell ref="B5:C5"/>
    <mergeCell ref="K5:K7"/>
    <mergeCell ref="A27:I27"/>
    <mergeCell ref="B20:B21"/>
    <mergeCell ref="D5:E5"/>
    <mergeCell ref="A17:B19"/>
    <mergeCell ref="A11:A12"/>
    <mergeCell ref="A14:B16"/>
    <mergeCell ref="E7:G7"/>
    <mergeCell ref="E15:I24"/>
    <mergeCell ref="C20:C21"/>
    <mergeCell ref="D20:D21"/>
  </mergeCells>
  <dataValidations count="1">
    <dataValidation type="decimal" operator="greaterThanOrEqual" allowBlank="1" showInputMessage="1" showErrorMessage="1" errorTitle="Error" error="Value must be a number." sqref="B12:D12" xr:uid="{00000000-0002-0000-0A00-000000000000}">
      <formula1>0</formula1>
    </dataValidation>
  </dataValidations>
  <hyperlinks>
    <hyperlink ref="A9" location="Summ_Page1_StudentCount" display="1.  Student Count" xr:uid="{00000000-0004-0000-0A00-000000000000}"/>
  </hyperlinks>
  <printOptions horizontalCentered="1"/>
  <pageMargins left="0.25" right="0.25" top="0.25" bottom="0.25" header="0" footer="0.15"/>
  <pageSetup scale="83" orientation="portrait" r:id="rId1"/>
  <headerFooter alignWithMargins="0">
    <oddFooter>&amp;L&amp;"Times New Roman,Bold"&amp;9Rev. 5/25&amp;K000000 Arizona Department of Education and Auditor General&amp;C&amp;"Times New Roman,Regular"&amp;9&amp;D  &amp;T</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U55"/>
  <sheetViews>
    <sheetView showGridLines="0" workbookViewId="0">
      <selection activeCell="G16" sqref="G16:J25"/>
    </sheetView>
  </sheetViews>
  <sheetFormatPr defaultColWidth="5.90625" defaultRowHeight="10.199999999999999"/>
  <cols>
    <col min="1" max="1" width="1.90625" style="665" customWidth="1"/>
    <col min="2" max="2" width="14.08984375" style="665" customWidth="1"/>
    <col min="3" max="3" width="10.54296875" style="665" customWidth="1"/>
    <col min="4" max="4" width="10.90625" style="665" customWidth="1"/>
    <col min="5" max="5" width="13" style="665" customWidth="1"/>
    <col min="6" max="6" width="13.08984375" style="665" customWidth="1"/>
    <col min="7" max="7" width="6" style="665" customWidth="1"/>
    <col min="8" max="8" width="5.08984375" style="665" customWidth="1"/>
    <col min="9" max="9" width="4.90625" style="665" customWidth="1"/>
    <col min="10" max="10" width="4" style="665" customWidth="1"/>
    <col min="11" max="11" width="5.90625" style="665" customWidth="1"/>
    <col min="12" max="12" width="25.54296875" style="665" customWidth="1"/>
    <col min="13" max="13" width="8" style="665" customWidth="1"/>
    <col min="14" max="14" width="8.453125" style="665" customWidth="1"/>
    <col min="15" max="19" width="5.90625" style="665" customWidth="1"/>
    <col min="20" max="16384" width="5.90625" style="665"/>
  </cols>
  <sheetData>
    <row r="1" spans="1:21" ht="12.75" customHeight="1">
      <c r="A1" s="1766" t="str">
        <f>IF(OR(Version="Proposed",Version=""),"Summary of School District Proposed Expenditure Budget (Concl'd)",IF(Version="Adopted","Summary of School District Adopted Expenditure Budget (Concl'd)","Summary of School District Revised Expenditure Budget (Concl'd)"))</f>
        <v>Summary of School District Proposed Expenditure Budget (Concl'd)</v>
      </c>
      <c r="B1" s="1766"/>
      <c r="C1" s="1766"/>
      <c r="D1" s="1766"/>
      <c r="E1" s="1766"/>
      <c r="F1" s="1766"/>
      <c r="G1" s="664"/>
      <c r="H1" s="1163" t="s">
        <v>60</v>
      </c>
      <c r="I1" s="1764" t="str">
        <f>Cover!S1</f>
        <v>070421000</v>
      </c>
      <c r="J1" s="1765"/>
      <c r="K1" s="590"/>
      <c r="L1" s="1762" t="s">
        <v>481</v>
      </c>
      <c r="M1" s="1762"/>
      <c r="N1" s="1762"/>
      <c r="O1" s="590"/>
      <c r="P1" s="590"/>
      <c r="Q1" s="590"/>
      <c r="R1" s="590"/>
      <c r="S1" s="590"/>
      <c r="T1" s="590"/>
      <c r="U1" s="590"/>
    </row>
    <row r="2" spans="1:21" ht="12" customHeight="1">
      <c r="A2" s="1772" t="s">
        <v>482</v>
      </c>
      <c r="B2" s="1773"/>
      <c r="C2" s="1773"/>
      <c r="D2" s="1773"/>
      <c r="E2" s="1773"/>
      <c r="F2" s="1773"/>
      <c r="G2" s="664"/>
      <c r="H2" s="1163" t="s">
        <v>16</v>
      </c>
      <c r="I2" s="1767" t="str">
        <f>Cover!C8</f>
        <v>Proposed</v>
      </c>
      <c r="J2" s="1768"/>
      <c r="K2" s="662"/>
      <c r="L2" s="1762"/>
      <c r="M2" s="1762"/>
      <c r="N2" s="1762"/>
      <c r="O2" s="590"/>
      <c r="P2" s="590"/>
      <c r="Q2" s="590"/>
      <c r="R2" s="590"/>
      <c r="S2" s="590"/>
      <c r="T2" s="590"/>
      <c r="U2" s="590"/>
    </row>
    <row r="3" spans="1:21" ht="9.75" customHeight="1">
      <c r="A3" s="631"/>
      <c r="B3" s="666"/>
      <c r="C3" s="1769" t="s">
        <v>39</v>
      </c>
      <c r="D3" s="1774"/>
      <c r="E3" s="667" t="s">
        <v>483</v>
      </c>
      <c r="F3" s="668" t="s">
        <v>484</v>
      </c>
      <c r="G3" s="664"/>
      <c r="H3" s="664"/>
      <c r="I3" s="664"/>
      <c r="J3" s="597"/>
      <c r="K3" s="669"/>
      <c r="L3" s="1763"/>
      <c r="M3" s="1763"/>
      <c r="N3" s="1763"/>
      <c r="O3" s="590"/>
      <c r="P3" s="590"/>
      <c r="Q3" s="590"/>
      <c r="R3" s="590"/>
      <c r="S3" s="590"/>
      <c r="T3" s="590"/>
      <c r="U3" s="590"/>
    </row>
    <row r="4" spans="1:21" ht="9" customHeight="1">
      <c r="A4" s="1783" t="s">
        <v>485</v>
      </c>
      <c r="B4" s="1784"/>
      <c r="C4" s="667"/>
      <c r="D4" s="637"/>
      <c r="E4" s="670" t="s">
        <v>469</v>
      </c>
      <c r="F4" s="671" t="s">
        <v>469</v>
      </c>
      <c r="G4" s="1771" t="str">
        <f>IF((F001TotalExp&gt;0)*AND(OR(TotalFTECertSubtotal=0,TotalFTEClassSubtotal=0)),"Incomplete: Please complete the Certified and Classified sections of the Proposed Staffing Table below."," ")</f>
        <v xml:space="preserve"> </v>
      </c>
      <c r="H4" s="1771"/>
      <c r="I4" s="1771"/>
      <c r="J4" s="1771"/>
      <c r="K4" s="669"/>
      <c r="L4" s="672" t="s">
        <v>486</v>
      </c>
      <c r="M4" s="673" t="s">
        <v>158</v>
      </c>
      <c r="N4" s="674" t="s">
        <v>159</v>
      </c>
      <c r="O4" s="590"/>
      <c r="P4" s="590"/>
      <c r="Q4" s="590"/>
      <c r="R4" s="590"/>
      <c r="S4" s="590"/>
      <c r="T4" s="590"/>
      <c r="U4" s="590"/>
    </row>
    <row r="5" spans="1:21" ht="10.5" customHeight="1">
      <c r="A5" s="675"/>
      <c r="B5" s="676"/>
      <c r="C5" s="677" t="s">
        <v>158</v>
      </c>
      <c r="D5" s="678" t="s">
        <v>159</v>
      </c>
      <c r="E5" s="678" t="s">
        <v>487</v>
      </c>
      <c r="F5" s="679" t="s">
        <v>158</v>
      </c>
      <c r="G5" s="1771"/>
      <c r="H5" s="1771"/>
      <c r="I5" s="1771"/>
      <c r="J5" s="1771"/>
      <c r="K5" s="596"/>
      <c r="L5" s="680" t="s">
        <v>276</v>
      </c>
      <c r="M5" s="681">
        <f>F050CurrFY</f>
        <v>0</v>
      </c>
      <c r="N5" s="682">
        <f>F050BudgFY</f>
        <v>0</v>
      </c>
      <c r="O5" s="590"/>
      <c r="P5" s="590"/>
      <c r="Q5" s="590"/>
      <c r="R5" s="590"/>
      <c r="S5" s="590"/>
      <c r="T5" s="590"/>
      <c r="U5" s="590"/>
    </row>
    <row r="6" spans="1:21" ht="10.5" customHeight="1">
      <c r="A6" s="644" t="s">
        <v>488</v>
      </c>
      <c r="B6" s="683"/>
      <c r="C6" s="644">
        <f>F001TotExpCurrFY</f>
        <v>16505032</v>
      </c>
      <c r="D6" s="644">
        <f>F001TotalExp</f>
        <v>11154364</v>
      </c>
      <c r="E6" s="684">
        <f t="shared" ref="E6:E14" si="0">D6-C6</f>
        <v>-5350668</v>
      </c>
      <c r="F6" s="685">
        <f t="shared" ref="F6:F21" si="1">IF(C6=D6,0,IF(C6&gt;0,E6/C6,""))</f>
        <v>-0.32400000000000001</v>
      </c>
      <c r="G6" s="1771"/>
      <c r="H6" s="1771"/>
      <c r="I6" s="1771"/>
      <c r="J6" s="1771"/>
      <c r="K6" s="596"/>
      <c r="L6" s="680" t="s">
        <v>286</v>
      </c>
      <c r="M6" s="681">
        <f>F515CurrFY</f>
        <v>35000</v>
      </c>
      <c r="N6" s="682">
        <f>F515BudgFY</f>
        <v>150000</v>
      </c>
      <c r="O6" s="590"/>
      <c r="P6" s="590"/>
      <c r="Q6" s="590"/>
      <c r="R6" s="590"/>
      <c r="S6" s="590"/>
      <c r="T6" s="590"/>
      <c r="U6" s="590"/>
    </row>
    <row r="7" spans="1:21" ht="10.5" customHeight="1">
      <c r="A7" s="686" t="s">
        <v>489</v>
      </c>
      <c r="B7" s="683"/>
      <c r="C7" s="687">
        <f>F020TotCurrFY</f>
        <v>0</v>
      </c>
      <c r="D7" s="687">
        <f>F020TotBudgFY</f>
        <v>0</v>
      </c>
      <c r="E7" s="684">
        <f t="shared" si="0"/>
        <v>0</v>
      </c>
      <c r="F7" s="685">
        <f t="shared" si="1"/>
        <v>0</v>
      </c>
      <c r="G7" s="1771"/>
      <c r="H7" s="1771"/>
      <c r="I7" s="1771"/>
      <c r="J7" s="1771"/>
      <c r="K7" s="596"/>
      <c r="L7" s="680" t="s">
        <v>288</v>
      </c>
      <c r="M7" s="681">
        <f>F520CurrFY</f>
        <v>2250</v>
      </c>
      <c r="N7" s="682">
        <f>F520BudgFY</f>
        <v>2300</v>
      </c>
      <c r="O7" s="590"/>
      <c r="P7" s="590"/>
      <c r="Q7" s="590"/>
      <c r="R7" s="590"/>
      <c r="S7" s="590"/>
      <c r="T7" s="590"/>
      <c r="U7" s="590"/>
    </row>
    <row r="8" spans="1:21" ht="10.5" customHeight="1">
      <c r="A8" s="688" t="s">
        <v>490</v>
      </c>
      <c r="B8" s="689"/>
      <c r="C8" s="687">
        <f>F071CurrFY</f>
        <v>0</v>
      </c>
      <c r="D8" s="653">
        <f>F071BudgFY</f>
        <v>0</v>
      </c>
      <c r="E8" s="684">
        <f t="shared" si="0"/>
        <v>0</v>
      </c>
      <c r="F8" s="685">
        <f t="shared" si="1"/>
        <v>0</v>
      </c>
      <c r="G8" s="1771"/>
      <c r="H8" s="1771"/>
      <c r="I8" s="1771"/>
      <c r="J8" s="1771"/>
      <c r="K8" s="596"/>
      <c r="L8" s="680" t="s">
        <v>292</v>
      </c>
      <c r="M8" s="681">
        <f>F526CurrFY</f>
        <v>102000</v>
      </c>
      <c r="N8" s="682">
        <f>F526BudgFY</f>
        <v>102000</v>
      </c>
      <c r="O8" s="590"/>
      <c r="P8" s="590"/>
      <c r="Q8" s="590"/>
      <c r="R8" s="590"/>
      <c r="S8" s="590"/>
      <c r="T8" s="590"/>
      <c r="U8" s="590"/>
    </row>
    <row r="9" spans="1:21" ht="12" customHeight="1">
      <c r="A9" s="686" t="s">
        <v>491</v>
      </c>
      <c r="B9" s="683"/>
      <c r="C9" s="687">
        <f>F072CurrFY</f>
        <v>0</v>
      </c>
      <c r="D9" s="653">
        <f>F072BudgFY</f>
        <v>0</v>
      </c>
      <c r="E9" s="690">
        <f t="shared" si="0"/>
        <v>0</v>
      </c>
      <c r="F9" s="691">
        <f t="shared" si="1"/>
        <v>0</v>
      </c>
      <c r="G9" s="1771"/>
      <c r="H9" s="1771"/>
      <c r="I9" s="1771"/>
      <c r="J9" s="1771"/>
      <c r="K9" s="692"/>
      <c r="L9" s="680" t="s">
        <v>294</v>
      </c>
      <c r="M9" s="681">
        <f>F530CurrFY</f>
        <v>0</v>
      </c>
      <c r="N9" s="682">
        <f>F530BudgFY</f>
        <v>0</v>
      </c>
      <c r="O9" s="590"/>
      <c r="P9" s="590"/>
      <c r="Q9" s="590"/>
      <c r="R9" s="590"/>
      <c r="S9" s="590"/>
      <c r="T9" s="590"/>
      <c r="U9" s="590"/>
    </row>
    <row r="10" spans="1:21" ht="12" customHeight="1">
      <c r="A10" s="693" t="s">
        <v>492</v>
      </c>
      <c r="B10" s="694"/>
      <c r="C10" s="623">
        <f>F010TotalExpPY</f>
        <v>2077364</v>
      </c>
      <c r="D10" s="623">
        <f>F010TotalExp</f>
        <v>1194026</v>
      </c>
      <c r="E10" s="690">
        <f>D10-C10</f>
        <v>-883338</v>
      </c>
      <c r="F10" s="691">
        <f t="shared" si="1"/>
        <v>-0.42499999999999999</v>
      </c>
      <c r="G10" s="1771"/>
      <c r="H10" s="1771"/>
      <c r="I10" s="1771"/>
      <c r="J10" s="1771"/>
      <c r="K10" s="692"/>
      <c r="L10" s="695" t="s">
        <v>296</v>
      </c>
      <c r="M10" s="681">
        <f>F535CurrFY</f>
        <v>0</v>
      </c>
      <c r="N10" s="682">
        <f>F535BudgFY</f>
        <v>0</v>
      </c>
      <c r="O10" s="590"/>
      <c r="P10" s="590"/>
      <c r="Q10" s="590"/>
      <c r="R10" s="590"/>
      <c r="S10" s="590"/>
      <c r="T10" s="590"/>
      <c r="U10" s="590"/>
    </row>
    <row r="11" spans="1:21" ht="12" customHeight="1">
      <c r="A11" s="696" t="s">
        <v>493</v>
      </c>
      <c r="B11" s="697"/>
      <c r="C11" s="648">
        <f>TotFedProjFundCurrFY</f>
        <v>3711510</v>
      </c>
      <c r="D11" s="648">
        <f>TotFedProjFundBudgFY</f>
        <v>2084637</v>
      </c>
      <c r="E11" s="648">
        <f t="shared" si="0"/>
        <v>-1626873</v>
      </c>
      <c r="F11" s="698">
        <f t="shared" si="1"/>
        <v>-0.438</v>
      </c>
      <c r="G11" s="1771"/>
      <c r="H11" s="1771"/>
      <c r="I11" s="1771"/>
      <c r="J11" s="1771"/>
      <c r="K11" s="692"/>
      <c r="L11" s="699" t="s">
        <v>298</v>
      </c>
      <c r="M11" s="681">
        <f>F540CurrFY</f>
        <v>800</v>
      </c>
      <c r="N11" s="682">
        <f>F540BudgFY</f>
        <v>800</v>
      </c>
      <c r="O11" s="590"/>
      <c r="P11" s="590"/>
      <c r="Q11" s="590"/>
      <c r="R11" s="590"/>
      <c r="S11" s="590"/>
      <c r="T11" s="590"/>
      <c r="U11" s="590"/>
    </row>
    <row r="12" spans="1:21" ht="12" customHeight="1">
      <c r="A12" s="700" t="s">
        <v>494</v>
      </c>
      <c r="B12" s="697"/>
      <c r="C12" s="647">
        <f>TotStateProjFundCurrFY</f>
        <v>330330</v>
      </c>
      <c r="D12" s="647">
        <f>TotStateProjFundBudgFY</f>
        <v>436819</v>
      </c>
      <c r="E12" s="647">
        <f t="shared" si="0"/>
        <v>106489</v>
      </c>
      <c r="F12" s="698">
        <f t="shared" si="1"/>
        <v>0.32200000000000001</v>
      </c>
      <c r="G12" s="1771"/>
      <c r="H12" s="1771"/>
      <c r="I12" s="1771"/>
      <c r="J12" s="1771"/>
      <c r="K12" s="692"/>
      <c r="L12" s="699" t="s">
        <v>300</v>
      </c>
      <c r="M12" s="681">
        <f>F545CurrFY</f>
        <v>0</v>
      </c>
      <c r="N12" s="682">
        <f>F545BudgFY</f>
        <v>0</v>
      </c>
      <c r="O12" s="590"/>
      <c r="P12" s="590"/>
      <c r="Q12" s="590"/>
      <c r="R12" s="590"/>
      <c r="S12" s="590"/>
      <c r="T12" s="590"/>
      <c r="U12" s="590"/>
    </row>
    <row r="13" spans="1:21" ht="12" customHeight="1">
      <c r="A13" s="696" t="s">
        <v>234</v>
      </c>
      <c r="B13" s="697"/>
      <c r="C13" s="647">
        <f>F610TotalCurrFY</f>
        <v>2292912</v>
      </c>
      <c r="D13" s="647">
        <f>F610TotalBudgFY</f>
        <v>1278960</v>
      </c>
      <c r="E13" s="647">
        <f t="shared" si="0"/>
        <v>-1013952</v>
      </c>
      <c r="F13" s="698">
        <f t="shared" si="1"/>
        <v>-0.442</v>
      </c>
      <c r="G13" s="1771"/>
      <c r="H13" s="1771"/>
      <c r="I13" s="1771"/>
      <c r="J13" s="1771"/>
      <c r="K13" s="692"/>
      <c r="L13" s="680" t="s">
        <v>302</v>
      </c>
      <c r="M13" s="681">
        <f>F550CurrFY</f>
        <v>57000</v>
      </c>
      <c r="N13" s="682">
        <f>F550BudgFY</f>
        <v>25000</v>
      </c>
      <c r="O13" s="590"/>
      <c r="P13" s="590"/>
      <c r="Q13" s="590"/>
      <c r="R13" s="590"/>
      <c r="S13" s="590"/>
      <c r="T13" s="590"/>
      <c r="U13" s="590"/>
    </row>
    <row r="14" spans="1:21" ht="12" customHeight="1">
      <c r="A14" s="696" t="s">
        <v>251</v>
      </c>
      <c r="B14" s="697"/>
      <c r="C14" s="647">
        <f>F695TotalCurrFY</f>
        <v>0</v>
      </c>
      <c r="D14" s="647">
        <f>F695TotalBudgFY</f>
        <v>0</v>
      </c>
      <c r="E14" s="647">
        <f t="shared" si="0"/>
        <v>0</v>
      </c>
      <c r="F14" s="698">
        <f t="shared" si="1"/>
        <v>0</v>
      </c>
      <c r="G14" s="1771"/>
      <c r="H14" s="1771"/>
      <c r="I14" s="1771"/>
      <c r="J14" s="1771"/>
      <c r="K14" s="692"/>
      <c r="L14" s="680" t="s">
        <v>304</v>
      </c>
      <c r="M14" s="681">
        <f>F555CurrFY</f>
        <v>11000</v>
      </c>
      <c r="N14" s="682">
        <f>F555BudgFY</f>
        <v>11000</v>
      </c>
      <c r="O14" s="590"/>
      <c r="P14" s="590"/>
      <c r="Q14" s="590"/>
      <c r="R14" s="590"/>
      <c r="S14" s="590"/>
      <c r="T14" s="590"/>
      <c r="U14" s="590"/>
    </row>
    <row r="15" spans="1:21" ht="12" customHeight="1">
      <c r="A15" s="696" t="s">
        <v>252</v>
      </c>
      <c r="B15" s="697"/>
      <c r="C15" s="647">
        <f>F620TotalCurrFY</f>
        <v>900000</v>
      </c>
      <c r="D15" s="647">
        <f>F620TotalBudgFY</f>
        <v>900000</v>
      </c>
      <c r="E15" s="647">
        <f t="shared" ref="E15:E21" si="2">D15-C15</f>
        <v>0</v>
      </c>
      <c r="F15" s="698">
        <f t="shared" si="1"/>
        <v>0</v>
      </c>
      <c r="G15" s="596"/>
      <c r="H15" s="596"/>
      <c r="I15" s="596"/>
      <c r="J15" s="596"/>
      <c r="K15" s="692"/>
      <c r="L15" s="680" t="s">
        <v>306</v>
      </c>
      <c r="M15" s="681">
        <f>F565CurrFY</f>
        <v>450</v>
      </c>
      <c r="N15" s="682">
        <f>F565BudgFY</f>
        <v>450</v>
      </c>
      <c r="O15" s="590"/>
      <c r="P15" s="590"/>
      <c r="Q15" s="590"/>
      <c r="R15" s="590"/>
      <c r="S15" s="590"/>
      <c r="T15" s="590"/>
      <c r="U15" s="590"/>
    </row>
    <row r="16" spans="1:21" ht="12" customHeight="1">
      <c r="A16" s="696" t="s">
        <v>495</v>
      </c>
      <c r="B16" s="697"/>
      <c r="C16" s="647">
        <f>F700CurrFY</f>
        <v>922992</v>
      </c>
      <c r="D16" s="647">
        <f>F700BudgFY</f>
        <v>850000</v>
      </c>
      <c r="E16" s="647">
        <f t="shared" si="2"/>
        <v>-72992</v>
      </c>
      <c r="F16" s="698">
        <f t="shared" si="1"/>
        <v>-7.9000000000000001E-2</v>
      </c>
      <c r="G16" s="1771" t="str">
        <f>IF((F001P200Subtotal&gt;0)*AND(OR((SUM(TotalFTESpecEdTeacher+TotalFTESpecEdStaff=0,(SUM(SPEDTeacher+SPEDStaff=0)))))),"Incomplete: Please complete the Special Education section of the Proposed Staffing Table below."," ")</f>
        <v xml:space="preserve"> </v>
      </c>
      <c r="H16" s="1771"/>
      <c r="I16" s="1771"/>
      <c r="J16" s="1771"/>
      <c r="K16" s="596"/>
      <c r="L16" s="680" t="s">
        <v>308</v>
      </c>
      <c r="M16" s="681">
        <f>F570CurrFY</f>
        <v>1000000</v>
      </c>
      <c r="N16" s="682">
        <f>F570BudgFY</f>
        <v>1000000</v>
      </c>
      <c r="O16" s="590"/>
      <c r="P16" s="590"/>
      <c r="Q16" s="590"/>
      <c r="R16" s="590"/>
      <c r="S16" s="590"/>
      <c r="T16" s="590"/>
      <c r="U16" s="590"/>
    </row>
    <row r="17" spans="1:21" ht="12" customHeight="1">
      <c r="A17" s="290" t="s">
        <v>496</v>
      </c>
      <c r="B17" s="701"/>
      <c r="C17" s="653">
        <f>F500CurrFY</f>
        <v>1000000</v>
      </c>
      <c r="D17" s="647">
        <f>F500BudgFY</f>
        <v>500000</v>
      </c>
      <c r="E17" s="647">
        <f t="shared" si="2"/>
        <v>-500000</v>
      </c>
      <c r="F17" s="698">
        <f t="shared" si="1"/>
        <v>-0.5</v>
      </c>
      <c r="G17" s="1771"/>
      <c r="H17" s="1771"/>
      <c r="I17" s="1771"/>
      <c r="J17" s="1771"/>
      <c r="K17" s="692"/>
      <c r="L17" s="680" t="s">
        <v>310</v>
      </c>
      <c r="M17" s="681">
        <f>F575CurrFY</f>
        <v>199000</v>
      </c>
      <c r="N17" s="682">
        <f>F575BudgFY</f>
        <v>200000</v>
      </c>
      <c r="O17" s="590"/>
      <c r="P17" s="590"/>
      <c r="Q17" s="590"/>
      <c r="R17" s="590"/>
      <c r="S17" s="590"/>
      <c r="T17" s="590"/>
      <c r="U17" s="590"/>
    </row>
    <row r="18" spans="1:21" ht="12" customHeight="1">
      <c r="A18" s="696" t="s">
        <v>497</v>
      </c>
      <c r="B18" s="697"/>
      <c r="C18" s="647">
        <f>F525CurrFY</f>
        <v>1950</v>
      </c>
      <c r="D18" s="647">
        <f>F525BudgFY</f>
        <v>2000</v>
      </c>
      <c r="E18" s="647">
        <f t="shared" si="2"/>
        <v>50</v>
      </c>
      <c r="F18" s="698">
        <f t="shared" si="1"/>
        <v>2.5999999999999999E-2</v>
      </c>
      <c r="G18" s="1771"/>
      <c r="H18" s="1771"/>
      <c r="I18" s="1771"/>
      <c r="J18" s="1771"/>
      <c r="K18" s="692"/>
      <c r="L18" s="680" t="s">
        <v>312</v>
      </c>
      <c r="M18" s="681">
        <f>F580CurrFY</f>
        <v>0</v>
      </c>
      <c r="N18" s="682">
        <f>F580BudgFY</f>
        <v>0</v>
      </c>
      <c r="O18" s="590"/>
      <c r="P18" s="590"/>
      <c r="Q18" s="590"/>
      <c r="R18" s="590"/>
      <c r="S18" s="590"/>
      <c r="T18" s="590"/>
      <c r="U18" s="590"/>
    </row>
    <row r="19" spans="1:21" ht="12" customHeight="1">
      <c r="A19" s="696" t="s">
        <v>250</v>
      </c>
      <c r="B19" s="697"/>
      <c r="C19" s="647">
        <f>F630TotalCurrFY</f>
        <v>0</v>
      </c>
      <c r="D19" s="647">
        <f>F630TotalBudgFY</f>
        <v>0</v>
      </c>
      <c r="E19" s="647">
        <f t="shared" si="2"/>
        <v>0</v>
      </c>
      <c r="F19" s="698">
        <f t="shared" si="1"/>
        <v>0</v>
      </c>
      <c r="G19" s="1771"/>
      <c r="H19" s="1771"/>
      <c r="I19" s="1771"/>
      <c r="J19" s="1771"/>
      <c r="K19" s="692"/>
      <c r="L19" s="680" t="s">
        <v>314</v>
      </c>
      <c r="M19" s="681">
        <f>F585CurrFY</f>
        <v>0</v>
      </c>
      <c r="N19" s="682">
        <f>F585BudgFY</f>
        <v>0</v>
      </c>
      <c r="O19" s="590"/>
      <c r="P19" s="590"/>
      <c r="Q19" s="590"/>
      <c r="R19" s="590"/>
      <c r="S19" s="590"/>
      <c r="T19" s="590"/>
      <c r="U19" s="590"/>
    </row>
    <row r="20" spans="1:21" ht="12" customHeight="1">
      <c r="A20" s="696" t="s">
        <v>498</v>
      </c>
      <c r="B20" s="697"/>
      <c r="C20" s="647">
        <f>F510CurrFY</f>
        <v>1500000</v>
      </c>
      <c r="D20" s="647">
        <f>F510BudgFY</f>
        <v>1600000</v>
      </c>
      <c r="E20" s="647">
        <f t="shared" si="2"/>
        <v>100000</v>
      </c>
      <c r="F20" s="698">
        <f t="shared" si="1"/>
        <v>6.7000000000000004E-2</v>
      </c>
      <c r="G20" s="1771"/>
      <c r="H20" s="1771"/>
      <c r="I20" s="1771"/>
      <c r="J20" s="1771"/>
      <c r="K20" s="692"/>
      <c r="L20" s="699" t="s">
        <v>316</v>
      </c>
      <c r="M20" s="681">
        <f>F590CurrFY</f>
        <v>0</v>
      </c>
      <c r="N20" s="682">
        <f>F590BudgFY</f>
        <v>0</v>
      </c>
      <c r="O20" s="590"/>
      <c r="P20" s="590"/>
      <c r="Q20" s="590"/>
      <c r="R20" s="590"/>
      <c r="S20" s="590"/>
      <c r="T20" s="590"/>
      <c r="U20" s="590"/>
    </row>
    <row r="21" spans="1:21" ht="12" customHeight="1">
      <c r="A21" s="652" t="s">
        <v>92</v>
      </c>
      <c r="B21" s="702"/>
      <c r="C21" s="653">
        <f>M37</f>
        <v>2668152</v>
      </c>
      <c r="D21" s="653">
        <f>N37</f>
        <v>2721350</v>
      </c>
      <c r="E21" s="653">
        <f t="shared" si="2"/>
        <v>53198</v>
      </c>
      <c r="F21" s="703">
        <f t="shared" si="1"/>
        <v>0.02</v>
      </c>
      <c r="G21" s="1771"/>
      <c r="H21" s="1771"/>
      <c r="I21" s="1771"/>
      <c r="J21" s="1771"/>
      <c r="K21" s="692"/>
      <c r="L21" s="680" t="s">
        <v>318</v>
      </c>
      <c r="M21" s="681">
        <f>F595CurrFY</f>
        <v>0</v>
      </c>
      <c r="N21" s="682">
        <f>F595BudgFY</f>
        <v>0</v>
      </c>
      <c r="O21" s="590"/>
      <c r="P21" s="590"/>
      <c r="Q21" s="590"/>
      <c r="R21" s="590"/>
      <c r="S21" s="590"/>
      <c r="T21" s="590"/>
      <c r="U21" s="590"/>
    </row>
    <row r="22" spans="1:21" ht="12" customHeight="1">
      <c r="A22" s="590"/>
      <c r="B22" s="590"/>
      <c r="C22" s="590"/>
      <c r="D22" s="590"/>
      <c r="E22" s="590"/>
      <c r="F22" s="590"/>
      <c r="G22" s="1771"/>
      <c r="H22" s="1771"/>
      <c r="I22" s="1771"/>
      <c r="J22" s="1771"/>
      <c r="K22" s="692"/>
      <c r="L22" s="680" t="s">
        <v>320</v>
      </c>
      <c r="M22" s="681">
        <f>F596CurrFY</f>
        <v>0</v>
      </c>
      <c r="N22" s="682">
        <f>F596BudgFY</f>
        <v>0</v>
      </c>
      <c r="O22" s="590"/>
      <c r="P22" s="590"/>
      <c r="Q22" s="590"/>
      <c r="R22" s="590"/>
      <c r="S22" s="590"/>
      <c r="T22" s="590"/>
      <c r="U22" s="590"/>
    </row>
    <row r="23" spans="1:21" ht="14.25" customHeight="1">
      <c r="A23" s="1777" t="s">
        <v>499</v>
      </c>
      <c r="B23" s="1778"/>
      <c r="C23" s="1778"/>
      <c r="D23" s="1778"/>
      <c r="E23" s="1779"/>
      <c r="F23" s="704"/>
      <c r="G23" s="1771"/>
      <c r="H23" s="1771"/>
      <c r="I23" s="1771"/>
      <c r="J23" s="1771"/>
      <c r="K23" s="692"/>
      <c r="L23" s="695" t="s">
        <v>322</v>
      </c>
      <c r="M23" s="681">
        <f>F597CurrFY</f>
        <v>0</v>
      </c>
      <c r="N23" s="682">
        <f>F597BudgFY</f>
        <v>0</v>
      </c>
      <c r="O23" s="590"/>
      <c r="P23" s="590"/>
      <c r="Q23" s="590"/>
      <c r="R23" s="590"/>
      <c r="S23" s="590"/>
      <c r="T23" s="590"/>
      <c r="U23" s="590"/>
    </row>
    <row r="24" spans="1:21" ht="12" customHeight="1" thickBot="1">
      <c r="A24" s="1775" t="s">
        <v>500</v>
      </c>
      <c r="B24" s="1776"/>
      <c r="C24" s="1776"/>
      <c r="D24" s="678" t="s">
        <v>158</v>
      </c>
      <c r="E24" s="678" t="s">
        <v>159</v>
      </c>
      <c r="F24" s="590"/>
      <c r="G24" s="1771"/>
      <c r="H24" s="1771"/>
      <c r="I24" s="1771"/>
      <c r="J24" s="1771"/>
      <c r="K24" s="596"/>
      <c r="L24" s="699" t="s">
        <v>324</v>
      </c>
      <c r="M24" s="681">
        <f>F639CurrFY</f>
        <v>0</v>
      </c>
      <c r="N24" s="682">
        <f>F639BudgFY</f>
        <v>0</v>
      </c>
      <c r="O24" s="590"/>
      <c r="P24" s="590"/>
      <c r="Q24" s="590"/>
      <c r="R24" s="590"/>
      <c r="S24" s="590"/>
      <c r="T24" s="590"/>
      <c r="U24" s="590"/>
    </row>
    <row r="25" spans="1:21" ht="12" customHeight="1">
      <c r="A25" s="705" t="s">
        <v>501</v>
      </c>
      <c r="B25" s="706"/>
      <c r="C25" s="706"/>
      <c r="D25" s="707">
        <f>F001P200PYDisabilityTot</f>
        <v>1818728</v>
      </c>
      <c r="E25" s="707">
        <f>F001P200Subtotal</f>
        <v>1818728</v>
      </c>
      <c r="F25" s="590"/>
      <c r="G25" s="1771"/>
      <c r="H25" s="1771"/>
      <c r="I25" s="1771"/>
      <c r="J25" s="1771"/>
      <c r="K25" s="596"/>
      <c r="L25" s="699" t="s">
        <v>326</v>
      </c>
      <c r="M25" s="681">
        <f>F650CurrFY</f>
        <v>17000</v>
      </c>
      <c r="N25" s="682">
        <f>F650BudgFY</f>
        <v>2000</v>
      </c>
      <c r="O25" s="590"/>
      <c r="P25" s="590"/>
      <c r="Q25" s="590"/>
      <c r="R25" s="590"/>
      <c r="S25" s="590"/>
      <c r="T25" s="590"/>
      <c r="U25" s="590"/>
    </row>
    <row r="26" spans="1:21" ht="11.25" customHeight="1">
      <c r="A26" s="708" t="s">
        <v>161</v>
      </c>
      <c r="B26" s="597"/>
      <c r="C26" s="597"/>
      <c r="D26" s="652">
        <f>SPEDGiftedEdCurrFY</f>
        <v>0</v>
      </c>
      <c r="E26" s="652">
        <f>SPEDGiftedEdBudgFY</f>
        <v>0</v>
      </c>
      <c r="F26" s="590"/>
      <c r="G26" s="709"/>
      <c r="H26" s="597"/>
      <c r="I26" s="597"/>
      <c r="J26" s="597"/>
      <c r="K26" s="596"/>
      <c r="L26" s="699" t="s">
        <v>328</v>
      </c>
      <c r="M26" s="681">
        <f>F660CurrFY</f>
        <v>0</v>
      </c>
      <c r="N26" s="682">
        <f>F660BudgFY</f>
        <v>0</v>
      </c>
      <c r="O26" s="590"/>
      <c r="P26" s="590"/>
      <c r="Q26" s="590"/>
      <c r="R26" s="590"/>
      <c r="S26" s="590"/>
      <c r="T26" s="590"/>
      <c r="U26" s="590"/>
    </row>
    <row r="27" spans="1:21" ht="12" customHeight="1">
      <c r="A27" s="708" t="s">
        <v>163</v>
      </c>
      <c r="B27" s="597"/>
      <c r="C27" s="597"/>
      <c r="D27" s="652">
        <f>SPEDRemedialEdCurrFY</f>
        <v>0</v>
      </c>
      <c r="E27" s="652">
        <f>SPEDRemedialEdBudgFY</f>
        <v>0</v>
      </c>
      <c r="F27" s="590"/>
      <c r="G27" s="590"/>
      <c r="H27" s="590"/>
      <c r="I27" s="590"/>
      <c r="J27" s="590"/>
      <c r="K27" s="596"/>
      <c r="L27" s="699" t="s">
        <v>330</v>
      </c>
      <c r="M27" s="681">
        <f>F665CurrFY</f>
        <v>0</v>
      </c>
      <c r="N27" s="682">
        <f>F665BudgFY</f>
        <v>0</v>
      </c>
      <c r="O27" s="590"/>
      <c r="P27" s="590"/>
      <c r="Q27" s="590"/>
      <c r="R27" s="590"/>
      <c r="S27" s="590"/>
      <c r="T27" s="590"/>
      <c r="U27" s="590"/>
    </row>
    <row r="28" spans="1:21" ht="12" customHeight="1">
      <c r="A28" s="710" t="s">
        <v>165</v>
      </c>
      <c r="B28" s="706"/>
      <c r="C28" s="706"/>
      <c r="D28" s="652">
        <f>SPEDELLIncCostCurrFY</f>
        <v>0</v>
      </c>
      <c r="E28" s="652">
        <f>SPEDELLIncCostBudgFY</f>
        <v>0</v>
      </c>
      <c r="F28" s="590"/>
      <c r="G28" s="590"/>
      <c r="H28" s="590"/>
      <c r="I28" s="590"/>
      <c r="J28" s="590"/>
      <c r="K28" s="596"/>
      <c r="L28" s="699" t="s">
        <v>332</v>
      </c>
      <c r="M28" s="681">
        <f>F686CurrFY</f>
        <v>0</v>
      </c>
      <c r="N28" s="682">
        <f>F686BudgFY</f>
        <v>0</v>
      </c>
      <c r="O28" s="590"/>
      <c r="P28" s="590"/>
      <c r="Q28" s="590"/>
      <c r="R28" s="590"/>
      <c r="S28" s="590"/>
      <c r="T28" s="590"/>
      <c r="U28" s="590"/>
    </row>
    <row r="29" spans="1:21" ht="12" customHeight="1">
      <c r="A29" s="710" t="s">
        <v>166</v>
      </c>
      <c r="B29" s="706"/>
      <c r="C29" s="706"/>
      <c r="D29" s="652">
        <f>SPEDELLCompInstrCurrFY</f>
        <v>65000</v>
      </c>
      <c r="E29" s="652">
        <f>SPEDELLCompInstrBudgFY</f>
        <v>65000</v>
      </c>
      <c r="F29" s="590"/>
      <c r="G29" s="590"/>
      <c r="H29" s="590"/>
      <c r="I29" s="590"/>
      <c r="J29" s="590"/>
      <c r="K29" s="596"/>
      <c r="L29" s="699" t="s">
        <v>334</v>
      </c>
      <c r="M29" s="711">
        <f>F691CurrFY</f>
        <v>16582</v>
      </c>
      <c r="N29" s="712">
        <f>F691BudgFY</f>
        <v>700</v>
      </c>
      <c r="O29" s="590"/>
      <c r="P29" s="590"/>
      <c r="Q29" s="590"/>
      <c r="R29" s="590"/>
      <c r="S29" s="590"/>
      <c r="T29" s="590"/>
      <c r="U29" s="590"/>
    </row>
    <row r="30" spans="1:21" ht="12" customHeight="1">
      <c r="A30" s="708" t="s">
        <v>167</v>
      </c>
      <c r="B30" s="597"/>
      <c r="C30" s="597"/>
      <c r="D30" s="652">
        <f>SPEDVocTechEdCurrFY</f>
        <v>0</v>
      </c>
      <c r="E30" s="652">
        <f>SPEDVocTechEdBudgFY</f>
        <v>0</v>
      </c>
      <c r="F30" s="590"/>
      <c r="G30" s="590"/>
      <c r="H30" s="590"/>
      <c r="I30" s="590"/>
      <c r="J30" s="590"/>
      <c r="K30" s="590"/>
      <c r="L30" s="699" t="s">
        <v>340</v>
      </c>
      <c r="M30" s="711">
        <f>F720CurrFY</f>
        <v>0</v>
      </c>
      <c r="N30" s="712">
        <f>F720BudgFY</f>
        <v>0</v>
      </c>
      <c r="O30" s="713"/>
      <c r="P30" s="1336"/>
      <c r="Q30" s="1336"/>
      <c r="R30" s="1336"/>
      <c r="S30" s="1336"/>
      <c r="T30" s="1336"/>
      <c r="U30" s="607"/>
    </row>
    <row r="31" spans="1:21" ht="12" customHeight="1">
      <c r="A31" s="708" t="s">
        <v>168</v>
      </c>
      <c r="B31" s="597"/>
      <c r="C31" s="597"/>
      <c r="D31" s="653">
        <f>SPEDCareerEdCurrFY</f>
        <v>0</v>
      </c>
      <c r="E31" s="653">
        <f>SPEDCareerEdBudgFY</f>
        <v>0</v>
      </c>
      <c r="F31" s="590"/>
      <c r="G31" s="590"/>
      <c r="H31" s="590"/>
      <c r="I31" s="590"/>
      <c r="J31" s="590"/>
      <c r="K31" s="590"/>
      <c r="L31" s="714" t="s">
        <v>343</v>
      </c>
      <c r="M31" s="711">
        <f>F850CurrFY</f>
        <v>25000</v>
      </c>
      <c r="N31" s="712">
        <f>F850BudgFY</f>
        <v>25000</v>
      </c>
      <c r="O31" s="713"/>
      <c r="P31" s="1336"/>
      <c r="Q31" s="1336"/>
      <c r="R31" s="1336"/>
      <c r="S31" s="1336"/>
      <c r="T31" s="1336"/>
      <c r="U31" s="590"/>
    </row>
    <row r="32" spans="1:21" ht="12" customHeight="1" thickBot="1">
      <c r="A32" s="715" t="s">
        <v>170</v>
      </c>
      <c r="B32" s="706"/>
      <c r="C32" s="706"/>
      <c r="D32" s="716">
        <f t="array" ref="D32">[1]!SummCTEDBY</f>
        <v>0</v>
      </c>
      <c r="E32" s="716">
        <f>JTEDBudgFY</f>
        <v>0</v>
      </c>
      <c r="F32" s="590"/>
      <c r="G32" s="590"/>
      <c r="H32" s="590"/>
      <c r="I32" s="590"/>
      <c r="J32" s="590"/>
      <c r="K32" s="590"/>
      <c r="L32" s="680" t="str">
        <f>'Page 6'!O38</f>
        <v>Other Employee Medical Insurance</v>
      </c>
      <c r="M32" s="681">
        <f>OtherFundsCurrFY</f>
        <v>1200000</v>
      </c>
      <c r="N32" s="682">
        <f>OtherFundsBudgFY</f>
        <v>1200000</v>
      </c>
      <c r="O32" s="590"/>
      <c r="P32" s="590"/>
      <c r="Q32" s="590"/>
      <c r="R32" s="590"/>
      <c r="S32" s="590"/>
      <c r="T32" s="590"/>
      <c r="U32" s="590"/>
    </row>
    <row r="33" spans="1:21" ht="12" customHeight="1" thickBot="1">
      <c r="A33" s="717" t="s">
        <v>502</v>
      </c>
      <c r="B33" s="718"/>
      <c r="C33" s="718"/>
      <c r="D33" s="719">
        <f>SUM(D25:D32)</f>
        <v>1883728</v>
      </c>
      <c r="E33" s="719">
        <f>SUM(E25:E32)</f>
        <v>1883728</v>
      </c>
      <c r="F33" s="1785" t="str">
        <f>IF(SUM(E25:E32)=F001P200TotBudgFY,"","INVALID. The amount should equal the total budgeted amount reported on line 24, page 1.")</f>
        <v/>
      </c>
      <c r="G33" s="1785"/>
      <c r="H33" s="1785"/>
      <c r="I33" s="1785"/>
      <c r="J33" s="1785"/>
      <c r="K33" s="590"/>
      <c r="L33" s="720" t="str">
        <f>'Page 6'!O40</f>
        <v>9___ Self-Insurance</v>
      </c>
      <c r="M33" s="681">
        <f>F9__SelfInsCurrFY</f>
        <v>0</v>
      </c>
      <c r="N33" s="682">
        <f>F9__SelfInsBudgFY</f>
        <v>0</v>
      </c>
      <c r="O33" s="590"/>
      <c r="P33" s="590"/>
      <c r="Q33" s="590"/>
      <c r="R33" s="590"/>
      <c r="S33" s="590"/>
      <c r="T33" s="590"/>
      <c r="U33" s="590"/>
    </row>
    <row r="34" spans="1:21" ht="12" customHeight="1" thickTop="1">
      <c r="A34" s="590"/>
      <c r="B34" s="590"/>
      <c r="C34" s="590"/>
      <c r="D34" s="590"/>
      <c r="E34" s="590"/>
      <c r="F34" s="1785"/>
      <c r="G34" s="1785"/>
      <c r="H34" s="1785"/>
      <c r="I34" s="1785"/>
      <c r="J34" s="1785"/>
      <c r="K34" s="590"/>
      <c r="L34" s="699" t="s">
        <v>350</v>
      </c>
      <c r="M34" s="681">
        <f>F955CurrFY</f>
        <v>0</v>
      </c>
      <c r="N34" s="682">
        <f>F955BudgFY</f>
        <v>0</v>
      </c>
      <c r="O34" s="590"/>
      <c r="P34" s="590"/>
      <c r="Q34" s="590"/>
      <c r="R34" s="590"/>
      <c r="S34" s="590"/>
      <c r="T34" s="590"/>
      <c r="U34" s="590"/>
    </row>
    <row r="35" spans="1:21" ht="10.5" customHeight="1">
      <c r="A35" s="1780" t="s">
        <v>503</v>
      </c>
      <c r="B35" s="1781"/>
      <c r="C35" s="1781"/>
      <c r="D35" s="1781"/>
      <c r="E35" s="1781"/>
      <c r="F35" s="1781"/>
      <c r="G35" s="1781"/>
      <c r="H35" s="1782"/>
      <c r="I35" s="590"/>
      <c r="J35" s="590"/>
      <c r="K35" s="590"/>
      <c r="L35" s="680" t="str">
        <f>'Page 6'!O42</f>
        <v>9__  OPEB</v>
      </c>
      <c r="M35" s="681">
        <f>F9__OPEBCurrFY</f>
        <v>0</v>
      </c>
      <c r="N35" s="682">
        <f>F9__OPEBBudgFY</f>
        <v>0</v>
      </c>
      <c r="O35" s="590"/>
      <c r="P35" s="590"/>
      <c r="Q35" s="590"/>
      <c r="R35" s="590"/>
      <c r="S35" s="590"/>
      <c r="T35" s="590"/>
      <c r="U35" s="590"/>
    </row>
    <row r="36" spans="1:21" ht="21" customHeight="1">
      <c r="A36" s="638" t="s">
        <v>504</v>
      </c>
      <c r="B36" s="639"/>
      <c r="C36" s="639"/>
      <c r="D36" s="721" t="s">
        <v>505</v>
      </c>
      <c r="E36" s="722" t="s">
        <v>506</v>
      </c>
      <c r="F36" s="723" t="s">
        <v>507</v>
      </c>
      <c r="G36" s="1769" t="s">
        <v>508</v>
      </c>
      <c r="H36" s="1770"/>
      <c r="I36" s="590"/>
      <c r="J36" s="590"/>
      <c r="K36" s="590"/>
      <c r="L36" s="720" t="str">
        <f>'Page 6'!O43</f>
        <v>910 Catering</v>
      </c>
      <c r="M36" s="681">
        <f>F9__OtherCurrFY</f>
        <v>2070</v>
      </c>
      <c r="N36" s="682">
        <f>F9__OtherBudgFY</f>
        <v>2100</v>
      </c>
      <c r="O36" s="590"/>
      <c r="P36" s="590"/>
      <c r="Q36" s="590"/>
      <c r="R36" s="590"/>
      <c r="S36" s="590"/>
      <c r="T36" s="590"/>
      <c r="U36" s="590"/>
    </row>
    <row r="37" spans="1:21" ht="12" customHeight="1">
      <c r="A37" s="724" t="s">
        <v>509</v>
      </c>
      <c r="B37" s="597"/>
      <c r="C37" s="597"/>
      <c r="D37" s="706"/>
      <c r="E37" s="706"/>
      <c r="F37" s="597"/>
      <c r="G37" s="718"/>
      <c r="H37" s="725"/>
      <c r="I37" s="590"/>
      <c r="J37" s="590"/>
      <c r="K37" s="590"/>
      <c r="L37" s="726" t="s">
        <v>510</v>
      </c>
      <c r="M37" s="727">
        <f>SUM(M5:M36)</f>
        <v>2668152</v>
      </c>
      <c r="N37" s="682">
        <f>SUM(N5:N36)</f>
        <v>2721350</v>
      </c>
      <c r="O37" s="590"/>
      <c r="P37" s="590"/>
      <c r="Q37" s="590"/>
      <c r="R37" s="590"/>
      <c r="S37" s="590"/>
      <c r="T37" s="590"/>
      <c r="U37" s="590"/>
    </row>
    <row r="38" spans="1:21" ht="12" customHeight="1">
      <c r="A38" s="708" t="s">
        <v>511</v>
      </c>
      <c r="B38" s="596"/>
      <c r="C38" s="596"/>
      <c r="D38" s="67"/>
      <c r="E38" s="67">
        <v>5</v>
      </c>
      <c r="F38" s="728">
        <f>D38+E38</f>
        <v>5</v>
      </c>
      <c r="G38" s="729" t="s">
        <v>512</v>
      </c>
      <c r="H38" s="730">
        <f>IF(F38&gt;0,ROUND(BudgetYearADM/F38,1)," ")</f>
        <v>186</v>
      </c>
      <c r="I38" s="590"/>
      <c r="J38" s="590"/>
      <c r="K38" s="590"/>
      <c r="L38" s="590"/>
      <c r="M38" s="590"/>
      <c r="N38" s="616"/>
      <c r="O38" s="590"/>
      <c r="P38" s="590"/>
      <c r="Q38" s="590"/>
      <c r="R38" s="590"/>
      <c r="S38" s="590"/>
      <c r="T38" s="590"/>
      <c r="U38" s="590"/>
    </row>
    <row r="39" spans="1:21" ht="12" customHeight="1">
      <c r="A39" s="708" t="s">
        <v>513</v>
      </c>
      <c r="B39" s="596"/>
      <c r="C39" s="596"/>
      <c r="D39" s="68"/>
      <c r="E39" s="67">
        <v>44</v>
      </c>
      <c r="F39" s="728">
        <f>D39+E39</f>
        <v>44</v>
      </c>
      <c r="G39" s="732" t="s">
        <v>512</v>
      </c>
      <c r="H39" s="730">
        <f>IF(F39&gt;0,ROUND(BudgetYearADM/F39,1)," ")</f>
        <v>21.1</v>
      </c>
      <c r="I39" s="590"/>
      <c r="J39" s="590"/>
      <c r="K39" s="590"/>
      <c r="L39" s="590"/>
      <c r="M39" s="590"/>
      <c r="N39" s="590"/>
      <c r="O39" s="590"/>
      <c r="P39" s="590"/>
      <c r="Q39" s="590"/>
      <c r="R39" s="590"/>
      <c r="S39" s="590"/>
      <c r="T39" s="590"/>
      <c r="U39" s="590"/>
    </row>
    <row r="40" spans="1:21" ht="12" customHeight="1">
      <c r="A40" s="708" t="s">
        <v>92</v>
      </c>
      <c r="B40" s="596"/>
      <c r="C40" s="596"/>
      <c r="D40" s="68"/>
      <c r="E40" s="68">
        <v>4</v>
      </c>
      <c r="F40" s="728">
        <f>D40+E40</f>
        <v>4</v>
      </c>
      <c r="G40" s="732" t="s">
        <v>512</v>
      </c>
      <c r="H40" s="730">
        <f>IF(F40&gt;0,ROUND(BudgetYearADM/F40,1)," ")</f>
        <v>232.5</v>
      </c>
      <c r="I40" s="590"/>
      <c r="J40" s="590"/>
      <c r="K40" s="590"/>
      <c r="L40" s="590"/>
      <c r="M40" s="590"/>
      <c r="N40" s="590"/>
      <c r="O40" s="590"/>
      <c r="P40" s="590"/>
      <c r="Q40" s="590"/>
      <c r="R40" s="590"/>
      <c r="S40" s="590"/>
      <c r="T40" s="590"/>
      <c r="U40" s="590"/>
    </row>
    <row r="41" spans="1:21" ht="12" customHeight="1">
      <c r="A41" s="733"/>
      <c r="B41" s="709" t="s">
        <v>514</v>
      </c>
      <c r="C41" s="709"/>
      <c r="D41" s="731">
        <f>SUM(D38:D40)</f>
        <v>0</v>
      </c>
      <c r="E41" s="731">
        <f>SUM(E38:E40)</f>
        <v>53</v>
      </c>
      <c r="F41" s="728">
        <f>D41+E41</f>
        <v>53</v>
      </c>
      <c r="G41" s="732" t="s">
        <v>512</v>
      </c>
      <c r="H41" s="730">
        <f>IF(F41&gt;0,ROUND(BudgetYearADM/F41,1)," ")</f>
        <v>17.5</v>
      </c>
      <c r="I41" s="590"/>
      <c r="J41" s="590"/>
      <c r="K41" s="590"/>
      <c r="L41" s="590"/>
      <c r="M41" s="590"/>
      <c r="N41" s="590"/>
      <c r="O41" s="590"/>
      <c r="P41" s="590"/>
      <c r="Q41" s="590"/>
      <c r="R41" s="590"/>
      <c r="S41" s="590"/>
      <c r="T41" s="590"/>
      <c r="U41" s="590"/>
    </row>
    <row r="42" spans="1:21" ht="12" customHeight="1">
      <c r="A42" s="708" t="s">
        <v>515</v>
      </c>
      <c r="B42" s="597"/>
      <c r="C42" s="597"/>
      <c r="D42" s="734"/>
      <c r="E42" s="734"/>
      <c r="F42" s="663"/>
      <c r="G42" s="735"/>
      <c r="H42" s="730"/>
      <c r="I42" s="590"/>
      <c r="J42" s="590"/>
      <c r="K42" s="590"/>
      <c r="L42" s="590"/>
      <c r="M42" s="590"/>
      <c r="N42" s="590"/>
      <c r="O42" s="590"/>
      <c r="P42" s="590"/>
      <c r="Q42" s="590"/>
      <c r="R42" s="590"/>
      <c r="S42" s="590"/>
      <c r="T42" s="590"/>
      <c r="U42" s="590"/>
    </row>
    <row r="43" spans="1:21" ht="12" customHeight="1">
      <c r="A43" s="708" t="s">
        <v>516</v>
      </c>
      <c r="B43" s="596"/>
      <c r="C43" s="596"/>
      <c r="D43" s="67"/>
      <c r="E43" s="67">
        <v>4</v>
      </c>
      <c r="F43" s="728">
        <f>D43+E43</f>
        <v>4</v>
      </c>
      <c r="G43" s="736" t="s">
        <v>512</v>
      </c>
      <c r="H43" s="730">
        <f>IF(F43&gt;0,ROUND(BudgetYearADM/F43,1)," ")</f>
        <v>232.5</v>
      </c>
      <c r="I43" s="590"/>
      <c r="J43" s="590"/>
      <c r="K43" s="590"/>
      <c r="L43" s="590"/>
      <c r="M43" s="590"/>
      <c r="N43" s="590"/>
      <c r="O43" s="590"/>
      <c r="P43" s="590"/>
      <c r="Q43" s="590"/>
      <c r="R43" s="590"/>
      <c r="S43" s="590"/>
      <c r="T43" s="590"/>
      <c r="U43" s="590"/>
    </row>
    <row r="44" spans="1:21">
      <c r="A44" s="708" t="s">
        <v>517</v>
      </c>
      <c r="B44" s="596"/>
      <c r="C44" s="596"/>
      <c r="D44" s="68"/>
      <c r="E44" s="67">
        <v>7</v>
      </c>
      <c r="F44" s="728">
        <f>D44+E44</f>
        <v>7</v>
      </c>
      <c r="G44" s="732" t="s">
        <v>512</v>
      </c>
      <c r="H44" s="730">
        <f>IF(F44&gt;0,ROUND(BudgetYearADM/F44,1)," ")</f>
        <v>132.9</v>
      </c>
      <c r="I44" s="590"/>
      <c r="J44" s="590"/>
      <c r="K44" s="590"/>
      <c r="L44" s="590"/>
      <c r="M44" s="590"/>
      <c r="N44" s="590"/>
      <c r="O44" s="590"/>
      <c r="P44" s="590"/>
      <c r="Q44" s="590"/>
      <c r="R44" s="590"/>
      <c r="S44" s="590"/>
      <c r="T44" s="590"/>
      <c r="U44" s="590"/>
    </row>
    <row r="45" spans="1:21" ht="12" customHeight="1">
      <c r="A45" s="737" t="s">
        <v>92</v>
      </c>
      <c r="B45" s="596"/>
      <c r="C45" s="596"/>
      <c r="D45" s="68"/>
      <c r="E45" s="67">
        <v>45</v>
      </c>
      <c r="F45" s="728">
        <f>D45+E45</f>
        <v>45</v>
      </c>
      <c r="G45" s="732" t="s">
        <v>512</v>
      </c>
      <c r="H45" s="730">
        <f>IF(F45&gt;0,ROUND(BudgetYearADM/F45,1)," ")</f>
        <v>20.7</v>
      </c>
      <c r="I45" s="596"/>
      <c r="J45" s="663"/>
      <c r="K45" s="738"/>
      <c r="L45" s="590"/>
      <c r="M45" s="590"/>
      <c r="N45" s="590"/>
      <c r="O45" s="590"/>
      <c r="P45" s="590"/>
      <c r="Q45" s="590"/>
      <c r="R45" s="590"/>
      <c r="S45" s="590"/>
      <c r="T45" s="590"/>
      <c r="U45" s="590"/>
    </row>
    <row r="46" spans="1:21" ht="12" customHeight="1">
      <c r="A46" s="739"/>
      <c r="B46" s="709" t="s">
        <v>514</v>
      </c>
      <c r="C46" s="709"/>
      <c r="D46" s="731">
        <f>SUM(D43:D45)</f>
        <v>0</v>
      </c>
      <c r="E46" s="731">
        <f>SUM(E43:E45)</f>
        <v>56</v>
      </c>
      <c r="F46" s="728">
        <f>D46+E46</f>
        <v>56</v>
      </c>
      <c r="G46" s="732" t="s">
        <v>512</v>
      </c>
      <c r="H46" s="730">
        <f>IF(F46&gt;0,ROUND(BudgetYearADM/F46,1)," ")</f>
        <v>16.600000000000001</v>
      </c>
      <c r="I46" s="590"/>
      <c r="J46" s="590"/>
      <c r="K46" s="590"/>
      <c r="L46" s="590"/>
      <c r="M46" s="590"/>
      <c r="N46" s="590"/>
      <c r="O46" s="590"/>
      <c r="P46" s="590"/>
      <c r="Q46" s="590"/>
      <c r="R46" s="590"/>
      <c r="S46" s="590"/>
      <c r="T46" s="590"/>
      <c r="U46" s="590"/>
    </row>
    <row r="47" spans="1:21" ht="12" customHeight="1">
      <c r="A47" s="740"/>
      <c r="B47" s="735" t="s">
        <v>468</v>
      </c>
      <c r="C47" s="741"/>
      <c r="D47" s="731">
        <f>D41+D46</f>
        <v>0</v>
      </c>
      <c r="E47" s="731">
        <f>E41+E46</f>
        <v>109</v>
      </c>
      <c r="F47" s="728">
        <f>D47+E47</f>
        <v>109</v>
      </c>
      <c r="G47" s="732" t="s">
        <v>512</v>
      </c>
      <c r="H47" s="730">
        <f>IF(F47&gt;0,ROUND(BudgetYearADM/F47,1)," ")</f>
        <v>8.5</v>
      </c>
      <c r="I47" s="742"/>
      <c r="J47" s="596"/>
      <c r="K47" s="596"/>
      <c r="L47" s="743"/>
      <c r="M47" s="590"/>
      <c r="N47" s="590"/>
      <c r="O47" s="590"/>
      <c r="P47" s="590"/>
      <c r="Q47" s="590"/>
      <c r="R47" s="590"/>
      <c r="S47" s="590"/>
      <c r="T47" s="590"/>
      <c r="U47" s="590"/>
    </row>
    <row r="48" spans="1:21" ht="6.75" customHeight="1">
      <c r="A48" s="744"/>
      <c r="B48" s="663"/>
      <c r="C48" s="663"/>
      <c r="D48" s="608"/>
      <c r="E48" s="608"/>
      <c r="F48" s="745"/>
      <c r="G48" s="738"/>
      <c r="H48" s="746"/>
      <c r="I48" s="596"/>
      <c r="J48" s="596"/>
      <c r="K48" s="596"/>
      <c r="L48" s="590"/>
      <c r="M48" s="590"/>
      <c r="N48" s="590"/>
      <c r="O48" s="590"/>
      <c r="P48" s="590"/>
      <c r="Q48" s="590"/>
      <c r="R48" s="590"/>
      <c r="S48" s="590"/>
      <c r="T48" s="590"/>
      <c r="U48" s="590"/>
    </row>
    <row r="49" spans="1:21" ht="12" customHeight="1">
      <c r="A49" s="744" t="s">
        <v>518</v>
      </c>
      <c r="B49" s="663"/>
      <c r="C49" s="663"/>
      <c r="D49" s="608"/>
      <c r="E49" s="608"/>
      <c r="F49" s="745"/>
      <c r="G49" s="738"/>
      <c r="H49" s="747"/>
      <c r="I49" s="596"/>
      <c r="J49" s="596"/>
      <c r="K49" s="596"/>
      <c r="L49" s="596"/>
      <c r="M49" s="590"/>
      <c r="N49" s="590"/>
      <c r="O49" s="590"/>
      <c r="P49" s="590"/>
      <c r="Q49" s="590"/>
      <c r="R49" s="590"/>
      <c r="S49" s="590"/>
      <c r="T49" s="590"/>
      <c r="U49" s="590"/>
    </row>
    <row r="50" spans="1:21" ht="10.5" customHeight="1">
      <c r="A50" s="744" t="s">
        <v>519</v>
      </c>
      <c r="B50" s="597"/>
      <c r="C50" s="597"/>
      <c r="D50" s="69"/>
      <c r="E50" s="70">
        <v>7</v>
      </c>
      <c r="F50" s="728">
        <f>D50+E50</f>
        <v>7</v>
      </c>
      <c r="G50" s="748" t="s">
        <v>520</v>
      </c>
      <c r="H50" s="1086">
        <v>31</v>
      </c>
      <c r="I50" s="596"/>
      <c r="J50" s="596"/>
      <c r="K50" s="596"/>
      <c r="L50" s="596"/>
      <c r="M50" s="590"/>
      <c r="N50" s="590"/>
      <c r="O50" s="590"/>
      <c r="P50" s="590"/>
      <c r="Q50" s="590"/>
      <c r="R50" s="590"/>
      <c r="S50" s="590"/>
      <c r="T50" s="590"/>
      <c r="U50" s="590"/>
    </row>
    <row r="51" spans="1:21">
      <c r="A51" s="749" t="s">
        <v>521</v>
      </c>
      <c r="B51" s="750"/>
      <c r="C51" s="751"/>
      <c r="D51" s="69"/>
      <c r="E51" s="70">
        <v>11</v>
      </c>
      <c r="F51" s="728">
        <f>D51+E51</f>
        <v>11</v>
      </c>
      <c r="G51" s="748" t="s">
        <v>520</v>
      </c>
      <c r="H51" s="1087">
        <v>10</v>
      </c>
      <c r="I51" s="662"/>
      <c r="J51" s="662"/>
      <c r="K51" s="662"/>
      <c r="L51" s="596"/>
      <c r="M51" s="590"/>
      <c r="N51" s="590"/>
      <c r="O51" s="590"/>
      <c r="P51" s="590"/>
      <c r="Q51" s="590"/>
      <c r="R51" s="590"/>
      <c r="S51" s="590"/>
      <c r="T51" s="590"/>
      <c r="U51" s="590"/>
    </row>
    <row r="52" spans="1:21">
      <c r="A52" s="590"/>
      <c r="B52" s="590"/>
      <c r="C52" s="590"/>
      <c r="D52" s="590"/>
      <c r="E52" s="590"/>
      <c r="F52" s="590"/>
      <c r="G52" s="590"/>
      <c r="H52" s="590"/>
      <c r="I52" s="590"/>
      <c r="J52" s="590"/>
      <c r="K52" s="596"/>
      <c r="L52" s="596"/>
      <c r="M52" s="590"/>
      <c r="N52" s="590"/>
      <c r="O52" s="590"/>
      <c r="P52" s="590"/>
      <c r="Q52" s="590"/>
      <c r="R52" s="590"/>
      <c r="S52" s="590"/>
      <c r="T52" s="590"/>
      <c r="U52" s="590"/>
    </row>
    <row r="53" spans="1:21">
      <c r="A53" s="590"/>
      <c r="B53" s="590"/>
      <c r="C53" s="590"/>
      <c r="D53" s="590"/>
      <c r="E53" s="590"/>
      <c r="F53" s="590"/>
      <c r="G53" s="590"/>
      <c r="H53" s="590"/>
      <c r="I53" s="590"/>
      <c r="J53" s="590"/>
      <c r="K53" s="596"/>
      <c r="L53" s="662"/>
      <c r="M53" s="590"/>
      <c r="N53" s="590"/>
      <c r="O53" s="590"/>
      <c r="P53" s="590"/>
      <c r="Q53" s="590"/>
      <c r="R53" s="590"/>
      <c r="S53" s="590"/>
      <c r="T53" s="590"/>
      <c r="U53" s="590"/>
    </row>
    <row r="54" spans="1:21">
      <c r="A54" s="590"/>
      <c r="B54" s="590"/>
      <c r="C54" s="590"/>
      <c r="D54" s="590"/>
      <c r="E54" s="590"/>
      <c r="F54" s="590"/>
      <c r="G54" s="590"/>
      <c r="H54" s="590"/>
      <c r="I54" s="590"/>
      <c r="J54" s="590"/>
      <c r="K54" s="596"/>
      <c r="L54" s="590"/>
      <c r="M54" s="590"/>
      <c r="N54" s="590"/>
      <c r="O54" s="590"/>
      <c r="P54" s="590"/>
      <c r="Q54" s="590"/>
      <c r="R54" s="590"/>
      <c r="S54" s="590"/>
      <c r="T54" s="590"/>
      <c r="U54" s="590"/>
    </row>
    <row r="55" spans="1:21">
      <c r="A55" s="590"/>
      <c r="B55" s="590"/>
      <c r="C55" s="590"/>
      <c r="D55" s="590"/>
      <c r="E55" s="590"/>
      <c r="F55" s="590"/>
      <c r="G55" s="590"/>
      <c r="H55" s="590"/>
      <c r="I55" s="590"/>
      <c r="J55" s="590"/>
      <c r="K55" s="745"/>
      <c r="L55" s="590"/>
      <c r="M55" s="590"/>
      <c r="N55" s="590"/>
      <c r="O55" s="590"/>
      <c r="P55" s="590"/>
      <c r="Q55" s="590"/>
      <c r="R55" s="590"/>
      <c r="S55" s="590"/>
      <c r="T55" s="590"/>
      <c r="U55" s="590"/>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15"/>
  <pageSetup orientation="portrait" r:id="rId1"/>
  <headerFooter alignWithMargins="0">
    <oddFooter>&amp;L&amp;"Times New Roman,Bold"&amp;9Rev. 5/25&amp;K000000 Arizona Department of Education and Auditor General&amp;C&amp;"Times New Roman,Regular"&amp;9&amp;D  &amp;T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53"/>
  <sheetViews>
    <sheetView showGridLines="0" topLeftCell="A16" workbookViewId="0">
      <selection activeCell="G22" sqref="G22"/>
    </sheetView>
  </sheetViews>
  <sheetFormatPr defaultColWidth="8.90625" defaultRowHeight="13.8"/>
  <cols>
    <col min="1" max="1" width="4" style="151" customWidth="1"/>
    <col min="2" max="2" width="1.54296875" style="151" customWidth="1"/>
    <col min="3" max="3" width="1.90625" style="151" customWidth="1"/>
    <col min="4" max="4" width="7.54296875" style="151" customWidth="1"/>
    <col min="5" max="5" width="27.453125" style="151" customWidth="1"/>
    <col min="6" max="6" width="1.453125" style="151" customWidth="1"/>
    <col min="7" max="7" width="12" style="151" customWidth="1"/>
    <col min="8" max="8" width="2.90625" style="151" customWidth="1"/>
    <col min="9" max="9" width="10" style="151" customWidth="1"/>
    <col min="10" max="10" width="3" style="151" customWidth="1"/>
    <col min="11" max="11" width="2.90625" style="151" customWidth="1"/>
    <col min="12" max="12" width="10" style="151" customWidth="1"/>
    <col min="13" max="13" width="3.90625" style="151" customWidth="1"/>
    <col min="14" max="14" width="6.453125" style="151" customWidth="1"/>
    <col min="15" max="19" width="8.90625" style="151" customWidth="1"/>
    <col min="20" max="16384" width="8.90625" style="151"/>
  </cols>
  <sheetData>
    <row r="1" spans="1:15" ht="15" customHeight="1">
      <c r="A1" s="1143" t="s">
        <v>184</v>
      </c>
      <c r="B1" s="1344"/>
      <c r="C1" s="96"/>
      <c r="E1" s="1786" t="str">
        <f>DistrictName</f>
        <v>Murphy Elementary School District #21</v>
      </c>
      <c r="F1" s="1786"/>
      <c r="G1" s="1786"/>
      <c r="H1" s="1344"/>
      <c r="I1" s="1612" t="s">
        <v>272</v>
      </c>
      <c r="J1" s="1787"/>
      <c r="K1" s="1787"/>
      <c r="L1" s="98" t="str">
        <f>Cover!S1</f>
        <v>070421000</v>
      </c>
      <c r="M1" s="96"/>
      <c r="O1" s="139"/>
    </row>
    <row r="2" spans="1:15" ht="14.25" customHeight="1">
      <c r="A2" s="96"/>
      <c r="B2" s="96"/>
      <c r="C2" s="1299"/>
      <c r="D2" s="1299"/>
      <c r="E2" s="101"/>
      <c r="F2" s="101"/>
      <c r="G2" s="101"/>
      <c r="H2" s="101"/>
      <c r="I2" s="1299"/>
      <c r="J2" s="3"/>
      <c r="K2" s="1298" t="s">
        <v>16</v>
      </c>
      <c r="L2" s="752" t="str">
        <f>Cover!C8</f>
        <v>Proposed</v>
      </c>
      <c r="M2" s="96"/>
      <c r="N2" s="149"/>
      <c r="O2" s="139"/>
    </row>
    <row r="3" spans="1:15">
      <c r="A3" s="753" t="s">
        <v>1157</v>
      </c>
      <c r="B3" s="104"/>
      <c r="C3" s="104"/>
      <c r="D3" s="104"/>
      <c r="E3" s="104"/>
      <c r="F3" s="104"/>
      <c r="G3" s="104"/>
      <c r="H3" s="104"/>
      <c r="I3" s="104"/>
      <c r="J3" s="104"/>
      <c r="K3" s="104"/>
      <c r="L3" s="104"/>
      <c r="M3" s="104"/>
      <c r="N3" s="152"/>
    </row>
    <row r="4" spans="1:15" ht="8.25" customHeight="1">
      <c r="A4" s="753"/>
      <c r="B4" s="104"/>
      <c r="C4" s="104"/>
      <c r="D4" s="104"/>
      <c r="E4" s="104"/>
      <c r="F4" s="104"/>
      <c r="G4" s="104"/>
      <c r="H4" s="104"/>
      <c r="I4" s="104"/>
      <c r="J4" s="104"/>
      <c r="K4" s="104"/>
      <c r="L4" s="104"/>
      <c r="M4" s="104"/>
      <c r="N4" s="152"/>
    </row>
    <row r="5" spans="1:15" ht="13.5" customHeight="1">
      <c r="A5" s="181" t="s">
        <v>6</v>
      </c>
      <c r="B5" s="104"/>
      <c r="C5" s="1579" t="s">
        <v>1158</v>
      </c>
      <c r="D5" s="1579"/>
      <c r="E5" s="1579"/>
      <c r="F5" s="1579"/>
      <c r="G5" s="1579"/>
      <c r="H5" s="1299" t="s">
        <v>370</v>
      </c>
      <c r="I5" s="499">
        <f t="array" ref="I5">[1]!AdjTNTBaseLimit+[1]!ExcessTNTLimit</f>
        <v>0</v>
      </c>
      <c r="J5" s="104"/>
      <c r="K5" s="104"/>
      <c r="L5" s="104"/>
      <c r="M5" s="104"/>
      <c r="N5" s="152"/>
    </row>
    <row r="6" spans="1:15" ht="12" customHeight="1">
      <c r="A6" s="181" t="s">
        <v>8</v>
      </c>
      <c r="B6" s="104"/>
      <c r="C6" s="96" t="s">
        <v>522</v>
      </c>
      <c r="D6" s="96"/>
      <c r="E6" s="96"/>
      <c r="F6" s="1795" t="str">
        <f>IF(SUM(I11:I14)=0,IF(I7&gt;0,"No budget on lines 4 -7 below. Click here for Instructions",""),"")</f>
        <v/>
      </c>
      <c r="G6" s="1795"/>
      <c r="H6" s="1299"/>
      <c r="I6" s="17"/>
      <c r="J6" s="104"/>
      <c r="K6" s="104"/>
      <c r="L6" s="104"/>
      <c r="M6" s="104"/>
      <c r="N6" s="152"/>
    </row>
    <row r="7" spans="1:15" ht="14.25" customHeight="1" thickBot="1">
      <c r="A7" s="176" t="s">
        <v>22</v>
      </c>
      <c r="B7" s="104"/>
      <c r="C7" s="96" t="s">
        <v>1159</v>
      </c>
      <c r="D7" s="96"/>
      <c r="E7" s="96"/>
      <c r="F7" s="1795"/>
      <c r="G7" s="1795"/>
      <c r="H7" s="1299" t="s">
        <v>370</v>
      </c>
      <c r="I7" s="754">
        <f>I5-I6</f>
        <v>0</v>
      </c>
      <c r="J7" s="104"/>
      <c r="K7" s="104"/>
      <c r="L7" s="104"/>
      <c r="M7" s="104"/>
      <c r="N7" s="152"/>
    </row>
    <row r="8" spans="1:15" ht="13.5" customHeight="1" thickTop="1">
      <c r="A8" s="176"/>
      <c r="B8" s="96"/>
      <c r="C8" s="505"/>
      <c r="D8" s="505"/>
      <c r="E8" s="505"/>
      <c r="F8" s="1795"/>
      <c r="G8" s="1795"/>
      <c r="H8" s="1299"/>
      <c r="I8" s="1310"/>
      <c r="J8" s="96"/>
      <c r="K8" s="1791" t="s">
        <v>523</v>
      </c>
      <c r="L8" s="1791"/>
      <c r="M8" s="1791"/>
      <c r="N8" s="755"/>
    </row>
    <row r="9" spans="1:15" ht="13.5" customHeight="1">
      <c r="A9" s="117" t="s">
        <v>1160</v>
      </c>
      <c r="B9" s="96"/>
      <c r="D9" s="117"/>
      <c r="E9" s="96"/>
      <c r="F9" s="96"/>
      <c r="G9" s="96"/>
      <c r="H9" s="96"/>
      <c r="I9" s="1310"/>
      <c r="J9" s="753"/>
      <c r="K9" s="1791"/>
      <c r="L9" s="1791"/>
      <c r="M9" s="1791"/>
      <c r="N9" s="755"/>
    </row>
    <row r="10" spans="1:15" ht="7.5" customHeight="1">
      <c r="A10" s="1299"/>
      <c r="B10" s="96"/>
      <c r="C10" s="96"/>
      <c r="D10" s="96"/>
      <c r="E10" s="96"/>
      <c r="F10" s="96"/>
      <c r="G10" s="96"/>
      <c r="H10" s="96"/>
      <c r="I10" s="1310"/>
      <c r="J10" s="753"/>
      <c r="K10" s="1791"/>
      <c r="L10" s="1791"/>
      <c r="M10" s="1791"/>
      <c r="N10" s="755"/>
    </row>
    <row r="11" spans="1:15" ht="13.5" customHeight="1">
      <c r="A11" s="756" t="s">
        <v>42</v>
      </c>
      <c r="B11" s="96"/>
      <c r="C11" s="1792" t="s">
        <v>524</v>
      </c>
      <c r="D11" s="1792"/>
      <c r="E11" s="1792"/>
      <c r="F11" s="1327"/>
      <c r="G11" s="1327"/>
      <c r="H11" s="1299" t="s">
        <v>370</v>
      </c>
      <c r="I11" s="499">
        <v>0</v>
      </c>
      <c r="J11" s="96"/>
      <c r="K11" s="1299"/>
      <c r="L11" s="757" t="str">
        <f>IF(ISERROR(I11/$I$35),"",I11/$I$35)</f>
        <v/>
      </c>
      <c r="M11" s="96"/>
      <c r="N11" s="152"/>
    </row>
    <row r="12" spans="1:15" ht="13.5" customHeight="1">
      <c r="A12" s="333" t="s">
        <v>111</v>
      </c>
      <c r="B12" s="96"/>
      <c r="C12" s="96" t="s">
        <v>525</v>
      </c>
      <c r="D12" s="96"/>
      <c r="E12" s="96"/>
      <c r="F12" s="96"/>
      <c r="G12" s="96"/>
      <c r="H12" s="1299"/>
      <c r="I12" s="343">
        <f>F001P530</f>
        <v>0</v>
      </c>
      <c r="J12" s="96"/>
      <c r="K12" s="1299"/>
      <c r="L12" s="757" t="str">
        <f>IF(ISERROR(I12/$I$35),"",I12/$I$35)</f>
        <v/>
      </c>
      <c r="M12" s="96"/>
      <c r="N12" s="152"/>
    </row>
    <row r="13" spans="1:15" ht="13.5" customHeight="1">
      <c r="A13" s="333" t="s">
        <v>113</v>
      </c>
      <c r="B13" s="96"/>
      <c r="C13" s="1704" t="s">
        <v>526</v>
      </c>
      <c r="D13" s="1704"/>
      <c r="E13" s="1704"/>
      <c r="F13" s="1704"/>
      <c r="G13" s="1704"/>
      <c r="H13" s="1299"/>
      <c r="I13" s="499">
        <v>0</v>
      </c>
      <c r="J13" s="96"/>
      <c r="K13" s="1299"/>
      <c r="L13" s="757" t="str">
        <f>IF(ISERROR(I13/$I$35),"",I13/$I$35)</f>
        <v/>
      </c>
      <c r="M13" s="96"/>
      <c r="N13" s="152"/>
    </row>
    <row r="14" spans="1:15" ht="13.5" customHeight="1">
      <c r="A14" s="333" t="s">
        <v>115</v>
      </c>
      <c r="B14" s="96"/>
      <c r="C14" s="96" t="s">
        <v>527</v>
      </c>
      <c r="D14" s="96"/>
      <c r="E14" s="96"/>
      <c r="F14" s="96"/>
      <c r="G14" s="96"/>
      <c r="H14" s="1299" t="s">
        <v>370</v>
      </c>
      <c r="I14" s="499">
        <f>SSA_MO+SSA_UCO</f>
        <v>0</v>
      </c>
      <c r="J14" s="96"/>
      <c r="K14" s="1299"/>
      <c r="L14" s="757" t="str">
        <f>IF(ISERROR(I14/$I$35),"",I14/$I$35)</f>
        <v/>
      </c>
      <c r="M14" s="96"/>
      <c r="N14" s="152"/>
    </row>
    <row r="15" spans="1:15" ht="15.75" customHeight="1">
      <c r="A15" s="117" t="s">
        <v>1161</v>
      </c>
      <c r="B15" s="96"/>
      <c r="D15" s="96"/>
      <c r="E15" s="96"/>
      <c r="F15" s="96"/>
      <c r="G15" s="96"/>
      <c r="H15" s="1299"/>
      <c r="I15" s="501"/>
      <c r="J15" s="96"/>
      <c r="K15" s="1299"/>
      <c r="L15" s="109"/>
      <c r="M15" s="96"/>
      <c r="N15" s="152"/>
    </row>
    <row r="16" spans="1:15" ht="24" customHeight="1">
      <c r="A16" s="756" t="s">
        <v>117</v>
      </c>
      <c r="B16" s="96"/>
      <c r="C16" s="1793" t="s">
        <v>528</v>
      </c>
      <c r="D16" s="1793"/>
      <c r="E16" s="1793"/>
      <c r="F16" s="1793"/>
      <c r="G16" s="1793"/>
      <c r="H16" s="1299"/>
      <c r="I16" s="1301"/>
      <c r="J16" s="96"/>
      <c r="K16" s="1299"/>
      <c r="L16" s="109"/>
      <c r="M16" s="96"/>
      <c r="N16" s="152"/>
    </row>
    <row r="17" spans="1:14" ht="13.5" customHeight="1">
      <c r="A17" s="756"/>
      <c r="B17" s="96"/>
      <c r="C17" s="759" t="s">
        <v>529</v>
      </c>
      <c r="D17" s="120" t="s">
        <v>1162</v>
      </c>
      <c r="E17" s="1342"/>
      <c r="F17" s="1342" t="s">
        <v>370</v>
      </c>
      <c r="G17" s="30"/>
      <c r="H17" s="1299"/>
      <c r="I17" s="1301"/>
      <c r="J17" s="96"/>
      <c r="K17" s="1299"/>
    </row>
    <row r="18" spans="1:14" ht="25.5" customHeight="1">
      <c r="A18" s="756"/>
      <c r="B18" s="96"/>
      <c r="C18" s="120" t="s">
        <v>530</v>
      </c>
      <c r="D18" s="1633" t="s">
        <v>1163</v>
      </c>
      <c r="E18" s="1633"/>
      <c r="F18" s="1304"/>
      <c r="G18" s="499" t="e">
        <f>SUM(#REF!)</f>
        <v>#REF!</v>
      </c>
      <c r="H18" s="1299"/>
      <c r="I18" s="1301"/>
      <c r="J18" s="96"/>
      <c r="K18" s="1299"/>
      <c r="L18" s="109"/>
      <c r="M18" s="96"/>
      <c r="N18" s="152"/>
    </row>
    <row r="19" spans="1:14" ht="13.5" customHeight="1">
      <c r="A19" s="333"/>
      <c r="B19" s="96"/>
      <c r="C19" s="120" t="s">
        <v>531</v>
      </c>
      <c r="D19" s="1794" t="s">
        <v>532</v>
      </c>
      <c r="E19" s="1794"/>
      <c r="F19" s="1794"/>
      <c r="G19" s="1794"/>
      <c r="H19" s="1299" t="s">
        <v>370</v>
      </c>
      <c r="I19" s="499">
        <f>IF(G17&lt;&gt;0,G17-G18,0)</f>
        <v>0</v>
      </c>
      <c r="J19" s="96"/>
      <c r="K19" s="1299"/>
    </row>
    <row r="20" spans="1:14" ht="13.5" customHeight="1">
      <c r="A20" s="333" t="s">
        <v>119</v>
      </c>
      <c r="B20" s="96"/>
      <c r="C20" s="96" t="s">
        <v>533</v>
      </c>
      <c r="D20" s="101"/>
      <c r="E20" s="101"/>
      <c r="F20" s="101"/>
      <c r="G20" s="101"/>
      <c r="H20" s="1299"/>
      <c r="I20" s="501"/>
      <c r="J20" s="96"/>
      <c r="K20" s="1299"/>
    </row>
    <row r="21" spans="1:14" ht="13.5" customHeight="1">
      <c r="A21" s="333"/>
      <c r="B21" s="96"/>
      <c r="C21" s="96" t="s">
        <v>529</v>
      </c>
      <c r="D21" s="96" t="s">
        <v>1164</v>
      </c>
      <c r="E21" s="1299"/>
      <c r="F21" s="1299" t="s">
        <v>370</v>
      </c>
      <c r="G21" s="30"/>
      <c r="H21" s="1299"/>
      <c r="I21" s="1301"/>
      <c r="J21" s="96"/>
      <c r="K21" s="1299"/>
      <c r="L21" s="96"/>
      <c r="M21" s="96"/>
      <c r="N21" s="152"/>
    </row>
    <row r="22" spans="1:14" ht="24" customHeight="1">
      <c r="A22" s="756"/>
      <c r="B22" s="96"/>
      <c r="C22" s="120" t="s">
        <v>530</v>
      </c>
      <c r="D22" s="1793" t="s">
        <v>1165</v>
      </c>
      <c r="E22" s="1793"/>
      <c r="F22" s="1337" t="s">
        <v>370</v>
      </c>
      <c r="G22" s="499" t="e">
        <f>#REF!</f>
        <v>#REF!</v>
      </c>
      <c r="H22" s="1299"/>
      <c r="I22" s="1301"/>
      <c r="J22" s="96"/>
      <c r="K22" s="1299"/>
      <c r="L22" s="96"/>
      <c r="M22" s="96"/>
      <c r="N22" s="152"/>
    </row>
    <row r="23" spans="1:14" ht="25.5" customHeight="1">
      <c r="A23" s="333"/>
      <c r="B23" s="96"/>
      <c r="C23" s="120" t="s">
        <v>531</v>
      </c>
      <c r="D23" s="1793" t="s">
        <v>534</v>
      </c>
      <c r="E23" s="1793"/>
      <c r="F23" s="1337"/>
      <c r="G23" s="96"/>
      <c r="H23" s="1299" t="s">
        <v>370</v>
      </c>
      <c r="I23" s="499">
        <f>IF(G21&lt;&gt;0,G21-G22,0)</f>
        <v>0</v>
      </c>
      <c r="J23" s="96"/>
      <c r="K23" s="1299"/>
      <c r="L23" s="96"/>
      <c r="M23" s="96"/>
      <c r="N23" s="152"/>
    </row>
    <row r="24" spans="1:14" ht="13.5" customHeight="1" thickBot="1">
      <c r="A24" s="333" t="s">
        <v>121</v>
      </c>
      <c r="B24" s="96"/>
      <c r="C24" s="96" t="s">
        <v>535</v>
      </c>
      <c r="D24" s="96"/>
      <c r="E24" s="96"/>
      <c r="F24" s="96"/>
      <c r="G24" s="96"/>
      <c r="H24" s="1299" t="s">
        <v>370</v>
      </c>
      <c r="I24" s="1138">
        <f>SUM(I11:I14)+I19+I23</f>
        <v>0</v>
      </c>
      <c r="J24" s="96"/>
      <c r="K24" s="96"/>
      <c r="L24" s="761"/>
      <c r="M24" s="96"/>
      <c r="N24" s="152"/>
    </row>
    <row r="25" spans="1:14" ht="13.5" customHeight="1" thickTop="1">
      <c r="A25" s="333" t="s">
        <v>123</v>
      </c>
      <c r="B25" s="96"/>
      <c r="C25" s="96" t="s">
        <v>536</v>
      </c>
      <c r="D25" s="96"/>
      <c r="E25" s="96"/>
      <c r="F25" s="96"/>
      <c r="G25" s="96"/>
      <c r="H25" s="96"/>
      <c r="I25" s="1137"/>
      <c r="J25" s="96"/>
      <c r="K25" s="96"/>
      <c r="L25" s="761"/>
      <c r="M25" s="96"/>
      <c r="N25" s="152"/>
    </row>
    <row r="26" spans="1:14" ht="13.5" customHeight="1" thickBot="1">
      <c r="A26" s="176"/>
      <c r="B26" s="96"/>
      <c r="C26" s="96" t="s">
        <v>537</v>
      </c>
      <c r="D26" s="96"/>
      <c r="E26" s="96"/>
      <c r="F26" s="96"/>
      <c r="G26" s="96"/>
      <c r="H26" s="1299" t="s">
        <v>370</v>
      </c>
      <c r="I26" s="1236">
        <f>IF(I24-I7&gt;0,I24-I7,0)</f>
        <v>0</v>
      </c>
      <c r="J26" s="96"/>
      <c r="K26" s="96"/>
      <c r="L26" s="761"/>
      <c r="M26" s="96"/>
      <c r="N26" s="152"/>
    </row>
    <row r="27" spans="1:14" ht="7.5" customHeight="1" thickTop="1">
      <c r="A27" s="176"/>
      <c r="B27" s="96"/>
      <c r="C27" s="96"/>
      <c r="D27" s="96"/>
      <c r="E27" s="96"/>
      <c r="F27" s="96"/>
      <c r="G27" s="96"/>
      <c r="H27" s="96"/>
      <c r="I27" s="1310"/>
      <c r="J27" s="96"/>
      <c r="K27" s="96"/>
      <c r="L27" s="761"/>
      <c r="M27" s="96"/>
      <c r="N27" s="152"/>
    </row>
    <row r="28" spans="1:14" ht="13.5" customHeight="1">
      <c r="A28" s="426" t="s">
        <v>125</v>
      </c>
      <c r="B28" s="96"/>
      <c r="C28" s="96" t="s">
        <v>1166</v>
      </c>
      <c r="D28" s="96"/>
      <c r="E28" s="96"/>
      <c r="F28" s="96"/>
      <c r="G28" s="96"/>
      <c r="H28" s="96"/>
      <c r="I28" s="1310"/>
      <c r="J28" s="96"/>
      <c r="K28" s="96"/>
      <c r="L28" s="761"/>
      <c r="M28" s="96"/>
      <c r="N28" s="152"/>
    </row>
    <row r="29" spans="1:14" ht="12" customHeight="1">
      <c r="A29" s="1299"/>
      <c r="B29" s="96"/>
      <c r="C29" s="96" t="s">
        <v>538</v>
      </c>
      <c r="D29" s="96"/>
      <c r="E29" s="96"/>
      <c r="F29" s="96"/>
      <c r="G29" s="96"/>
      <c r="H29" s="1299" t="s">
        <v>370</v>
      </c>
      <c r="I29" s="760">
        <f>AdjWaysLevy</f>
        <v>0</v>
      </c>
      <c r="J29" s="96"/>
      <c r="K29" s="1299"/>
      <c r="L29" s="757" t="str">
        <f>IF(ISERROR(I29/$I$35),"",I29/$I$35)</f>
        <v/>
      </c>
      <c r="M29" s="96"/>
      <c r="N29" s="152"/>
    </row>
    <row r="30" spans="1:14" ht="13.5" customHeight="1">
      <c r="A30" s="333" t="s">
        <v>127</v>
      </c>
      <c r="B30" s="96"/>
      <c r="C30" s="96" t="s">
        <v>1167</v>
      </c>
      <c r="D30" s="96"/>
      <c r="E30" s="96"/>
      <c r="F30" s="96"/>
      <c r="G30" s="96"/>
      <c r="H30" s="96"/>
      <c r="I30" s="1301"/>
      <c r="J30" s="96"/>
      <c r="K30" s="96"/>
      <c r="L30" s="109"/>
      <c r="M30" s="96"/>
      <c r="N30" s="152"/>
    </row>
    <row r="31" spans="1:14" ht="12" customHeight="1">
      <c r="A31" s="96"/>
      <c r="B31" s="96"/>
      <c r="C31" s="96" t="s">
        <v>539</v>
      </c>
      <c r="D31" s="96"/>
      <c r="E31" s="96"/>
      <c r="F31" s="96"/>
      <c r="G31" s="96"/>
      <c r="H31" s="1299" t="s">
        <v>370</v>
      </c>
      <c r="I31" s="30"/>
      <c r="J31" s="96"/>
      <c r="K31" s="1299"/>
      <c r="L31" s="757" t="str">
        <f>IF(ISERROR(I31/$I$35),"",I31/$I$35)</f>
        <v/>
      </c>
      <c r="M31" s="96"/>
      <c r="N31" s="152"/>
    </row>
    <row r="32" spans="1:14" ht="5.25" customHeight="1">
      <c r="A32" s="96"/>
      <c r="B32" s="96"/>
      <c r="C32" s="96"/>
      <c r="D32" s="96"/>
      <c r="E32" s="96"/>
      <c r="F32" s="96"/>
      <c r="G32" s="96"/>
      <c r="H32" s="96"/>
      <c r="I32" s="96"/>
      <c r="J32" s="96"/>
      <c r="K32" s="96"/>
      <c r="L32" s="96"/>
      <c r="M32" s="96"/>
      <c r="N32" s="152"/>
    </row>
    <row r="33" spans="1:16" ht="13.5" customHeight="1">
      <c r="A33" s="117" t="s">
        <v>540</v>
      </c>
      <c r="B33" s="96"/>
      <c r="C33" s="96"/>
      <c r="D33" s="96"/>
      <c r="E33" s="96"/>
      <c r="F33" s="96"/>
      <c r="G33" s="96"/>
      <c r="H33" s="96"/>
      <c r="I33" s="96"/>
      <c r="J33" s="96"/>
      <c r="K33" s="96"/>
      <c r="L33" s="96"/>
      <c r="M33" s="96"/>
      <c r="N33" s="152"/>
    </row>
    <row r="34" spans="1:16" ht="13.5" customHeight="1">
      <c r="A34" s="1299" t="s">
        <v>541</v>
      </c>
      <c r="C34" s="96" t="s">
        <v>542</v>
      </c>
      <c r="D34" s="1315"/>
      <c r="E34" s="96"/>
      <c r="F34" s="96"/>
      <c r="G34" s="96"/>
      <c r="H34" s="1299" t="s">
        <v>370</v>
      </c>
      <c r="I34" s="499">
        <f>I26+I29+I31</f>
        <v>0</v>
      </c>
      <c r="J34" s="762"/>
      <c r="K34" s="96"/>
      <c r="L34" s="96"/>
      <c r="M34" s="96"/>
      <c r="N34" s="152"/>
    </row>
    <row r="35" spans="1:16" ht="13.5" customHeight="1">
      <c r="A35" s="1299" t="s">
        <v>543</v>
      </c>
      <c r="C35" s="96" t="s">
        <v>544</v>
      </c>
      <c r="D35" s="1315"/>
      <c r="E35" s="96"/>
      <c r="F35" s="96"/>
      <c r="G35" s="96"/>
      <c r="H35" s="1299" t="s">
        <v>370</v>
      </c>
      <c r="I35" s="19"/>
      <c r="J35" s="329"/>
      <c r="K35" s="96"/>
      <c r="L35" s="96"/>
      <c r="M35" s="96"/>
      <c r="N35" s="152"/>
    </row>
    <row r="36" spans="1:16" ht="13.5" customHeight="1">
      <c r="A36" s="1299" t="s">
        <v>545</v>
      </c>
      <c r="C36" s="96" t="s">
        <v>546</v>
      </c>
      <c r="D36" s="1315"/>
      <c r="E36" s="96"/>
      <c r="F36" s="96"/>
      <c r="G36" s="96"/>
      <c r="H36" s="1299" t="s">
        <v>370</v>
      </c>
      <c r="I36" s="763" t="str">
        <f>IF(I35&gt;0,ROUND((I7/I35)*10000,4)," ")</f>
        <v xml:space="preserve"> </v>
      </c>
      <c r="J36" s="762" t="s">
        <v>360</v>
      </c>
      <c r="K36" s="96"/>
      <c r="L36" s="96"/>
      <c r="M36" s="96"/>
      <c r="N36" s="152"/>
    </row>
    <row r="37" spans="1:16" ht="13.5" customHeight="1">
      <c r="A37" s="1299" t="s">
        <v>547</v>
      </c>
      <c r="C37" s="96" t="s">
        <v>548</v>
      </c>
      <c r="D37" s="1315"/>
      <c r="E37" s="96"/>
      <c r="F37" s="96"/>
      <c r="G37" s="96"/>
      <c r="H37" s="1299" t="s">
        <v>370</v>
      </c>
      <c r="I37" s="343">
        <f>I7+I26+I29+I31</f>
        <v>0</v>
      </c>
      <c r="J37" s="329"/>
      <c r="K37" s="96"/>
      <c r="L37" s="96"/>
      <c r="M37" s="96"/>
      <c r="N37" s="139"/>
      <c r="O37" s="139"/>
      <c r="P37" s="139"/>
    </row>
    <row r="38" spans="1:16" ht="13.5" customHeight="1">
      <c r="A38" s="1299" t="s">
        <v>549</v>
      </c>
      <c r="C38" s="96" t="s">
        <v>550</v>
      </c>
      <c r="D38" s="1315"/>
      <c r="E38" s="96"/>
      <c r="F38" s="96"/>
      <c r="G38" s="96"/>
      <c r="H38" s="1299" t="s">
        <v>370</v>
      </c>
      <c r="I38" s="763" t="str">
        <f>IF(I35&gt;0,ROUND((I37/I35)*10000,4)," ")</f>
        <v xml:space="preserve"> </v>
      </c>
      <c r="J38" s="762" t="s">
        <v>360</v>
      </c>
      <c r="K38" s="96"/>
      <c r="L38" s="96"/>
      <c r="M38" s="96"/>
      <c r="N38" s="139"/>
      <c r="O38" s="139"/>
      <c r="P38" s="139"/>
    </row>
    <row r="39" spans="1:16" ht="5.25" customHeight="1">
      <c r="A39" s="96"/>
      <c r="B39" s="96"/>
      <c r="C39" s="96"/>
      <c r="D39" s="96"/>
      <c r="E39" s="96"/>
      <c r="F39" s="96"/>
      <c r="G39" s="96"/>
      <c r="H39" s="96"/>
      <c r="I39" s="96"/>
      <c r="J39" s="96"/>
      <c r="K39" s="96"/>
      <c r="L39" s="96"/>
      <c r="M39" s="96"/>
      <c r="N39" s="152"/>
    </row>
    <row r="40" spans="1:16" ht="5.25" customHeight="1">
      <c r="A40" s="96"/>
      <c r="B40" s="96"/>
      <c r="C40" s="96"/>
      <c r="D40" s="96"/>
      <c r="E40" s="96"/>
      <c r="F40" s="96"/>
      <c r="G40" s="96"/>
      <c r="H40" s="96"/>
      <c r="I40" s="96"/>
      <c r="J40" s="96"/>
      <c r="K40" s="96"/>
      <c r="L40" s="96"/>
      <c r="M40" s="96"/>
      <c r="N40" s="152"/>
    </row>
    <row r="41" spans="1:16" ht="15" customHeight="1">
      <c r="A41" s="764" t="s">
        <v>357</v>
      </c>
      <c r="B41" s="120"/>
      <c r="C41" s="1788" t="s">
        <v>551</v>
      </c>
      <c r="D41" s="1788"/>
      <c r="E41" s="1788"/>
      <c r="F41" s="1788"/>
      <c r="G41" s="1788"/>
      <c r="H41" s="1788"/>
      <c r="I41" s="1788"/>
      <c r="J41" s="1788"/>
      <c r="K41" s="1788"/>
      <c r="L41" s="1788"/>
      <c r="M41" s="1790"/>
      <c r="N41"/>
    </row>
    <row r="42" spans="1:16" ht="9" customHeight="1">
      <c r="A42" s="96"/>
      <c r="B42" s="96"/>
      <c r="C42" s="1788"/>
      <c r="D42" s="1788"/>
      <c r="E42" s="1788"/>
      <c r="F42" s="1788"/>
      <c r="G42" s="1788"/>
      <c r="H42" s="1788"/>
      <c r="I42" s="1788"/>
      <c r="J42" s="1788"/>
      <c r="K42" s="1788"/>
      <c r="L42" s="1788"/>
      <c r="M42" s="1790"/>
      <c r="N42"/>
    </row>
    <row r="43" spans="1:16" ht="5.25" customHeight="1">
      <c r="A43" s="96"/>
      <c r="B43" s="96"/>
      <c r="C43" s="96"/>
      <c r="D43" s="96"/>
      <c r="E43" s="96"/>
      <c r="F43" s="96"/>
      <c r="G43" s="96"/>
      <c r="H43" s="96"/>
      <c r="I43" s="96"/>
      <c r="J43" s="96"/>
      <c r="K43" s="96"/>
      <c r="L43" s="96"/>
      <c r="M43" s="96"/>
    </row>
    <row r="44" spans="1:16" ht="14.25" customHeight="1">
      <c r="A44" s="764" t="s">
        <v>360</v>
      </c>
      <c r="B44" s="120"/>
      <c r="C44" s="1788" t="s">
        <v>552</v>
      </c>
      <c r="D44" s="1789"/>
      <c r="E44" s="1789"/>
      <c r="F44" s="1789"/>
      <c r="G44" s="1789"/>
      <c r="H44" s="1789"/>
      <c r="I44" s="1789"/>
      <c r="J44" s="1789"/>
      <c r="K44" s="1789"/>
      <c r="L44" s="1789"/>
      <c r="M44" s="1789"/>
    </row>
    <row r="45" spans="1:16" ht="9.75" customHeight="1">
      <c r="A45" s="96"/>
      <c r="B45" s="96"/>
      <c r="C45" s="1789"/>
      <c r="D45" s="1789"/>
      <c r="E45" s="1789"/>
      <c r="F45" s="1789"/>
      <c r="G45" s="1789"/>
      <c r="H45" s="1789"/>
      <c r="I45" s="1789"/>
      <c r="J45" s="1789"/>
      <c r="K45" s="1789"/>
      <c r="L45" s="1789"/>
      <c r="M45" s="1789"/>
    </row>
    <row r="46" spans="1:16" ht="5.25" customHeight="1">
      <c r="A46" s="96"/>
      <c r="B46" s="96"/>
      <c r="C46" s="96"/>
      <c r="D46" s="96"/>
      <c r="E46" s="96"/>
      <c r="F46" s="96"/>
      <c r="G46" s="96"/>
      <c r="H46" s="96"/>
      <c r="I46" s="96"/>
      <c r="J46" s="96"/>
      <c r="K46" s="96"/>
      <c r="L46" s="96"/>
      <c r="M46" s="96"/>
      <c r="N46" s="152"/>
    </row>
    <row r="47" spans="1:16" ht="15" customHeight="1">
      <c r="A47" s="764"/>
      <c r="B47" s="120"/>
      <c r="C47" s="1788"/>
      <c r="D47" s="1788"/>
      <c r="E47" s="1788"/>
      <c r="F47" s="1788"/>
      <c r="G47" s="1788"/>
      <c r="H47" s="1788"/>
      <c r="I47" s="1788"/>
      <c r="J47" s="1788"/>
      <c r="K47" s="1788"/>
      <c r="L47" s="1788"/>
      <c r="M47" s="1790"/>
      <c r="N47"/>
    </row>
    <row r="48" spans="1:16" ht="9" customHeight="1">
      <c r="A48" s="96"/>
      <c r="B48" s="96"/>
      <c r="C48" s="1788"/>
      <c r="D48" s="1788"/>
      <c r="E48" s="1788"/>
      <c r="F48" s="1788"/>
      <c r="G48" s="1788"/>
      <c r="H48" s="1788"/>
      <c r="I48" s="1788"/>
      <c r="J48" s="1788"/>
      <c r="K48" s="1788"/>
      <c r="L48" s="1788"/>
      <c r="M48" s="1790"/>
      <c r="N48"/>
    </row>
    <row r="49" spans="1:13" ht="5.25" customHeight="1">
      <c r="A49" s="96"/>
      <c r="B49" s="96"/>
      <c r="C49" s="96"/>
      <c r="D49" s="96"/>
      <c r="E49" s="96"/>
      <c r="F49" s="96"/>
      <c r="G49" s="96"/>
      <c r="H49" s="96"/>
      <c r="I49" s="96"/>
      <c r="J49" s="96"/>
      <c r="K49" s="96"/>
      <c r="L49" s="96"/>
      <c r="M49" s="96"/>
    </row>
    <row r="50" spans="1:13" ht="14.25" customHeight="1">
      <c r="A50" s="764"/>
      <c r="B50" s="120"/>
      <c r="C50" s="1788"/>
      <c r="D50" s="1789"/>
      <c r="E50" s="1789"/>
      <c r="F50" s="1789"/>
      <c r="G50" s="1789"/>
      <c r="H50" s="1789"/>
      <c r="I50" s="1789"/>
      <c r="J50" s="1789"/>
      <c r="K50" s="1789"/>
      <c r="L50" s="1789"/>
      <c r="M50" s="1789"/>
    </row>
    <row r="51" spans="1:13" ht="9.75" customHeight="1">
      <c r="A51" s="96"/>
      <c r="B51" s="96"/>
      <c r="C51" s="1789"/>
      <c r="D51" s="1789"/>
      <c r="E51" s="1789"/>
      <c r="F51" s="1789"/>
      <c r="G51" s="1789"/>
      <c r="H51" s="1789"/>
      <c r="I51" s="1789"/>
      <c r="J51" s="1789"/>
      <c r="K51" s="1789"/>
      <c r="L51" s="1789"/>
      <c r="M51" s="1789"/>
    </row>
    <row r="52" spans="1:13">
      <c r="A52" s="139"/>
      <c r="B52" s="139"/>
      <c r="C52" s="139"/>
      <c r="D52" s="139"/>
      <c r="E52" s="139"/>
      <c r="F52" s="139"/>
      <c r="G52" s="139"/>
      <c r="H52" s="139"/>
      <c r="I52" s="139"/>
      <c r="J52" s="139"/>
      <c r="K52" s="139"/>
      <c r="L52" s="139"/>
      <c r="M52" s="139"/>
    </row>
    <row r="53" spans="1:13">
      <c r="A53" s="139"/>
      <c r="B53" s="139"/>
      <c r="C53" s="139"/>
      <c r="D53" s="139"/>
      <c r="E53" s="139"/>
      <c r="F53" s="139"/>
      <c r="G53" s="139"/>
      <c r="H53" s="139"/>
      <c r="I53" s="139"/>
      <c r="J53" s="139"/>
      <c r="K53" s="139"/>
      <c r="L53" s="139"/>
      <c r="M53" s="139"/>
    </row>
  </sheetData>
  <sheetProtection sheet="1"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C00-000000000000}"/>
    <dataValidation allowBlank="1" showInputMessage="1" showErrorMessage="1" promptTitle="Desegregation" prompt="Beginning in FY 2019, Desegregation is levied as a secondary tax." sqref="I11" xr:uid="{00000000-0002-0000-0C00-000001000000}"/>
  </dataValidations>
  <hyperlinks>
    <hyperlink ref="A13" r:id="rId1" display="file:///C:\Users\ryoung2\AppData\Local\Microsoft\Windows\INetCache\Content.Outlook\Prohibited%20formula%20characters\Files%20from%20ADE%203-27-23\TruthinTaxl6" xr:uid="{00000000-0004-0000-0C00-000000000000}"/>
    <hyperlink ref="A14" r:id="rId2" display="file:///C:\Users\ryoung2\AppData\Local\Microsoft\Windows\INetCache\Content.Outlook\Prohibited%20formula%20characters\Files%20from%20ADE%203-27-23\TruthinTaxl7" xr:uid="{00000000-0004-0000-0C00-000001000000}"/>
    <hyperlink ref="A18" r:id="rId3" display="10." xr:uid="{00000000-0004-0000-0C00-000002000000}"/>
    <hyperlink ref="A6" location="TruthinTaxl2" display="2." xr:uid="{00000000-0004-0000-0C00-000003000000}"/>
    <hyperlink ref="C17" location="TruthinTaxl8a" display="a." xr:uid="{00000000-0004-0000-0C00-000004000000}"/>
    <hyperlink ref="F6:G8" location="TruthinTaxl2" display="TruthinTaxl2" xr:uid="{00000000-0004-0000-0C00-000005000000}"/>
    <hyperlink ref="A5" r:id="rId4" xr:uid="{00000000-0004-0000-0C00-000006000000}"/>
    <hyperlink ref="A28" location="TNTWSl12" display="12." xr:uid="{00000000-0004-0000-0C00-000007000000}"/>
  </hyperlinks>
  <printOptions horizontalCentered="1"/>
  <pageMargins left="0.25" right="0.25" top="0.25" bottom="0.25" header="0" footer="0.15"/>
  <pageSetup paperSize="5" scale="92" orientation="landscape" r:id="rId5"/>
  <headerFooter alignWithMargins="0">
    <oddFooter>&amp;L&amp;"Times New Roman,Bold"&amp;9Rev. 5/25&amp;K000000 Arizona Department of Education and Auditor General&amp;C&amp;"Times New Roman,Regular"&amp;9&amp;D  &amp;T</oddFooter>
  </headerFooter>
  <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pageSetUpPr fitToPage="1"/>
  </sheetPr>
  <dimension ref="A1:BJ40"/>
  <sheetViews>
    <sheetView showGridLines="0" topLeftCell="A8" workbookViewId="0">
      <selection activeCell="A33" sqref="A33:E40"/>
    </sheetView>
  </sheetViews>
  <sheetFormatPr defaultColWidth="9.1796875" defaultRowHeight="13.2"/>
  <cols>
    <col min="1" max="1" width="2.08984375" style="1249" customWidth="1"/>
    <col min="2" max="2" width="65.08984375" style="1249" customWidth="1"/>
    <col min="3" max="3" width="15.08984375" style="1249" customWidth="1"/>
    <col min="4" max="4" width="16.90625" style="1249" customWidth="1"/>
    <col min="5" max="5" width="17.54296875" style="1249" customWidth="1"/>
    <col min="6" max="6" width="20" style="1249" customWidth="1"/>
    <col min="7" max="7" width="16.453125" style="1249" customWidth="1"/>
    <col min="8" max="8" width="13.08984375" style="1249" customWidth="1"/>
    <col min="9" max="9" width="12" style="1249" customWidth="1"/>
    <col min="10" max="10" width="13.6328125" style="1249" customWidth="1"/>
    <col min="11" max="11" width="14.08984375" style="1249" customWidth="1"/>
    <col min="12" max="12" width="18.90625" style="1249" customWidth="1"/>
    <col min="13" max="13" width="13.453125" style="1249" customWidth="1"/>
    <col min="14" max="14" width="13.08984375" style="1249" customWidth="1"/>
    <col min="15" max="15" width="11.1796875" style="1249" customWidth="1"/>
    <col min="16" max="16" width="10.6328125" style="1249" customWidth="1"/>
    <col min="17" max="17" width="11.54296875" style="1249" customWidth="1"/>
    <col min="18" max="19" width="9.1796875" style="1249" customWidth="1"/>
    <col min="20" max="16384" width="9.1796875" style="1249"/>
  </cols>
  <sheetData>
    <row r="1" spans="1:62" s="1242" customFormat="1" ht="11.25" customHeight="1">
      <c r="B1" s="1243" t="s">
        <v>59</v>
      </c>
      <c r="C1" s="1796" t="str">
        <f>DistrictName</f>
        <v>Murphy Elementary School District #21</v>
      </c>
      <c r="D1" s="1796"/>
      <c r="E1" s="1424" t="s">
        <v>60</v>
      </c>
      <c r="F1" s="1797" t="str">
        <f>Cover!S1</f>
        <v>070421000</v>
      </c>
      <c r="G1" s="1797"/>
      <c r="L1" s="1244"/>
      <c r="M1" s="1245"/>
      <c r="N1" s="1245"/>
      <c r="O1" s="1245"/>
      <c r="P1" s="1245"/>
      <c r="Q1" s="1245"/>
      <c r="R1" s="1245"/>
      <c r="S1" s="1245"/>
      <c r="T1" s="1245"/>
      <c r="U1" s="1245"/>
      <c r="V1" s="1245"/>
      <c r="W1" s="1245"/>
      <c r="X1" s="1245"/>
      <c r="Y1" s="1245"/>
      <c r="Z1" s="1245"/>
      <c r="AA1" s="1245"/>
      <c r="AB1" s="1245"/>
      <c r="AC1" s="1245"/>
      <c r="AD1" s="1245"/>
      <c r="AE1" s="1245"/>
      <c r="AF1" s="1245"/>
      <c r="AG1" s="1245"/>
      <c r="AH1" s="1245"/>
      <c r="AI1" s="1245"/>
      <c r="AJ1" s="1245"/>
      <c r="AK1" s="1245"/>
      <c r="AL1" s="1245"/>
      <c r="AM1" s="1245"/>
      <c r="AN1" s="1245"/>
      <c r="AO1" s="1245"/>
      <c r="AP1" s="1245"/>
      <c r="AQ1" s="1245"/>
      <c r="AR1" s="1245"/>
      <c r="AS1" s="1245"/>
      <c r="AT1" s="1245"/>
      <c r="AU1" s="1245"/>
      <c r="AV1" s="1245"/>
      <c r="AW1" s="1245"/>
      <c r="AX1" s="1245"/>
      <c r="AY1" s="1245"/>
      <c r="AZ1" s="1245"/>
      <c r="BA1" s="1245"/>
      <c r="BB1" s="1245"/>
      <c r="BC1" s="1245"/>
      <c r="BD1" s="1245"/>
      <c r="BE1" s="1245"/>
      <c r="BF1" s="1245"/>
      <c r="BG1" s="1245"/>
      <c r="BH1" s="1245"/>
      <c r="BI1" s="1245"/>
      <c r="BJ1" s="1245"/>
    </row>
    <row r="2" spans="1:62" s="1242" customFormat="1" ht="11.25" customHeight="1">
      <c r="C2" s="1246"/>
      <c r="D2" s="1246"/>
      <c r="E2" s="1246"/>
      <c r="F2" s="1247"/>
      <c r="G2" s="1248"/>
      <c r="L2" s="1244"/>
      <c r="M2" s="1245"/>
      <c r="N2" s="1245"/>
      <c r="O2" s="1245"/>
      <c r="P2" s="1245"/>
      <c r="Q2" s="1245"/>
      <c r="R2" s="1245"/>
      <c r="S2" s="1245"/>
      <c r="T2" s="1245"/>
      <c r="U2" s="1245"/>
      <c r="V2" s="1245"/>
      <c r="W2" s="1245"/>
      <c r="X2" s="1245"/>
      <c r="Y2" s="1245"/>
      <c r="Z2" s="1245"/>
      <c r="AA2" s="1245"/>
      <c r="AB2" s="1245"/>
      <c r="AC2" s="1245"/>
      <c r="AD2" s="1245"/>
      <c r="AE2" s="1245"/>
      <c r="AF2" s="1245"/>
      <c r="AG2" s="1245"/>
      <c r="AH2" s="1245"/>
      <c r="AI2" s="1245"/>
      <c r="AJ2" s="1245"/>
      <c r="AK2" s="1245"/>
      <c r="AL2" s="1245"/>
      <c r="AM2" s="1245"/>
      <c r="AN2" s="1245"/>
      <c r="AO2" s="1245"/>
      <c r="AP2" s="1245"/>
      <c r="AQ2" s="1245"/>
      <c r="AR2" s="1245"/>
      <c r="AS2" s="1245"/>
      <c r="AT2" s="1245"/>
      <c r="AU2" s="1245"/>
      <c r="AV2" s="1245"/>
      <c r="AW2" s="1245"/>
      <c r="AX2" s="1245"/>
      <c r="AY2" s="1245"/>
      <c r="AZ2" s="1245"/>
      <c r="BA2" s="1245"/>
      <c r="BB2" s="1245"/>
      <c r="BC2" s="1245"/>
      <c r="BD2" s="1245"/>
      <c r="BE2" s="1245"/>
      <c r="BF2" s="1245"/>
      <c r="BG2" s="1245"/>
      <c r="BH2" s="1245"/>
      <c r="BI2" s="1245"/>
      <c r="BJ2" s="1245"/>
    </row>
    <row r="3" spans="1:62" s="1242" customFormat="1" ht="16.5" customHeight="1">
      <c r="A3" s="1798" t="s">
        <v>1168</v>
      </c>
      <c r="B3" s="1798"/>
      <c r="C3" s="1798"/>
      <c r="D3" s="1798"/>
      <c r="E3" s="1798"/>
      <c r="F3" s="1798"/>
      <c r="G3" s="1798"/>
      <c r="H3" s="1798"/>
      <c r="I3" s="1798"/>
      <c r="L3" s="1244"/>
      <c r="M3" s="1245"/>
      <c r="N3" s="1245"/>
      <c r="O3" s="1245"/>
      <c r="P3" s="1245"/>
      <c r="Q3" s="1245"/>
      <c r="R3" s="1245"/>
      <c r="S3" s="1245"/>
      <c r="T3" s="1245"/>
      <c r="U3" s="1245"/>
      <c r="V3" s="1245"/>
      <c r="W3" s="1245"/>
      <c r="X3" s="1245"/>
      <c r="Y3" s="1245"/>
      <c r="Z3" s="1245"/>
      <c r="AA3" s="1245"/>
      <c r="AB3" s="1245"/>
      <c r="AC3" s="1245"/>
      <c r="AD3" s="1245"/>
      <c r="AE3" s="1245"/>
      <c r="AF3" s="1245"/>
      <c r="AG3" s="1245"/>
      <c r="AH3" s="1245"/>
      <c r="AI3" s="1245"/>
      <c r="AJ3" s="1245"/>
      <c r="AK3" s="1245"/>
      <c r="AL3" s="1245"/>
      <c r="AM3" s="1245"/>
      <c r="AN3" s="1245"/>
      <c r="AO3" s="1245"/>
      <c r="AP3" s="1245"/>
      <c r="AQ3" s="1245"/>
      <c r="AR3" s="1245"/>
      <c r="AS3" s="1245"/>
      <c r="AT3" s="1245"/>
      <c r="AU3" s="1245"/>
      <c r="AV3" s="1245"/>
      <c r="AW3" s="1245"/>
      <c r="AX3" s="1245"/>
      <c r="AY3" s="1245"/>
      <c r="AZ3" s="1245"/>
      <c r="BA3" s="1245"/>
      <c r="BB3" s="1245"/>
      <c r="BC3" s="1245"/>
      <c r="BD3" s="1245"/>
      <c r="BE3" s="1245"/>
      <c r="BF3" s="1245"/>
      <c r="BG3" s="1245"/>
      <c r="BH3" s="1245"/>
      <c r="BI3" s="1245"/>
      <c r="BJ3" s="1245"/>
    </row>
    <row r="4" spans="1:62" s="1242" customFormat="1" ht="11.25" customHeight="1">
      <c r="A4" s="1798"/>
      <c r="B4" s="1798"/>
      <c r="C4" s="1798"/>
      <c r="D4" s="1798"/>
      <c r="E4" s="1798"/>
      <c r="F4" s="1798"/>
      <c r="G4" s="1798"/>
      <c r="H4" s="1798"/>
      <c r="I4" s="1798"/>
      <c r="J4" s="1249"/>
      <c r="K4" s="1249"/>
      <c r="L4" s="1249"/>
      <c r="M4" s="1245"/>
      <c r="N4" s="1245"/>
      <c r="O4" s="1245"/>
      <c r="P4" s="1245"/>
      <c r="Q4" s="1245"/>
      <c r="R4" s="1245"/>
      <c r="S4" s="1245"/>
      <c r="T4" s="1245"/>
      <c r="U4" s="1245"/>
      <c r="V4" s="1245"/>
      <c r="W4" s="1245"/>
      <c r="X4" s="1245"/>
      <c r="Y4" s="1245"/>
      <c r="Z4" s="1245"/>
      <c r="AA4" s="1245"/>
      <c r="AB4" s="1245"/>
      <c r="AC4" s="1245"/>
      <c r="AD4" s="1245"/>
      <c r="AE4" s="1245"/>
      <c r="AF4" s="1245"/>
      <c r="AG4" s="1245"/>
      <c r="AH4" s="1245"/>
      <c r="AI4" s="1245"/>
      <c r="AJ4" s="1245"/>
      <c r="AK4" s="1245"/>
      <c r="AL4" s="1245"/>
      <c r="AM4" s="1245"/>
      <c r="AN4" s="1245"/>
      <c r="AO4" s="1245"/>
      <c r="AP4" s="1245"/>
      <c r="AQ4" s="1245"/>
      <c r="AR4" s="1245"/>
      <c r="AS4" s="1245"/>
      <c r="AT4" s="1245"/>
      <c r="AU4" s="1245"/>
      <c r="AV4" s="1245"/>
      <c r="AW4" s="1245"/>
      <c r="AX4" s="1245"/>
      <c r="AY4" s="1245"/>
      <c r="AZ4" s="1245"/>
      <c r="BA4" s="1245"/>
      <c r="BB4" s="1245"/>
      <c r="BC4" s="1245"/>
      <c r="BD4" s="1245"/>
      <c r="BE4" s="1245"/>
      <c r="BF4" s="1245"/>
      <c r="BG4" s="1245"/>
      <c r="BH4" s="1245"/>
      <c r="BI4" s="1245"/>
      <c r="BJ4" s="1245"/>
    </row>
    <row r="5" spans="1:62" s="1242" customFormat="1" ht="11.25" customHeight="1">
      <c r="A5" s="1798"/>
      <c r="B5" s="1798"/>
      <c r="C5" s="1798"/>
      <c r="D5" s="1798"/>
      <c r="E5" s="1798"/>
      <c r="F5" s="1798"/>
      <c r="G5" s="1798"/>
      <c r="H5" s="1798"/>
      <c r="I5" s="1798"/>
      <c r="J5" s="1249"/>
      <c r="K5" s="1249"/>
      <c r="L5" s="1249"/>
      <c r="M5" s="1245"/>
      <c r="N5" s="1245"/>
      <c r="O5" s="1245"/>
      <c r="P5" s="1245"/>
      <c r="Q5" s="1245"/>
      <c r="R5" s="1245"/>
      <c r="S5" s="1245"/>
      <c r="T5" s="1245"/>
      <c r="U5" s="1245"/>
      <c r="V5" s="1245"/>
      <c r="W5" s="1245"/>
      <c r="X5" s="1245"/>
      <c r="Y5" s="1245"/>
      <c r="Z5" s="1245"/>
      <c r="AA5" s="1245"/>
      <c r="AB5" s="1245"/>
      <c r="AC5" s="1245"/>
      <c r="AD5" s="1245"/>
      <c r="AE5" s="1245"/>
      <c r="AF5" s="1245"/>
      <c r="AG5" s="1245"/>
      <c r="AH5" s="1245"/>
      <c r="AI5" s="1245"/>
      <c r="AJ5" s="1245"/>
      <c r="AK5" s="1245"/>
      <c r="AL5" s="1245"/>
      <c r="AM5" s="1245"/>
      <c r="AN5" s="1245"/>
      <c r="AO5" s="1245"/>
      <c r="AP5" s="1245"/>
      <c r="AQ5" s="1245"/>
      <c r="AR5" s="1245"/>
      <c r="AS5" s="1245"/>
      <c r="AT5" s="1245"/>
      <c r="AU5" s="1245"/>
      <c r="AV5" s="1245"/>
      <c r="AW5" s="1245"/>
      <c r="AX5" s="1245"/>
      <c r="AY5" s="1245"/>
      <c r="AZ5" s="1245"/>
      <c r="BA5" s="1245"/>
      <c r="BB5" s="1245"/>
      <c r="BC5" s="1245"/>
      <c r="BD5" s="1245"/>
      <c r="BE5" s="1245"/>
      <c r="BF5" s="1245"/>
      <c r="BG5" s="1245"/>
      <c r="BH5" s="1245"/>
      <c r="BI5" s="1245"/>
      <c r="BJ5" s="1245"/>
    </row>
    <row r="6" spans="1:62" ht="15" customHeight="1">
      <c r="A6" s="1799"/>
      <c r="B6" s="1799"/>
      <c r="C6" s="1800" t="s">
        <v>553</v>
      </c>
      <c r="D6" s="1801"/>
      <c r="E6" s="1801"/>
      <c r="F6" s="1801"/>
      <c r="G6" s="1801"/>
      <c r="H6" s="1801"/>
      <c r="I6" s="1801"/>
      <c r="J6" s="1801"/>
      <c r="K6" s="1801"/>
      <c r="L6" s="1801"/>
      <c r="M6" s="1801"/>
      <c r="N6" s="1801"/>
      <c r="O6" s="1801"/>
      <c r="P6" s="1801"/>
      <c r="Q6" s="1802"/>
    </row>
    <row r="7" spans="1:62" ht="28.5" customHeight="1">
      <c r="B7" s="1250"/>
      <c r="C7" s="1814" t="s">
        <v>554</v>
      </c>
      <c r="D7" s="1815"/>
      <c r="E7" s="1816"/>
      <c r="F7" s="1817" t="s">
        <v>555</v>
      </c>
      <c r="G7" s="1815"/>
      <c r="H7" s="1815"/>
      <c r="I7" s="1816"/>
      <c r="J7" s="1817" t="s">
        <v>556</v>
      </c>
      <c r="K7" s="1815"/>
      <c r="L7" s="1815"/>
      <c r="M7" s="1803" t="s">
        <v>557</v>
      </c>
      <c r="N7" s="1803" t="s">
        <v>558</v>
      </c>
      <c r="O7" s="1803" t="s">
        <v>559</v>
      </c>
      <c r="P7" s="1818" t="s">
        <v>560</v>
      </c>
      <c r="Q7" s="1803" t="s">
        <v>561</v>
      </c>
    </row>
    <row r="8" spans="1:62" ht="58.5" customHeight="1">
      <c r="A8" s="1804" t="s">
        <v>1169</v>
      </c>
      <c r="B8" s="1804"/>
      <c r="C8" s="1251" t="s">
        <v>562</v>
      </c>
      <c r="D8" s="1251" t="s">
        <v>563</v>
      </c>
      <c r="E8" s="1251" t="s">
        <v>564</v>
      </c>
      <c r="F8" s="1251" t="s">
        <v>565</v>
      </c>
      <c r="G8" s="1252" t="s">
        <v>566</v>
      </c>
      <c r="H8" s="1251" t="s">
        <v>567</v>
      </c>
      <c r="I8" s="1251" t="s">
        <v>568</v>
      </c>
      <c r="J8" s="1251" t="s">
        <v>569</v>
      </c>
      <c r="K8" s="1251" t="s">
        <v>570</v>
      </c>
      <c r="L8" s="1251" t="s">
        <v>571</v>
      </c>
      <c r="M8" s="1803"/>
      <c r="N8" s="1803"/>
      <c r="O8" s="1803"/>
      <c r="P8" s="1819"/>
      <c r="Q8" s="1803"/>
      <c r="W8" s="1253" t="s">
        <v>572</v>
      </c>
    </row>
    <row r="9" spans="1:62" ht="7.5" customHeight="1">
      <c r="A9" s="1254"/>
      <c r="B9" s="1254"/>
      <c r="C9" s="1255"/>
      <c r="D9" s="1255"/>
      <c r="E9" s="1255"/>
      <c r="F9" s="1255"/>
      <c r="G9" s="1256"/>
      <c r="H9" s="1256"/>
      <c r="I9" s="1256"/>
      <c r="J9" s="1256"/>
      <c r="K9" s="1256"/>
      <c r="L9" s="1256"/>
      <c r="M9" s="1257"/>
      <c r="N9" s="1257"/>
      <c r="O9" s="1257"/>
      <c r="P9" s="1257"/>
      <c r="Q9" s="1257"/>
      <c r="W9" s="1253"/>
    </row>
    <row r="10" spans="1:62" ht="15" customHeight="1">
      <c r="A10" s="1258" t="s">
        <v>6</v>
      </c>
      <c r="B10" s="1515" t="s">
        <v>1170</v>
      </c>
      <c r="C10" s="1260">
        <v>8184195</v>
      </c>
      <c r="D10" s="1260">
        <v>0</v>
      </c>
      <c r="E10" s="1260">
        <v>4651776</v>
      </c>
      <c r="F10" s="1260">
        <v>1723317</v>
      </c>
      <c r="G10" s="1260">
        <v>0</v>
      </c>
      <c r="H10" s="1260">
        <v>924202</v>
      </c>
      <c r="I10" s="1260">
        <v>33917</v>
      </c>
      <c r="J10" s="1260">
        <v>1129242</v>
      </c>
      <c r="K10" s="1260">
        <v>-566855</v>
      </c>
      <c r="L10" s="1260">
        <v>1361081</v>
      </c>
      <c r="M10" s="1260">
        <v>0</v>
      </c>
      <c r="N10" s="1260">
        <v>0</v>
      </c>
      <c r="O10" s="1260">
        <v>2084</v>
      </c>
      <c r="P10" s="1260">
        <v>0</v>
      </c>
      <c r="Q10" s="1261">
        <f>SUM(C10:P10)</f>
        <v>17442959</v>
      </c>
      <c r="W10" s="1253" t="s">
        <v>573</v>
      </c>
    </row>
    <row r="11" spans="1:62" ht="15" customHeight="1">
      <c r="A11" s="1262"/>
      <c r="B11" s="1259" t="s">
        <v>1171</v>
      </c>
      <c r="C11" s="1263"/>
      <c r="D11" s="1263"/>
      <c r="E11" s="1263"/>
      <c r="F11" s="1263"/>
      <c r="W11" s="1253"/>
    </row>
    <row r="12" spans="1:62" ht="7.5" customHeight="1">
      <c r="A12" s="1264"/>
      <c r="B12" s="1259"/>
      <c r="C12" s="1256"/>
      <c r="D12" s="1256"/>
      <c r="E12" s="1256"/>
      <c r="F12" s="1256"/>
      <c r="W12" s="1253"/>
    </row>
    <row r="13" spans="1:62" ht="15" customHeight="1">
      <c r="A13" s="1265" t="s">
        <v>8</v>
      </c>
      <c r="B13" s="1266" t="s">
        <v>1172</v>
      </c>
      <c r="C13" s="1267"/>
      <c r="D13" s="1267"/>
      <c r="E13" s="1267"/>
      <c r="F13" s="1268"/>
      <c r="W13" s="1253"/>
    </row>
    <row r="14" spans="1:62" ht="15" customHeight="1">
      <c r="A14" s="1264"/>
      <c r="B14" s="1516" t="s">
        <v>1174</v>
      </c>
      <c r="C14" s="1260">
        <v>9626095</v>
      </c>
      <c r="D14" s="1260">
        <v>0</v>
      </c>
      <c r="E14" s="1260">
        <v>180000</v>
      </c>
      <c r="F14" s="1260">
        <v>998000</v>
      </c>
      <c r="G14" s="1260">
        <v>0</v>
      </c>
      <c r="H14" s="1260">
        <v>27060</v>
      </c>
      <c r="I14" s="1260">
        <v>1000</v>
      </c>
      <c r="J14" s="1260">
        <v>975000</v>
      </c>
      <c r="K14" s="1260">
        <v>1983939</v>
      </c>
      <c r="L14" s="1260">
        <v>1892843</v>
      </c>
      <c r="M14" s="1260">
        <v>890000</v>
      </c>
      <c r="N14" s="1260">
        <v>0</v>
      </c>
      <c r="O14" s="1260">
        <v>61</v>
      </c>
      <c r="P14" s="1260">
        <v>0</v>
      </c>
      <c r="Q14" s="1261">
        <f>SUM(C14:P14)</f>
        <v>16573998</v>
      </c>
      <c r="W14" s="1253"/>
    </row>
    <row r="15" spans="1:62" ht="15" customHeight="1">
      <c r="A15" s="1264"/>
      <c r="B15" s="1516" t="s">
        <v>1173</v>
      </c>
      <c r="C15" s="1260">
        <v>8900000</v>
      </c>
      <c r="D15" s="1260">
        <v>0</v>
      </c>
      <c r="E15" s="1260">
        <v>1288000</v>
      </c>
      <c r="F15" s="1260">
        <v>1737980</v>
      </c>
      <c r="G15" s="1260">
        <v>0</v>
      </c>
      <c r="H15" s="1260">
        <v>280000</v>
      </c>
      <c r="I15" s="1260">
        <v>32302</v>
      </c>
      <c r="J15" s="1260">
        <v>907498</v>
      </c>
      <c r="K15" s="1260">
        <v>2178284</v>
      </c>
      <c r="L15" s="1260">
        <v>1584233</v>
      </c>
      <c r="M15" s="1260">
        <v>890000</v>
      </c>
      <c r="N15" s="1260">
        <v>0</v>
      </c>
      <c r="O15" s="1260">
        <v>0</v>
      </c>
      <c r="P15" s="1260">
        <v>0</v>
      </c>
      <c r="Q15" s="1261">
        <f t="shared" ref="Q15:Q17" si="0">SUM(C15:P15)</f>
        <v>17798297</v>
      </c>
      <c r="W15" s="1253"/>
    </row>
    <row r="16" spans="1:62" ht="15" customHeight="1">
      <c r="A16" s="1264"/>
      <c r="B16" s="1259"/>
      <c r="C16" s="1269"/>
      <c r="D16" s="1269"/>
      <c r="E16" s="1269"/>
      <c r="F16" s="1269"/>
      <c r="G16" s="1269"/>
      <c r="H16" s="1269"/>
      <c r="I16" s="1269"/>
      <c r="J16" s="1269"/>
      <c r="K16" s="1269"/>
      <c r="L16" s="1269"/>
      <c r="M16" s="1269"/>
      <c r="N16" s="1269"/>
      <c r="O16" s="1269"/>
      <c r="P16" s="1269"/>
      <c r="Q16" s="1269"/>
      <c r="W16" s="1253"/>
    </row>
    <row r="17" spans="1:23" ht="15" customHeight="1">
      <c r="A17" s="1265" t="s">
        <v>22</v>
      </c>
      <c r="B17" s="1266" t="s">
        <v>1175</v>
      </c>
      <c r="C17" s="1270">
        <f>C10+C14-C15</f>
        <v>8910290</v>
      </c>
      <c r="D17" s="1270">
        <f t="shared" ref="D17:P17" si="1">D10+D14-D15</f>
        <v>0</v>
      </c>
      <c r="E17" s="1270">
        <f t="shared" si="1"/>
        <v>3543776</v>
      </c>
      <c r="F17" s="1270">
        <f t="shared" si="1"/>
        <v>983337</v>
      </c>
      <c r="G17" s="1270">
        <f t="shared" si="1"/>
        <v>0</v>
      </c>
      <c r="H17" s="1270">
        <f t="shared" si="1"/>
        <v>671262</v>
      </c>
      <c r="I17" s="1270">
        <f t="shared" si="1"/>
        <v>2615</v>
      </c>
      <c r="J17" s="1270">
        <f t="shared" si="1"/>
        <v>1196744</v>
      </c>
      <c r="K17" s="1270">
        <f t="shared" si="1"/>
        <v>-761200</v>
      </c>
      <c r="L17" s="1270">
        <f t="shared" si="1"/>
        <v>1669691</v>
      </c>
      <c r="M17" s="1270">
        <f t="shared" si="1"/>
        <v>0</v>
      </c>
      <c r="N17" s="1270">
        <f t="shared" si="1"/>
        <v>0</v>
      </c>
      <c r="O17" s="1270">
        <f t="shared" si="1"/>
        <v>2145</v>
      </c>
      <c r="P17" s="1270">
        <f t="shared" si="1"/>
        <v>0</v>
      </c>
      <c r="Q17" s="1261">
        <f t="shared" si="0"/>
        <v>16218660</v>
      </c>
      <c r="W17" s="1253"/>
    </row>
    <row r="18" spans="1:23" ht="15" customHeight="1">
      <c r="A18" s="1271"/>
      <c r="B18" s="1516" t="s">
        <v>574</v>
      </c>
      <c r="C18" s="1260">
        <v>0</v>
      </c>
      <c r="D18" s="1260">
        <v>0</v>
      </c>
      <c r="E18" s="1260">
        <v>0</v>
      </c>
      <c r="F18" s="1260">
        <v>0</v>
      </c>
      <c r="G18" s="1260">
        <v>0</v>
      </c>
      <c r="H18" s="1260">
        <v>0</v>
      </c>
      <c r="I18" s="1260">
        <v>0</v>
      </c>
      <c r="J18" s="1260">
        <v>0</v>
      </c>
      <c r="K18" s="1260">
        <v>0</v>
      </c>
      <c r="L18" s="1260">
        <v>0</v>
      </c>
      <c r="M18" s="1260">
        <v>0</v>
      </c>
      <c r="N18" s="1260">
        <v>0</v>
      </c>
      <c r="O18" s="1260">
        <v>0</v>
      </c>
      <c r="P18" s="1260">
        <v>0</v>
      </c>
      <c r="Q18" s="1261">
        <f>SUM(C18:P18)</f>
        <v>0</v>
      </c>
      <c r="W18" s="1253"/>
    </row>
    <row r="19" spans="1:23" ht="15" customHeight="1">
      <c r="A19" s="1271"/>
      <c r="B19" s="1516" t="s">
        <v>575</v>
      </c>
      <c r="C19" s="1260">
        <v>0</v>
      </c>
      <c r="D19" s="1260">
        <v>0</v>
      </c>
      <c r="E19" s="1260">
        <v>0</v>
      </c>
      <c r="F19" s="1260">
        <v>983337</v>
      </c>
      <c r="G19" s="1260">
        <v>0</v>
      </c>
      <c r="H19" s="1260">
        <v>671262</v>
      </c>
      <c r="I19" s="1260">
        <v>2615</v>
      </c>
      <c r="J19" s="1260">
        <v>1196744</v>
      </c>
      <c r="K19" s="1260">
        <v>-761200</v>
      </c>
      <c r="L19" s="1260">
        <v>1669691</v>
      </c>
      <c r="M19" s="1260">
        <v>0</v>
      </c>
      <c r="N19" s="1260">
        <v>0</v>
      </c>
      <c r="O19" s="1260">
        <v>2145</v>
      </c>
      <c r="P19" s="1260">
        <v>0</v>
      </c>
      <c r="Q19" s="1261">
        <f t="shared" ref="Q19:Q22" si="2">SUM(C19:P19)</f>
        <v>3764594</v>
      </c>
      <c r="W19" s="1253"/>
    </row>
    <row r="20" spans="1:23" ht="15" customHeight="1">
      <c r="A20" s="1266"/>
      <c r="B20" s="1516" t="s">
        <v>576</v>
      </c>
      <c r="C20" s="1260">
        <v>0</v>
      </c>
      <c r="D20" s="1260">
        <v>0</v>
      </c>
      <c r="E20" s="1260">
        <v>0</v>
      </c>
      <c r="F20" s="1260">
        <v>0</v>
      </c>
      <c r="G20" s="1260">
        <v>0</v>
      </c>
      <c r="H20" s="1260">
        <v>0</v>
      </c>
      <c r="I20" s="1260">
        <v>0</v>
      </c>
      <c r="J20" s="1260">
        <v>0</v>
      </c>
      <c r="K20" s="1260">
        <v>0</v>
      </c>
      <c r="L20" s="1260">
        <v>0</v>
      </c>
      <c r="M20" s="1260">
        <v>0</v>
      </c>
      <c r="N20" s="1260">
        <v>0</v>
      </c>
      <c r="O20" s="1260">
        <v>0</v>
      </c>
      <c r="P20" s="1260">
        <v>0</v>
      </c>
      <c r="Q20" s="1261">
        <f t="shared" si="2"/>
        <v>0</v>
      </c>
      <c r="W20" s="1253"/>
    </row>
    <row r="21" spans="1:23" ht="15" customHeight="1">
      <c r="A21" s="1266"/>
      <c r="B21" s="1516" t="s">
        <v>577</v>
      </c>
      <c r="C21" s="1260">
        <v>0</v>
      </c>
      <c r="D21" s="1260">
        <v>0</v>
      </c>
      <c r="E21" s="1260">
        <v>0</v>
      </c>
      <c r="F21" s="1260">
        <v>0</v>
      </c>
      <c r="G21" s="1260">
        <v>0</v>
      </c>
      <c r="H21" s="1260">
        <v>0</v>
      </c>
      <c r="I21" s="1260">
        <v>0</v>
      </c>
      <c r="J21" s="1260">
        <v>0</v>
      </c>
      <c r="K21" s="1260">
        <v>0</v>
      </c>
      <c r="L21" s="1260">
        <v>0</v>
      </c>
      <c r="M21" s="1260">
        <v>0</v>
      </c>
      <c r="N21" s="1260">
        <v>0</v>
      </c>
      <c r="O21" s="1260">
        <v>0</v>
      </c>
      <c r="P21" s="1260">
        <v>0</v>
      </c>
      <c r="Q21" s="1261">
        <f t="shared" si="2"/>
        <v>0</v>
      </c>
      <c r="W21" s="1253"/>
    </row>
    <row r="22" spans="1:23" ht="15" customHeight="1">
      <c r="A22" s="1266"/>
      <c r="B22" s="1516" t="s">
        <v>578</v>
      </c>
      <c r="C22" s="1260">
        <v>8910290</v>
      </c>
      <c r="D22" s="1260">
        <v>0</v>
      </c>
      <c r="E22" s="1260">
        <v>3543776</v>
      </c>
      <c r="F22" s="1260">
        <v>0</v>
      </c>
      <c r="G22" s="1260">
        <v>0</v>
      </c>
      <c r="H22" s="1260">
        <v>0</v>
      </c>
      <c r="I22" s="1260">
        <v>0</v>
      </c>
      <c r="J22" s="1260">
        <v>0</v>
      </c>
      <c r="K22" s="1260">
        <v>0</v>
      </c>
      <c r="L22" s="1260">
        <v>0</v>
      </c>
      <c r="M22" s="1260">
        <v>0</v>
      </c>
      <c r="N22" s="1260">
        <v>0</v>
      </c>
      <c r="O22" s="1260">
        <v>0</v>
      </c>
      <c r="P22" s="1260">
        <v>0</v>
      </c>
      <c r="Q22" s="1261">
        <f t="shared" si="2"/>
        <v>12454066</v>
      </c>
      <c r="W22" s="1253"/>
    </row>
    <row r="23" spans="1:23" ht="15" customHeight="1">
      <c r="A23" s="1266"/>
      <c r="B23" s="1259" t="s">
        <v>579</v>
      </c>
      <c r="C23" s="1270">
        <f>SUM(C18:C22)</f>
        <v>8910290</v>
      </c>
      <c r="D23" s="1270">
        <f t="shared" ref="D23:Q23" si="3">SUM(D18:D22)</f>
        <v>0</v>
      </c>
      <c r="E23" s="1270">
        <f t="shared" si="3"/>
        <v>3543776</v>
      </c>
      <c r="F23" s="1270">
        <f t="shared" si="3"/>
        <v>983337</v>
      </c>
      <c r="G23" s="1270">
        <f t="shared" si="3"/>
        <v>0</v>
      </c>
      <c r="H23" s="1270">
        <f t="shared" si="3"/>
        <v>671262</v>
      </c>
      <c r="I23" s="1270">
        <f t="shared" si="3"/>
        <v>2615</v>
      </c>
      <c r="J23" s="1270">
        <f t="shared" si="3"/>
        <v>1196744</v>
      </c>
      <c r="K23" s="1270">
        <f t="shared" si="3"/>
        <v>-761200</v>
      </c>
      <c r="L23" s="1270">
        <f t="shared" si="3"/>
        <v>1669691</v>
      </c>
      <c r="M23" s="1270">
        <f t="shared" si="3"/>
        <v>0</v>
      </c>
      <c r="N23" s="1270">
        <f t="shared" si="3"/>
        <v>0</v>
      </c>
      <c r="O23" s="1270">
        <f t="shared" si="3"/>
        <v>2145</v>
      </c>
      <c r="P23" s="1270">
        <f t="shared" si="3"/>
        <v>0</v>
      </c>
      <c r="Q23" s="1270">
        <f t="shared" si="3"/>
        <v>16218660</v>
      </c>
      <c r="W23" s="1253"/>
    </row>
    <row r="24" spans="1:23" ht="9" customHeight="1">
      <c r="A24" s="1265"/>
      <c r="B24" s="1266"/>
      <c r="C24" s="1267"/>
      <c r="D24" s="1267"/>
      <c r="E24" s="1267"/>
      <c r="F24" s="1268"/>
      <c r="W24" s="1253"/>
    </row>
    <row r="25" spans="1:23" ht="15" customHeight="1">
      <c r="A25" s="1265" t="s">
        <v>42</v>
      </c>
      <c r="B25" s="1266" t="s">
        <v>1176</v>
      </c>
      <c r="C25" s="1267"/>
      <c r="D25" s="1267"/>
      <c r="E25" s="1267"/>
      <c r="F25" s="1268"/>
      <c r="W25" s="1253"/>
    </row>
    <row r="26" spans="1:23" ht="15" customHeight="1">
      <c r="A26" s="1271"/>
      <c r="B26" s="1516" t="s">
        <v>580</v>
      </c>
      <c r="C26" s="1260">
        <v>0</v>
      </c>
      <c r="D26" s="1260">
        <v>0</v>
      </c>
      <c r="E26" s="1260">
        <v>0</v>
      </c>
      <c r="F26" s="1260">
        <v>0</v>
      </c>
      <c r="G26" s="1260">
        <v>0</v>
      </c>
      <c r="H26" s="1260">
        <v>0</v>
      </c>
      <c r="I26" s="1260">
        <v>0</v>
      </c>
      <c r="J26" s="1260">
        <v>0</v>
      </c>
      <c r="K26" s="1260">
        <v>0</v>
      </c>
      <c r="L26" s="1260">
        <v>0</v>
      </c>
      <c r="M26" s="1260">
        <v>0</v>
      </c>
      <c r="N26" s="1260">
        <v>0</v>
      </c>
      <c r="O26" s="1260">
        <v>0</v>
      </c>
      <c r="P26" s="1260">
        <v>0</v>
      </c>
      <c r="Q26" s="1261">
        <f t="shared" ref="Q26:Q29" si="4">SUM(C26:P26)</f>
        <v>0</v>
      </c>
      <c r="W26" s="1253"/>
    </row>
    <row r="27" spans="1:23" ht="15" customHeight="1">
      <c r="A27" s="1271"/>
      <c r="B27" s="1516" t="s">
        <v>581</v>
      </c>
      <c r="C27" s="1260">
        <v>0</v>
      </c>
      <c r="D27" s="1260">
        <v>0</v>
      </c>
      <c r="E27" s="1272"/>
      <c r="F27" s="1260">
        <v>0</v>
      </c>
      <c r="G27" s="1273"/>
      <c r="H27" s="1273"/>
      <c r="I27" s="1273"/>
      <c r="J27" s="1260">
        <v>0</v>
      </c>
      <c r="K27" s="1260">
        <v>0</v>
      </c>
      <c r="L27" s="1273"/>
      <c r="M27" s="1273"/>
      <c r="N27" s="1273"/>
      <c r="O27" s="1273"/>
      <c r="P27" s="1273"/>
      <c r="Q27" s="1261">
        <f t="shared" si="4"/>
        <v>0</v>
      </c>
      <c r="W27" s="1253"/>
    </row>
    <row r="28" spans="1:23" ht="15" customHeight="1">
      <c r="A28" s="1271"/>
      <c r="B28" s="1516" t="s">
        <v>1177</v>
      </c>
      <c r="C28" s="1260">
        <v>3990165</v>
      </c>
      <c r="D28" s="1260">
        <v>0</v>
      </c>
      <c r="E28" s="1260">
        <v>1300000</v>
      </c>
      <c r="F28" s="1260">
        <v>656945</v>
      </c>
      <c r="G28" s="1260">
        <v>0</v>
      </c>
      <c r="H28" s="1260">
        <v>350000</v>
      </c>
      <c r="I28" s="1260">
        <v>0</v>
      </c>
      <c r="J28" s="1260">
        <v>246744</v>
      </c>
      <c r="K28" s="1260">
        <v>-761200</v>
      </c>
      <c r="L28" s="1260">
        <v>1669691</v>
      </c>
      <c r="M28" s="1273"/>
      <c r="N28" s="1260">
        <v>0</v>
      </c>
      <c r="O28" s="1260">
        <v>0</v>
      </c>
      <c r="P28" s="1260">
        <v>0</v>
      </c>
      <c r="Q28" s="1261">
        <f t="shared" si="4"/>
        <v>7452345</v>
      </c>
      <c r="W28" s="1253"/>
    </row>
    <row r="29" spans="1:23" ht="15" customHeight="1">
      <c r="A29" s="1271"/>
      <c r="B29" s="1516" t="s">
        <v>1178</v>
      </c>
      <c r="C29" s="1261">
        <f>F001Carryforward</f>
        <v>4920125</v>
      </c>
      <c r="D29" s="1261">
        <f>IF('Data Entry'!G22="General",F610Carryforward,0)</f>
        <v>0</v>
      </c>
      <c r="E29" s="1260">
        <v>2243776</v>
      </c>
      <c r="F29" s="1261">
        <f>IF('Data Entry'!G22="Capital Projects",F610Carryforward,0)</f>
        <v>326392</v>
      </c>
      <c r="G29" s="1260">
        <v>0</v>
      </c>
      <c r="H29" s="1260">
        <v>321262</v>
      </c>
      <c r="I29" s="1260">
        <v>2615</v>
      </c>
      <c r="J29" s="1261">
        <f>F010Carryforward</f>
        <v>950000</v>
      </c>
      <c r="K29" s="1260">
        <v>0</v>
      </c>
      <c r="L29" s="1260">
        <v>0</v>
      </c>
      <c r="M29" s="1260">
        <v>0</v>
      </c>
      <c r="N29" s="1260">
        <v>0</v>
      </c>
      <c r="O29" s="1260">
        <v>2145</v>
      </c>
      <c r="P29" s="1260">
        <v>0</v>
      </c>
      <c r="Q29" s="1261">
        <f t="shared" si="4"/>
        <v>8766315</v>
      </c>
      <c r="W29" s="1253"/>
    </row>
    <row r="30" spans="1:23" ht="15" customHeight="1">
      <c r="A30" s="1271"/>
      <c r="B30" s="1259" t="s">
        <v>582</v>
      </c>
      <c r="C30" s="1270">
        <f t="shared" ref="C30:Q30" si="5">SUM(C26:C29)</f>
        <v>8910290</v>
      </c>
      <c r="D30" s="1270">
        <f t="shared" si="5"/>
        <v>0</v>
      </c>
      <c r="E30" s="1270">
        <f t="shared" si="5"/>
        <v>3543776</v>
      </c>
      <c r="F30" s="1270">
        <f t="shared" si="5"/>
        <v>983337</v>
      </c>
      <c r="G30" s="1270">
        <f t="shared" si="5"/>
        <v>0</v>
      </c>
      <c r="H30" s="1270">
        <f t="shared" si="5"/>
        <v>671262</v>
      </c>
      <c r="I30" s="1270">
        <f t="shared" si="5"/>
        <v>2615</v>
      </c>
      <c r="J30" s="1270">
        <f t="shared" si="5"/>
        <v>1196744</v>
      </c>
      <c r="K30" s="1270">
        <f t="shared" si="5"/>
        <v>-761200</v>
      </c>
      <c r="L30" s="1270">
        <f t="shared" si="5"/>
        <v>1669691</v>
      </c>
      <c r="M30" s="1270">
        <f t="shared" si="5"/>
        <v>0</v>
      </c>
      <c r="N30" s="1270">
        <f t="shared" si="5"/>
        <v>0</v>
      </c>
      <c r="O30" s="1270">
        <f t="shared" si="5"/>
        <v>2145</v>
      </c>
      <c r="P30" s="1270">
        <f t="shared" si="5"/>
        <v>0</v>
      </c>
      <c r="Q30" s="1270">
        <f t="shared" si="5"/>
        <v>16218660</v>
      </c>
      <c r="W30" s="1253"/>
    </row>
    <row r="31" spans="1:23" ht="15" customHeight="1">
      <c r="A31" s="1271"/>
      <c r="B31" s="1259"/>
      <c r="C31" s="1267"/>
      <c r="D31" s="1267"/>
      <c r="E31" s="1267"/>
      <c r="F31" s="1267"/>
      <c r="W31" s="1253"/>
    </row>
    <row r="32" spans="1:23">
      <c r="A32" s="1274" t="s">
        <v>364</v>
      </c>
      <c r="B32" s="1516" t="s">
        <v>583</v>
      </c>
    </row>
    <row r="33" spans="1:5">
      <c r="A33" s="1805" t="s">
        <v>1419</v>
      </c>
      <c r="B33" s="1806"/>
      <c r="C33" s="1806"/>
      <c r="D33" s="1806"/>
      <c r="E33" s="1807"/>
    </row>
    <row r="34" spans="1:5">
      <c r="A34" s="1808"/>
      <c r="B34" s="1809"/>
      <c r="C34" s="1809"/>
      <c r="D34" s="1809"/>
      <c r="E34" s="1810"/>
    </row>
    <row r="35" spans="1:5">
      <c r="A35" s="1808"/>
      <c r="B35" s="1809"/>
      <c r="C35" s="1809"/>
      <c r="D35" s="1809"/>
      <c r="E35" s="1810"/>
    </row>
    <row r="36" spans="1:5">
      <c r="A36" s="1808"/>
      <c r="B36" s="1809"/>
      <c r="C36" s="1809"/>
      <c r="D36" s="1809"/>
      <c r="E36" s="1810"/>
    </row>
    <row r="37" spans="1:5">
      <c r="A37" s="1808"/>
      <c r="B37" s="1809"/>
      <c r="C37" s="1809"/>
      <c r="D37" s="1809"/>
      <c r="E37" s="1810"/>
    </row>
    <row r="38" spans="1:5">
      <c r="A38" s="1808"/>
      <c r="B38" s="1809"/>
      <c r="C38" s="1809"/>
      <c r="D38" s="1809"/>
      <c r="E38" s="1810"/>
    </row>
    <row r="39" spans="1:5">
      <c r="A39" s="1808"/>
      <c r="B39" s="1809"/>
      <c r="C39" s="1809"/>
      <c r="D39" s="1809"/>
      <c r="E39" s="1810"/>
    </row>
    <row r="40" spans="1:5">
      <c r="A40" s="1811"/>
      <c r="B40" s="1812"/>
      <c r="C40" s="1812"/>
      <c r="D40" s="1812"/>
      <c r="E40" s="1813"/>
    </row>
  </sheetData>
  <sheetProtection sheet="1" objects="1" scenarios="1"/>
  <mergeCells count="15">
    <mergeCell ref="Q7:Q8"/>
    <mergeCell ref="A8:B8"/>
    <mergeCell ref="A33:E40"/>
    <mergeCell ref="C7:E7"/>
    <mergeCell ref="F7:I7"/>
    <mergeCell ref="J7:L7"/>
    <mergeCell ref="M7:M8"/>
    <mergeCell ref="N7:N8"/>
    <mergeCell ref="O7:O8"/>
    <mergeCell ref="P7:P8"/>
    <mergeCell ref="C1:D1"/>
    <mergeCell ref="F1:G1"/>
    <mergeCell ref="A3:I5"/>
    <mergeCell ref="A6:B6"/>
    <mergeCell ref="C6:Q6"/>
  </mergeCells>
  <conditionalFormatting sqref="A33">
    <cfRule type="containsBlanks" dxfId="16" priority="5">
      <formula>LEN(TRIM(A33))=0</formula>
    </cfRule>
  </conditionalFormatting>
  <conditionalFormatting sqref="C26:D29">
    <cfRule type="containsBlanks" dxfId="15" priority="14">
      <formula>LEN(TRIM(C26))=0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B10" location="FundBalA1" display="FY 2023 final ending fund balance " xr:uid="{00000000-0004-0000-0D00-000000000000}"/>
    <hyperlink ref="B14" location="FundBalA2a" display="(a) FY 2024 revenues and other financing sources" xr:uid="{00000000-0004-0000-0D00-000001000000}"/>
    <hyperlink ref="B15" location="FundBalA2b" display="(b) FY 2024 expenditures and other financing uses" xr:uid="{00000000-0004-0000-0D00-000002000000}"/>
    <hyperlink ref="B18" location="FundBalA3a" display="(a) Nonspendable " xr:uid="{00000000-0004-0000-0D00-000003000000}"/>
    <hyperlink ref="B19" location="FundBalA3b" display="(b) Restricted" xr:uid="{00000000-0004-0000-0D00-000004000000}"/>
    <hyperlink ref="B20" location="FundBalA3c" display="(c) Committed" xr:uid="{00000000-0004-0000-0D00-000005000000}"/>
    <hyperlink ref="B21" location="FundBalA3d" display="(d) Assigned" xr:uid="{00000000-0004-0000-0D00-000006000000}"/>
    <hyperlink ref="B22" location="FundBalA3e" display="(e) Unassigned" xr:uid="{00000000-0004-0000-0D00-000007000000}"/>
    <hyperlink ref="B26" location="FundBalA4a" display="(a) Fund deficit" xr:uid="{00000000-0004-0000-0D00-000008000000}"/>
    <hyperlink ref="B27" location="FundBalA4b" display="(b) Fund balance exceeding budget capacity in budget controlled funds" xr:uid="{00000000-0004-0000-0D00-000009000000}"/>
    <hyperlink ref="B28" location="FundBalA4c" display="(c) Planned to be spent in FY 2025" xr:uid="{00000000-0004-0000-0D00-00000A000000}"/>
    <hyperlink ref="B29" location="FundBalA4d" display="(d) Maintained for spending after FY 2025" xr:uid="{00000000-0004-0000-0D00-00000B000000}"/>
    <hyperlink ref="B32" location="FundBalC" display="Comments (optional)" xr:uid="{00000000-0004-0000-0D00-00000C000000}"/>
  </hyperlinks>
  <printOptions horizontalCentered="1"/>
  <pageMargins left="0.25" right="0.25" top="0.25" bottom="0.25" header="0" footer="0.15"/>
  <pageSetup paperSize="5" scale="64" orientation="landscape" r:id="rId1"/>
  <headerFooter alignWithMargins="0">
    <oddFooter>&amp;L&amp;"Times New Roman,Bold"&amp;9Rev. 5/25&amp;K000000 Arizona Department of Education and Auditor General&amp;C&amp;"Times New Roman,Regular"&amp;9&amp;D  &amp;T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146"/>
  <sheetViews>
    <sheetView showGridLines="0" topLeftCell="A87" workbookViewId="0">
      <selection activeCell="G54" sqref="G54"/>
    </sheetView>
  </sheetViews>
  <sheetFormatPr defaultColWidth="9.08984375" defaultRowHeight="12"/>
  <cols>
    <col min="1" max="1" width="2.453125" style="96" customWidth="1"/>
    <col min="2" max="2" width="2.08984375" style="96" customWidth="1"/>
    <col min="3" max="3" width="2.54296875" style="96" customWidth="1"/>
    <col min="4" max="4" width="3" style="96" customWidth="1"/>
    <col min="5" max="5" width="15.08984375" style="96" customWidth="1"/>
    <col min="6" max="6" width="9.08984375" style="96" customWidth="1"/>
    <col min="7" max="7" width="9.453125" style="96" customWidth="1"/>
    <col min="8" max="9" width="9.08984375" style="96" customWidth="1"/>
    <col min="10" max="10" width="9.90625" style="96" customWidth="1"/>
    <col min="11" max="11" width="13.1796875" style="96" customWidth="1"/>
    <col min="12" max="12" width="9.90625" style="96" customWidth="1"/>
    <col min="13" max="14" width="9.08984375" style="96" customWidth="1"/>
    <col min="15" max="15" width="10" style="96" customWidth="1"/>
    <col min="16" max="16" width="3" style="96" customWidth="1"/>
    <col min="17" max="17" width="9.90625" style="96" bestFit="1" customWidth="1"/>
    <col min="18" max="22" width="9.08984375" style="96" customWidth="1"/>
    <col min="23" max="16384" width="9.08984375" style="96"/>
  </cols>
  <sheetData>
    <row r="1" spans="1:15">
      <c r="A1" s="1839" t="s">
        <v>0</v>
      </c>
      <c r="B1" s="1839"/>
      <c r="C1" s="1839"/>
      <c r="D1" s="1839"/>
      <c r="E1" s="1828" t="str">
        <f>DistrictName</f>
        <v>Murphy Elementary School District #21</v>
      </c>
      <c r="F1" s="1828"/>
      <c r="G1" s="1828"/>
      <c r="H1" s="1341" t="s">
        <v>1</v>
      </c>
      <c r="I1" s="1840" t="str">
        <f>Cover!H1</f>
        <v>Maricopa</v>
      </c>
      <c r="J1" s="1828"/>
      <c r="K1" s="1341" t="s">
        <v>60</v>
      </c>
      <c r="L1" s="765" t="str">
        <f>CTD</f>
        <v>070421000</v>
      </c>
    </row>
    <row r="2" spans="1:15">
      <c r="K2" s="1341" t="s">
        <v>16</v>
      </c>
      <c r="L2" s="765" t="str">
        <f>Cover!C8</f>
        <v>Proposed</v>
      </c>
    </row>
    <row r="3" spans="1:15" ht="15.6">
      <c r="F3" s="1830" t="s">
        <v>584</v>
      </c>
      <c r="G3" s="1830"/>
      <c r="H3" s="1830"/>
      <c r="I3" s="1830"/>
    </row>
    <row r="4" spans="1:15" ht="12.6" thickBot="1"/>
    <row r="5" spans="1:15" ht="16.5" customHeight="1" thickBot="1">
      <c r="B5" s="1221" t="s">
        <v>1179</v>
      </c>
      <c r="C5" s="766"/>
      <c r="D5" s="766"/>
      <c r="E5" s="766"/>
      <c r="F5" s="766"/>
      <c r="G5" s="766"/>
      <c r="H5" s="766"/>
      <c r="I5" s="766"/>
      <c r="J5" s="766"/>
      <c r="K5" s="767"/>
      <c r="L5" s="1833" t="str">
        <f>IF(OR(L1=0,L2=0),"ENTER CTD NUMBER AND VERSION ON COVER PAGE","")</f>
        <v/>
      </c>
      <c r="M5" s="1834"/>
    </row>
    <row r="6" spans="1:15" ht="12.75" customHeight="1" thickBot="1">
      <c r="B6" s="1415"/>
      <c r="C6" s="209" t="s">
        <v>1113</v>
      </c>
      <c r="D6" s="209"/>
      <c r="E6" s="209"/>
      <c r="F6" s="209"/>
      <c r="G6" s="209"/>
      <c r="H6" s="209"/>
      <c r="I6" s="1411" t="s">
        <v>370</v>
      </c>
      <c r="J6" s="1412">
        <v>5013</v>
      </c>
      <c r="K6" s="1416"/>
      <c r="L6" s="1833"/>
      <c r="M6" s="1834"/>
    </row>
    <row r="7" spans="1:15" ht="12.75" customHeight="1" thickBot="1">
      <c r="B7" s="1415"/>
      <c r="C7" s="209" t="s">
        <v>1114</v>
      </c>
      <c r="D7" s="209"/>
      <c r="E7" s="209"/>
      <c r="F7" s="209"/>
      <c r="G7" s="209"/>
      <c r="H7" s="209"/>
      <c r="I7" s="1413"/>
      <c r="J7" s="202"/>
      <c r="K7" s="1417"/>
      <c r="L7" s="1833"/>
      <c r="M7" s="1834"/>
    </row>
    <row r="8" spans="1:15" ht="12.75" customHeight="1" thickBot="1">
      <c r="B8" s="1415"/>
      <c r="C8" s="209"/>
      <c r="D8" s="209" t="s">
        <v>585</v>
      </c>
      <c r="E8" s="209"/>
      <c r="F8" s="209"/>
      <c r="G8" s="209"/>
      <c r="H8" s="209"/>
      <c r="I8" s="1411" t="s">
        <v>370</v>
      </c>
      <c r="J8" s="1414">
        <v>2.95</v>
      </c>
      <c r="K8" s="1416"/>
      <c r="L8" s="1833"/>
      <c r="M8" s="1834"/>
    </row>
    <row r="9" spans="1:15" ht="12.75" customHeight="1" thickBot="1">
      <c r="B9" s="1415"/>
      <c r="C9" s="209"/>
      <c r="D9" s="209" t="s">
        <v>586</v>
      </c>
      <c r="E9" s="209"/>
      <c r="F9" s="209"/>
      <c r="G9" s="209"/>
      <c r="H9" s="209"/>
      <c r="I9" s="1413" t="s">
        <v>370</v>
      </c>
      <c r="J9" s="1414">
        <v>2.42</v>
      </c>
      <c r="K9" s="1416"/>
      <c r="L9" s="1833"/>
      <c r="M9" s="1834"/>
    </row>
    <row r="10" spans="1:15" ht="22.5" customHeight="1" thickBot="1">
      <c r="B10" s="768"/>
      <c r="C10" s="1837" t="s">
        <v>1350</v>
      </c>
      <c r="D10" s="1837"/>
      <c r="E10" s="1837"/>
      <c r="F10" s="1837"/>
      <c r="G10" s="1837"/>
      <c r="H10" s="1837"/>
      <c r="I10" s="1838"/>
      <c r="J10" s="1382">
        <v>1.5606</v>
      </c>
      <c r="K10" s="769"/>
      <c r="L10" s="1833"/>
      <c r="M10" s="1834"/>
    </row>
    <row r="11" spans="1:15" ht="12.6" thickBot="1">
      <c r="B11" s="768"/>
      <c r="C11" s="1410" t="s">
        <v>1351</v>
      </c>
      <c r="D11" s="1403"/>
      <c r="E11" s="1403"/>
      <c r="F11" s="1403"/>
      <c r="G11" s="1403"/>
      <c r="H11" s="1403"/>
      <c r="I11" s="1363" t="s">
        <v>370</v>
      </c>
      <c r="J11" s="1409">
        <v>842</v>
      </c>
      <c r="K11" s="1294"/>
      <c r="L11" s="1833"/>
      <c r="M11" s="1834"/>
    </row>
    <row r="12" spans="1:15" ht="9" customHeight="1" thickBot="1">
      <c r="B12" s="770"/>
      <c r="C12" s="771"/>
      <c r="D12" s="771"/>
      <c r="E12" s="771"/>
      <c r="F12" s="771"/>
      <c r="G12" s="771"/>
      <c r="H12" s="771"/>
      <c r="I12" s="771"/>
      <c r="J12" s="771"/>
      <c r="K12" s="772"/>
      <c r="L12" s="1833"/>
      <c r="M12" s="1834"/>
      <c r="N12" s="922" t="s">
        <v>61</v>
      </c>
      <c r="O12" s="1404" t="s">
        <v>62</v>
      </c>
    </row>
    <row r="13" spans="1:15" ht="13.8">
      <c r="N13" s="922" t="s">
        <v>63</v>
      </c>
      <c r="O13" s="1404" t="s">
        <v>64</v>
      </c>
    </row>
    <row r="14" spans="1:15" ht="15.6">
      <c r="A14" s="315" t="s">
        <v>1273</v>
      </c>
      <c r="N14" s="922" t="s">
        <v>65</v>
      </c>
      <c r="O14" s="1404" t="s">
        <v>66</v>
      </c>
    </row>
    <row r="15" spans="1:15" ht="13.8">
      <c r="B15" s="1384"/>
      <c r="C15" s="1385"/>
      <c r="D15" s="1386"/>
      <c r="G15" s="1824" t="s">
        <v>78</v>
      </c>
      <c r="H15" s="1824"/>
      <c r="N15" s="922" t="s">
        <v>67</v>
      </c>
      <c r="O15" s="1404" t="s">
        <v>68</v>
      </c>
    </row>
    <row r="16" spans="1:15" ht="13.8">
      <c r="B16" s="1478" t="s">
        <v>79</v>
      </c>
      <c r="C16" s="1479"/>
      <c r="D16" s="1480"/>
      <c r="E16" s="1478"/>
      <c r="F16" s="1481"/>
      <c r="G16" s="1825" t="s">
        <v>65</v>
      </c>
      <c r="H16" s="1825"/>
      <c r="J16" s="152"/>
      <c r="K16" s="151"/>
      <c r="N16" s="922" t="s">
        <v>69</v>
      </c>
      <c r="O16" s="922"/>
    </row>
    <row r="17" spans="1:26" ht="13.8">
      <c r="B17" s="1478"/>
      <c r="C17" s="1479"/>
      <c r="D17" s="1480"/>
      <c r="E17" s="1478"/>
      <c r="F17" s="1481"/>
      <c r="G17" s="1478"/>
      <c r="H17" s="1511"/>
      <c r="I17" s="153"/>
      <c r="J17" s="152"/>
      <c r="K17" s="151"/>
      <c r="N17" s="922" t="s">
        <v>70</v>
      </c>
      <c r="O17" s="922"/>
    </row>
    <row r="18" spans="1:26" ht="13.8">
      <c r="B18" s="1478" t="s">
        <v>80</v>
      </c>
      <c r="C18" s="1479"/>
      <c r="D18" s="1480"/>
      <c r="E18" s="1478"/>
      <c r="F18" s="1481"/>
      <c r="G18" s="1826" t="s">
        <v>62</v>
      </c>
      <c r="H18" s="1827"/>
      <c r="J18" s="1422"/>
      <c r="N18" s="922" t="s">
        <v>71</v>
      </c>
      <c r="O18" s="922"/>
    </row>
    <row r="19" spans="1:26" ht="13.8">
      <c r="B19" s="1478"/>
      <c r="C19" s="1479"/>
      <c r="D19" s="1480"/>
      <c r="E19" s="1478"/>
      <c r="F19" s="1481"/>
      <c r="G19" s="1478"/>
      <c r="H19" s="1510"/>
      <c r="I19" s="155"/>
      <c r="J19" s="152"/>
      <c r="K19" s="156"/>
      <c r="N19" s="922" t="s">
        <v>72</v>
      </c>
      <c r="O19" s="922"/>
    </row>
    <row r="20" spans="1:26" ht="13.8">
      <c r="B20" s="1478" t="s">
        <v>81</v>
      </c>
      <c r="C20" s="1479"/>
      <c r="D20" s="1480"/>
      <c r="E20" s="1478"/>
      <c r="F20" s="1481"/>
      <c r="G20" s="1826"/>
      <c r="H20" s="1827"/>
      <c r="J20" s="152"/>
      <c r="K20" s="156"/>
      <c r="N20" s="922" t="s">
        <v>1327</v>
      </c>
      <c r="O20" s="922"/>
    </row>
    <row r="21" spans="1:26" ht="15.6">
      <c r="B21" s="1482"/>
      <c r="C21" s="1483"/>
      <c r="D21" s="1484"/>
      <c r="E21" s="1481"/>
      <c r="F21" s="1481"/>
      <c r="G21" s="1478"/>
      <c r="H21" s="1509"/>
      <c r="I21" s="1512"/>
      <c r="J21"/>
      <c r="K21"/>
      <c r="N21" s="922" t="s">
        <v>1328</v>
      </c>
      <c r="O21" s="922"/>
    </row>
    <row r="22" spans="1:26" ht="15">
      <c r="A22"/>
      <c r="B22" s="1339" t="s">
        <v>1274</v>
      </c>
      <c r="C22" s="1339"/>
      <c r="D22" s="1339"/>
      <c r="E22" s="1339"/>
      <c r="F22" s="1478"/>
      <c r="G22" s="1823" t="s">
        <v>555</v>
      </c>
      <c r="H22" s="1823"/>
      <c r="I22" s="1512"/>
      <c r="J22"/>
      <c r="K22"/>
      <c r="N22" s="922" t="s">
        <v>73</v>
      </c>
      <c r="O22" s="922"/>
    </row>
    <row r="23" spans="1:26" ht="15">
      <c r="C23" s="1385"/>
      <c r="D23" s="154"/>
      <c r="E23" s="207"/>
      <c r="F23" s="207"/>
      <c r="I23" s="1512"/>
      <c r="J23"/>
      <c r="K23"/>
      <c r="N23" s="922" t="s">
        <v>74</v>
      </c>
      <c r="O23" s="922"/>
    </row>
    <row r="24" spans="1:26">
      <c r="B24" s="3"/>
      <c r="N24" s="922" t="s">
        <v>75</v>
      </c>
      <c r="O24" s="922"/>
    </row>
    <row r="25" spans="1:26" ht="15.6">
      <c r="A25" s="315" t="s">
        <v>587</v>
      </c>
      <c r="C25" s="315"/>
      <c r="D25" s="315"/>
      <c r="E25" s="315"/>
      <c r="N25" s="922" t="s">
        <v>76</v>
      </c>
      <c r="O25" s="922"/>
    </row>
    <row r="26" spans="1:26" ht="49.5" customHeight="1">
      <c r="B26" s="1633" t="s">
        <v>588</v>
      </c>
      <c r="C26" s="1794"/>
      <c r="D26" s="1794"/>
      <c r="E26" s="1794"/>
      <c r="F26" s="1794"/>
      <c r="G26" s="1794"/>
      <c r="H26" s="1794"/>
      <c r="I26" s="1794"/>
      <c r="J26" s="1794"/>
      <c r="K26" s="1794"/>
      <c r="N26" s="922" t="s">
        <v>77</v>
      </c>
      <c r="O26" s="922"/>
    </row>
    <row r="27" spans="1:26" ht="17.25" customHeight="1">
      <c r="C27" s="117" t="s">
        <v>589</v>
      </c>
      <c r="G27" s="773" t="s">
        <v>590</v>
      </c>
      <c r="H27" s="773" t="s">
        <v>591</v>
      </c>
      <c r="I27" s="774" t="s">
        <v>592</v>
      </c>
      <c r="J27" s="775" t="s">
        <v>510</v>
      </c>
      <c r="K27" s="776"/>
      <c r="L27" s="1835" t="s">
        <v>593</v>
      </c>
      <c r="M27" s="1835"/>
      <c r="N27" s="1835"/>
      <c r="O27" s="1836"/>
      <c r="P27" s="71"/>
    </row>
    <row r="28" spans="1:26" ht="11.25" customHeight="1">
      <c r="B28" s="1531" t="s">
        <v>6</v>
      </c>
      <c r="C28" s="1579" t="s">
        <v>1180</v>
      </c>
      <c r="D28" s="1579"/>
      <c r="E28" s="1579"/>
      <c r="G28" s="777"/>
      <c r="H28" s="777"/>
      <c r="I28" s="778"/>
      <c r="J28" s="79">
        <v>1030.0064</v>
      </c>
      <c r="K28" s="1831" t="str">
        <f>IF(AND(J34&gt;0,PY100DayADM=""),_xlfn.CONCAT("ENTER ",C28),"")</f>
        <v/>
      </c>
      <c r="L28" s="1832"/>
      <c r="M28" s="1832"/>
      <c r="N28" s="1832"/>
    </row>
    <row r="29" spans="1:26" ht="11.25" customHeight="1">
      <c r="B29" s="1531" t="s">
        <v>594</v>
      </c>
      <c r="C29" s="1579" t="s">
        <v>1181</v>
      </c>
      <c r="D29" s="1579"/>
      <c r="E29" s="1579"/>
      <c r="G29" s="80">
        <v>7.65</v>
      </c>
      <c r="H29" s="80">
        <v>953.59050000000002</v>
      </c>
      <c r="I29" s="81"/>
      <c r="J29" s="780">
        <f>UnweightedStudCntPSDPY+UnweightedStudCntK8PY+UnweightedStudCnt912PY</f>
        <v>961.2405</v>
      </c>
      <c r="K29" s="1831"/>
      <c r="L29" s="1832"/>
      <c r="M29" s="1832"/>
      <c r="N29" s="1832"/>
      <c r="Y29" s="782">
        <f>IF(AND(UnweightedStudCntK8PY&gt;125,UnweightedStudCntK8PY&lt;154),1,0)</f>
        <v>0</v>
      </c>
      <c r="Z29" s="783">
        <f>IF(AND(UnweightedStudCnt912PY&gt;100,UnweightedStudCnt912PY&lt;176),1,0)</f>
        <v>0</v>
      </c>
    </row>
    <row r="30" spans="1:26">
      <c r="B30" s="784"/>
      <c r="C30" s="117" t="s">
        <v>595</v>
      </c>
      <c r="G30" s="763"/>
      <c r="H30" s="763"/>
      <c r="I30" s="763"/>
      <c r="J30" s="763"/>
    </row>
    <row r="31" spans="1:26" ht="11.25" customHeight="1">
      <c r="B31" s="1531" t="s">
        <v>22</v>
      </c>
      <c r="C31" s="96" t="s">
        <v>1182</v>
      </c>
      <c r="G31" s="80">
        <v>7.65</v>
      </c>
      <c r="H31" s="80">
        <v>922.35</v>
      </c>
      <c r="I31" s="81"/>
      <c r="J31" s="780">
        <f>NonAOIStudCntPSDCY+NonAOIStudCntK8CY+NonAOIStudCnt912CY</f>
        <v>930</v>
      </c>
      <c r="K31" s="1844" t="str">
        <f>IF(AND(VALUE(LEFT(RIGHT(L1,7),2))=3,P27&lt;&gt;"X",OR(NonAOIStudCnt912CY&lt;&gt;"",AOIFTStudCnt912CY&lt;&gt;"",AOIPTStudCnt912CY&lt;&gt;"")),"ERROR: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31" s="1845"/>
      <c r="M31" s="1845"/>
    </row>
    <row r="32" spans="1:26">
      <c r="B32" s="1531" t="s">
        <v>42</v>
      </c>
      <c r="C32" s="96" t="s">
        <v>1183</v>
      </c>
      <c r="G32" s="785"/>
      <c r="H32" s="80"/>
      <c r="I32" s="81"/>
      <c r="J32" s="780">
        <f>AOIFTStudCntK8CY+AOIFTStudCnt912CY</f>
        <v>0</v>
      </c>
      <c r="K32" s="1844"/>
      <c r="L32" s="1845"/>
      <c r="M32" s="1845"/>
    </row>
    <row r="33" spans="2:17">
      <c r="B33" s="1531" t="s">
        <v>111</v>
      </c>
      <c r="C33" s="96" t="s">
        <v>1184</v>
      </c>
      <c r="G33" s="785"/>
      <c r="H33" s="80"/>
      <c r="I33" s="81"/>
      <c r="J33" s="780">
        <f>AOIPTStudCntK8CY+AOIPTStudCnt912CY</f>
        <v>0</v>
      </c>
      <c r="K33" s="1844"/>
      <c r="L33" s="1845"/>
      <c r="M33" s="1845"/>
    </row>
    <row r="34" spans="2:17">
      <c r="B34" s="210" t="s">
        <v>113</v>
      </c>
      <c r="C34" s="96" t="s">
        <v>1185</v>
      </c>
      <c r="G34" s="780">
        <f>NonAOIStudCntPSDCY</f>
        <v>7.65</v>
      </c>
      <c r="H34" s="780">
        <f>NonAOIStudCntK8CY+AOIFTStudCntK8CY+AOIPTStudCntK8CY</f>
        <v>922.35</v>
      </c>
      <c r="I34" s="781">
        <f>NonAOIStudCnt912CY+AOIFTStudCnt912CY+AOIPTStudCnt912CY</f>
        <v>0</v>
      </c>
      <c r="J34" s="780">
        <f>G34+H34+I34</f>
        <v>930</v>
      </c>
      <c r="K34" s="1845"/>
      <c r="L34" s="1845"/>
      <c r="M34" s="1845"/>
    </row>
    <row r="35" spans="2:17" ht="12.75" customHeight="1">
      <c r="J35" s="604"/>
      <c r="K35" s="1845"/>
      <c r="L35" s="1845"/>
      <c r="M35" s="1845"/>
    </row>
    <row r="37" spans="2:17" ht="12.75" customHeight="1">
      <c r="B37" s="1846" t="s">
        <v>596</v>
      </c>
      <c r="C37" s="1846"/>
      <c r="D37" s="1846"/>
      <c r="E37" s="1846"/>
    </row>
    <row r="38" spans="2:17" ht="15" customHeight="1">
      <c r="B38" s="758"/>
      <c r="C38" s="120" t="s">
        <v>597</v>
      </c>
    </row>
    <row r="39" spans="2:17" ht="35.25" customHeight="1">
      <c r="B39" s="1336"/>
      <c r="C39" s="339"/>
      <c r="D39" s="786"/>
      <c r="E39" s="786"/>
      <c r="F39" s="787"/>
      <c r="G39" s="788" t="s">
        <v>598</v>
      </c>
      <c r="H39" s="788" t="s">
        <v>599</v>
      </c>
      <c r="I39" s="788" t="s">
        <v>600</v>
      </c>
      <c r="M39" s="1305"/>
      <c r="N39" s="1305"/>
      <c r="P39" s="1305"/>
      <c r="Q39" s="1305"/>
    </row>
    <row r="40" spans="2:17">
      <c r="B40" s="1531" t="s">
        <v>115</v>
      </c>
      <c r="C40" s="789" t="s">
        <v>603</v>
      </c>
      <c r="D40" s="790"/>
      <c r="E40" s="790"/>
      <c r="F40" s="790"/>
      <c r="G40" s="1554">
        <v>377.11439999999999</v>
      </c>
      <c r="H40" s="80"/>
      <c r="I40" s="80"/>
      <c r="M40" s="794"/>
      <c r="N40" s="795"/>
      <c r="O40" s="795"/>
      <c r="P40" s="794"/>
      <c r="Q40" s="795"/>
    </row>
    <row r="41" spans="2:17">
      <c r="B41" s="1531" t="s">
        <v>117</v>
      </c>
      <c r="C41" s="792" t="s">
        <v>602</v>
      </c>
      <c r="D41" s="793"/>
      <c r="E41" s="793"/>
      <c r="F41" s="793"/>
      <c r="G41" s="1555">
        <v>377.11439999999999</v>
      </c>
      <c r="H41" s="62"/>
      <c r="I41" s="62"/>
      <c r="M41" s="794"/>
      <c r="N41" s="795"/>
      <c r="O41" s="795"/>
      <c r="P41" s="794"/>
      <c r="Q41" s="795"/>
    </row>
    <row r="42" spans="2:17" ht="11.25" customHeight="1">
      <c r="B42" s="1531" t="s">
        <v>119</v>
      </c>
      <c r="C42" s="789" t="s">
        <v>819</v>
      </c>
      <c r="D42" s="790"/>
      <c r="E42" s="790"/>
      <c r="F42" s="790"/>
      <c r="G42" s="1554">
        <v>419.68779999999998</v>
      </c>
      <c r="H42" s="83"/>
      <c r="I42" s="82"/>
      <c r="M42" s="791"/>
      <c r="N42" s="791"/>
      <c r="P42" s="791"/>
      <c r="Q42" s="791"/>
    </row>
    <row r="43" spans="2:17">
      <c r="B43" s="1531" t="s">
        <v>121</v>
      </c>
      <c r="C43" s="792" t="s">
        <v>604</v>
      </c>
      <c r="D43" s="793"/>
      <c r="E43" s="793"/>
      <c r="F43" s="793"/>
      <c r="G43" s="1555">
        <v>1</v>
      </c>
      <c r="H43" s="62"/>
      <c r="I43" s="62"/>
      <c r="M43" s="794"/>
      <c r="N43" s="795"/>
      <c r="O43" s="795"/>
      <c r="P43" s="794"/>
      <c r="Q43" s="795"/>
    </row>
    <row r="44" spans="2:17">
      <c r="B44" s="1531" t="s">
        <v>123</v>
      </c>
      <c r="C44" s="789" t="s">
        <v>605</v>
      </c>
      <c r="D44" s="790"/>
      <c r="E44" s="790"/>
      <c r="F44" s="790"/>
      <c r="G44" s="1554">
        <v>9.35</v>
      </c>
      <c r="H44" s="80"/>
      <c r="I44" s="80"/>
      <c r="M44" s="794"/>
      <c r="N44" s="795"/>
      <c r="O44" s="795"/>
      <c r="P44" s="794"/>
      <c r="Q44" s="795"/>
    </row>
    <row r="45" spans="2:17">
      <c r="B45" s="1531" t="s">
        <v>125</v>
      </c>
      <c r="C45" s="792" t="s">
        <v>606</v>
      </c>
      <c r="D45" s="793"/>
      <c r="E45" s="793"/>
      <c r="F45" s="793"/>
      <c r="G45" s="1555">
        <v>11.08</v>
      </c>
      <c r="H45" s="62"/>
      <c r="I45" s="62"/>
      <c r="M45" s="794"/>
      <c r="N45" s="795"/>
      <c r="O45" s="795"/>
      <c r="P45" s="794"/>
      <c r="Q45" s="795"/>
    </row>
    <row r="46" spans="2:17">
      <c r="B46" s="1531" t="s">
        <v>127</v>
      </c>
      <c r="C46" s="789" t="s">
        <v>607</v>
      </c>
      <c r="D46" s="790"/>
      <c r="E46" s="790"/>
      <c r="F46" s="790"/>
      <c r="G46" s="1554">
        <v>1</v>
      </c>
      <c r="H46" s="80"/>
      <c r="I46" s="80"/>
      <c r="M46" s="794"/>
      <c r="N46" s="795"/>
      <c r="O46" s="795"/>
      <c r="P46" s="794"/>
      <c r="Q46" s="795"/>
    </row>
    <row r="47" spans="2:17">
      <c r="B47" s="1531" t="s">
        <v>129</v>
      </c>
      <c r="C47" s="792" t="s">
        <v>608</v>
      </c>
      <c r="D47" s="793"/>
      <c r="E47" s="793"/>
      <c r="F47" s="793"/>
      <c r="G47" s="1555">
        <v>1</v>
      </c>
      <c r="H47" s="62"/>
      <c r="I47" s="62"/>
      <c r="M47" s="794"/>
      <c r="N47" s="795"/>
      <c r="O47" s="795"/>
      <c r="P47" s="794"/>
      <c r="Q47" s="795"/>
    </row>
    <row r="48" spans="2:17">
      <c r="B48" s="1531" t="s">
        <v>131</v>
      </c>
      <c r="C48" s="789" t="s">
        <v>609</v>
      </c>
      <c r="D48" s="790"/>
      <c r="E48" s="790"/>
      <c r="F48" s="790"/>
      <c r="G48" s="1554">
        <v>4</v>
      </c>
      <c r="H48" s="80"/>
      <c r="I48" s="80"/>
      <c r="M48" s="794"/>
      <c r="N48" s="795"/>
      <c r="O48" s="795"/>
      <c r="P48" s="794"/>
      <c r="Q48" s="795"/>
    </row>
    <row r="49" spans="1:18">
      <c r="B49" s="1531" t="s">
        <v>132</v>
      </c>
      <c r="C49" s="792" t="s">
        <v>610</v>
      </c>
      <c r="D49" s="793"/>
      <c r="E49" s="793"/>
      <c r="F49" s="793"/>
      <c r="G49" s="1555">
        <v>0.5</v>
      </c>
      <c r="H49" s="62"/>
      <c r="I49" s="62"/>
      <c r="M49" s="794"/>
      <c r="N49" s="795"/>
      <c r="O49" s="795"/>
      <c r="P49" s="794"/>
      <c r="Q49" s="795"/>
    </row>
    <row r="50" spans="1:18">
      <c r="B50" s="1531" t="s">
        <v>133</v>
      </c>
      <c r="C50" s="789" t="s">
        <v>611</v>
      </c>
      <c r="D50" s="790"/>
      <c r="E50" s="790"/>
      <c r="F50" s="790"/>
      <c r="G50" s="1554">
        <v>72.524299999999997</v>
      </c>
      <c r="H50" s="80"/>
      <c r="I50" s="80"/>
      <c r="J50" s="796" t="s">
        <v>612</v>
      </c>
      <c r="M50" s="794"/>
      <c r="N50" s="795"/>
      <c r="O50" s="795"/>
      <c r="P50" s="794"/>
      <c r="Q50" s="795"/>
    </row>
    <row r="51" spans="1:18">
      <c r="B51" s="1531" t="s">
        <v>134</v>
      </c>
      <c r="C51" s="792" t="s">
        <v>613</v>
      </c>
      <c r="D51" s="793"/>
      <c r="E51" s="793"/>
      <c r="F51" s="793"/>
      <c r="G51" s="1555">
        <v>1</v>
      </c>
      <c r="H51" s="62"/>
      <c r="I51" s="62"/>
      <c r="M51" s="794"/>
      <c r="N51" s="795"/>
      <c r="O51" s="795"/>
      <c r="P51" s="794"/>
      <c r="Q51" s="795"/>
    </row>
    <row r="52" spans="1:18">
      <c r="B52" s="1531" t="s">
        <v>135</v>
      </c>
      <c r="C52" s="789" t="s">
        <v>614</v>
      </c>
      <c r="D52" s="790"/>
      <c r="E52" s="790"/>
      <c r="F52" s="790"/>
      <c r="G52" s="1554">
        <v>1.49</v>
      </c>
      <c r="H52" s="80"/>
      <c r="I52" s="80"/>
      <c r="M52" s="794"/>
      <c r="N52" s="795"/>
      <c r="O52" s="795"/>
      <c r="P52" s="794"/>
      <c r="Q52" s="795"/>
    </row>
    <row r="53" spans="1:18">
      <c r="B53" s="1531" t="s">
        <v>136</v>
      </c>
      <c r="C53" s="792" t="s">
        <v>615</v>
      </c>
      <c r="D53" s="797"/>
      <c r="E53" s="797"/>
      <c r="F53" s="793"/>
      <c r="G53" s="1556">
        <v>0</v>
      </c>
      <c r="H53" s="84"/>
      <c r="I53" s="84"/>
    </row>
    <row r="54" spans="1:18">
      <c r="B54" s="1531" t="s">
        <v>137</v>
      </c>
      <c r="C54" s="789" t="s">
        <v>617</v>
      </c>
      <c r="D54" s="790"/>
      <c r="E54" s="790"/>
      <c r="F54" s="790"/>
      <c r="G54" s="1557">
        <v>737.21929999999998</v>
      </c>
      <c r="H54" s="80"/>
      <c r="I54" s="80"/>
      <c r="J54" s="801"/>
      <c r="M54" s="794"/>
      <c r="N54" s="795"/>
      <c r="O54" s="795"/>
      <c r="P54" s="794"/>
      <c r="Q54" s="795"/>
    </row>
    <row r="55" spans="1:18">
      <c r="B55" s="1531" t="s">
        <v>138</v>
      </c>
      <c r="C55" s="799" t="s">
        <v>616</v>
      </c>
      <c r="D55" s="800"/>
      <c r="E55" s="800"/>
      <c r="F55" s="800"/>
      <c r="G55" s="1558">
        <v>0</v>
      </c>
      <c r="H55" s="95"/>
      <c r="I55" s="95"/>
      <c r="M55" s="794"/>
      <c r="N55" s="795"/>
      <c r="O55" s="795"/>
      <c r="P55" s="794"/>
      <c r="Q55" s="795"/>
    </row>
    <row r="56" spans="1:18" ht="11.25" customHeight="1">
      <c r="B56" s="802" t="s">
        <v>139</v>
      </c>
      <c r="C56" s="803" t="s">
        <v>1115</v>
      </c>
      <c r="D56" s="798"/>
      <c r="E56" s="798"/>
      <c r="F56" s="798"/>
      <c r="G56" s="804">
        <f>SUM(G40:G55)</f>
        <v>2014.0802000000001</v>
      </c>
      <c r="H56" s="804">
        <f>SUM(H40:H55)</f>
        <v>0</v>
      </c>
      <c r="I56" s="804">
        <f>SUM(I40:I55)</f>
        <v>0</v>
      </c>
      <c r="J56" s="805"/>
      <c r="K56" s="806"/>
      <c r="L56" s="806"/>
      <c r="M56" s="795"/>
      <c r="N56" s="795"/>
      <c r="O56" s="795"/>
      <c r="P56" s="795"/>
      <c r="Q56" s="795"/>
      <c r="R56" s="795"/>
    </row>
    <row r="57" spans="1:18" ht="32.25" customHeight="1">
      <c r="A57" s="315" t="s">
        <v>618</v>
      </c>
    </row>
    <row r="58" spans="1:18" ht="15.75" customHeight="1" thickBot="1">
      <c r="C58" s="96" t="s">
        <v>591</v>
      </c>
      <c r="D58" s="807" t="s">
        <v>592</v>
      </c>
    </row>
    <row r="59" spans="1:18" ht="12.75" customHeight="1" thickBot="1">
      <c r="A59" s="315"/>
      <c r="B59" s="1531" t="s">
        <v>6</v>
      </c>
      <c r="C59" s="57"/>
      <c r="D59" s="57"/>
      <c r="E59" s="1829" t="s">
        <v>619</v>
      </c>
      <c r="F59" s="1579"/>
      <c r="G59" s="1579"/>
      <c r="H59" s="1579"/>
      <c r="I59" s="1579"/>
      <c r="J59" s="1579"/>
      <c r="K59" s="1579"/>
    </row>
    <row r="60" spans="1:18" ht="12" customHeight="1" thickBot="1">
      <c r="A60" s="315"/>
    </row>
    <row r="61" spans="1:18" hidden="1"/>
    <row r="62" spans="1:18" ht="12.6" hidden="1" thickBot="1"/>
    <row r="63" spans="1:18" ht="12.6" thickBot="1">
      <c r="B63" s="1531" t="s">
        <v>8</v>
      </c>
      <c r="C63" s="57"/>
      <c r="E63" s="96" t="s">
        <v>620</v>
      </c>
    </row>
    <row r="65" spans="1:16">
      <c r="B65" s="1531" t="s">
        <v>22</v>
      </c>
      <c r="C65" s="96" t="s">
        <v>1186</v>
      </c>
      <c r="K65" s="1299"/>
      <c r="L65" s="808">
        <f>BSA55BLA</f>
        <v>5013</v>
      </c>
      <c r="P65" s="806"/>
    </row>
    <row r="66" spans="1:16" ht="22.5" customHeight="1">
      <c r="B66" s="1531" t="s">
        <v>42</v>
      </c>
      <c r="C66" s="1820" t="s">
        <v>1187</v>
      </c>
      <c r="D66" s="1821"/>
      <c r="E66" s="1821"/>
      <c r="F66" s="1821"/>
      <c r="G66" s="1821"/>
      <c r="H66" s="1821"/>
      <c r="I66" s="1821"/>
      <c r="J66" s="1821"/>
      <c r="K66" s="1822"/>
      <c r="L66" s="62">
        <v>1</v>
      </c>
    </row>
    <row r="67" spans="1:16">
      <c r="B67" s="1531" t="s">
        <v>111</v>
      </c>
      <c r="C67" s="811" t="s">
        <v>1188</v>
      </c>
      <c r="D67" s="790"/>
      <c r="E67" s="790"/>
      <c r="F67" s="790"/>
      <c r="G67" s="790"/>
      <c r="H67" s="790"/>
      <c r="I67" s="790"/>
      <c r="J67" s="790"/>
      <c r="K67" s="812"/>
      <c r="L67" s="64">
        <v>41400</v>
      </c>
    </row>
    <row r="68" spans="1:16">
      <c r="B68" s="1531" t="s">
        <v>113</v>
      </c>
      <c r="C68" s="1222" t="s">
        <v>1189</v>
      </c>
      <c r="D68" s="1223"/>
      <c r="E68" s="1223"/>
      <c r="F68" s="793"/>
      <c r="G68" s="793"/>
      <c r="H68" s="793"/>
      <c r="I68" s="793"/>
      <c r="J68" s="793"/>
      <c r="K68" s="810"/>
      <c r="L68" s="63">
        <v>1500</v>
      </c>
    </row>
    <row r="69" spans="1:16">
      <c r="B69" s="814" t="s">
        <v>115</v>
      </c>
      <c r="C69" s="811" t="s">
        <v>1190</v>
      </c>
      <c r="D69" s="790"/>
      <c r="E69" s="790"/>
      <c r="F69" s="790"/>
      <c r="G69" s="790"/>
      <c r="H69" s="790"/>
      <c r="I69" s="790"/>
      <c r="J69" s="790"/>
      <c r="K69" s="815"/>
      <c r="L69" s="813">
        <f>L67+L68</f>
        <v>42900</v>
      </c>
    </row>
    <row r="71" spans="1:16" ht="21" customHeight="1">
      <c r="A71" s="1164" t="s">
        <v>621</v>
      </c>
      <c r="C71" s="314"/>
      <c r="M71"/>
      <c r="N71"/>
      <c r="O71"/>
      <c r="P71"/>
    </row>
    <row r="72" spans="1:16" ht="12" customHeight="1">
      <c r="B72" s="1531" t="s">
        <v>6</v>
      </c>
      <c r="C72" s="789" t="s">
        <v>1191</v>
      </c>
      <c r="D72" s="816"/>
      <c r="E72" s="816"/>
      <c r="F72" s="816"/>
      <c r="G72" s="790"/>
      <c r="H72" s="790"/>
      <c r="I72" s="790"/>
      <c r="J72" s="790"/>
      <c r="K72" s="812"/>
      <c r="L72" s="59">
        <v>344</v>
      </c>
      <c r="M72"/>
      <c r="N72"/>
      <c r="O72"/>
      <c r="P72"/>
    </row>
    <row r="73" spans="1:16" ht="12" customHeight="1">
      <c r="B73" s="1531" t="s">
        <v>8</v>
      </c>
      <c r="C73" s="1224" t="s">
        <v>1192</v>
      </c>
      <c r="D73" s="1171"/>
      <c r="E73" s="1171"/>
      <c r="F73" s="1171"/>
      <c r="G73" s="793"/>
      <c r="H73" s="793"/>
      <c r="I73" s="793"/>
      <c r="J73" s="793"/>
      <c r="K73" s="810"/>
      <c r="L73" s="61">
        <v>298</v>
      </c>
      <c r="M73"/>
      <c r="N73"/>
      <c r="O73"/>
      <c r="P73"/>
    </row>
    <row r="74" spans="1:16" ht="12" customHeight="1">
      <c r="B74" s="1531" t="s">
        <v>22</v>
      </c>
      <c r="C74" s="1863" t="s">
        <v>1193</v>
      </c>
      <c r="D74" s="1864"/>
      <c r="E74" s="1864"/>
      <c r="F74" s="1864"/>
      <c r="G74" s="790"/>
      <c r="H74" s="790"/>
      <c r="I74" s="790"/>
      <c r="J74" s="790"/>
      <c r="K74" s="812"/>
      <c r="L74" s="64"/>
      <c r="M74"/>
      <c r="N74"/>
      <c r="O74"/>
      <c r="P74"/>
    </row>
    <row r="75" spans="1:16" ht="12" customHeight="1">
      <c r="B75" s="1531" t="s">
        <v>42</v>
      </c>
      <c r="C75" s="1224" t="s">
        <v>1194</v>
      </c>
      <c r="D75" s="1171"/>
      <c r="E75" s="1171"/>
      <c r="F75" s="1171"/>
      <c r="G75" s="793"/>
      <c r="H75" s="793"/>
      <c r="I75" s="793"/>
      <c r="J75" s="793"/>
      <c r="K75" s="810"/>
      <c r="L75" s="63"/>
      <c r="M75"/>
      <c r="N75"/>
      <c r="O75"/>
      <c r="P75"/>
    </row>
    <row r="76" spans="1:16" ht="12" customHeight="1">
      <c r="B76" s="1531" t="s">
        <v>111</v>
      </c>
      <c r="C76" s="789" t="s">
        <v>1195</v>
      </c>
      <c r="D76" s="816"/>
      <c r="E76" s="816"/>
      <c r="F76" s="816"/>
      <c r="G76" s="816"/>
      <c r="H76" s="816"/>
      <c r="I76" s="816"/>
      <c r="J76" s="816"/>
      <c r="K76" s="812"/>
      <c r="L76" s="59"/>
      <c r="M76"/>
      <c r="N76"/>
      <c r="O76"/>
      <c r="P76"/>
    </row>
    <row r="77" spans="1:16" ht="12" customHeight="1">
      <c r="B77" s="210" t="s">
        <v>113</v>
      </c>
      <c r="C77" s="1224" t="s">
        <v>1196</v>
      </c>
      <c r="D77" s="1171"/>
      <c r="E77" s="1171"/>
      <c r="F77" s="1171"/>
      <c r="G77" s="793"/>
      <c r="H77" s="793"/>
      <c r="I77" s="793"/>
      <c r="J77" s="793"/>
      <c r="K77" s="810"/>
      <c r="L77" s="61"/>
      <c r="M77"/>
      <c r="N77"/>
      <c r="O77"/>
      <c r="P77"/>
    </row>
    <row r="78" spans="1:16" ht="14.25" customHeight="1">
      <c r="B78" s="210"/>
      <c r="K78" s="1299"/>
      <c r="L78" s="795"/>
      <c r="M78"/>
      <c r="N78"/>
      <c r="O78"/>
      <c r="P78"/>
    </row>
    <row r="79" spans="1:16" ht="21.75" customHeight="1">
      <c r="A79" s="1165" t="s">
        <v>622</v>
      </c>
      <c r="C79" s="315"/>
    </row>
    <row r="80" spans="1:16">
      <c r="B80" s="1531" t="s">
        <v>6</v>
      </c>
      <c r="C80" s="96" t="s">
        <v>623</v>
      </c>
    </row>
    <row r="81" spans="2:27">
      <c r="B81" s="818"/>
      <c r="C81" s="1531" t="s">
        <v>529</v>
      </c>
      <c r="D81" s="819" t="s">
        <v>590</v>
      </c>
      <c r="E81" s="790"/>
      <c r="F81" s="790"/>
      <c r="G81" s="790"/>
      <c r="H81" s="790"/>
      <c r="I81" s="812"/>
      <c r="J81" s="820"/>
      <c r="K81" s="815"/>
      <c r="L81" s="64"/>
      <c r="M81" s="178"/>
      <c r="N81" s="821"/>
    </row>
    <row r="82" spans="2:27">
      <c r="B82" s="818"/>
      <c r="C82" s="96" t="s">
        <v>530</v>
      </c>
      <c r="D82" s="822" t="s">
        <v>591</v>
      </c>
      <c r="E82" s="793"/>
      <c r="F82" s="793"/>
      <c r="G82" s="793"/>
      <c r="H82" s="793"/>
      <c r="I82" s="810"/>
      <c r="J82" s="823"/>
      <c r="K82" s="824"/>
      <c r="L82" s="65"/>
      <c r="M82" s="178"/>
      <c r="N82" s="821"/>
    </row>
    <row r="83" spans="2:27">
      <c r="B83" s="818"/>
      <c r="C83" s="96" t="s">
        <v>531</v>
      </c>
      <c r="D83" s="825" t="s">
        <v>592</v>
      </c>
      <c r="E83" s="790"/>
      <c r="F83" s="790"/>
      <c r="G83" s="790"/>
      <c r="H83" s="790"/>
      <c r="I83" s="812"/>
      <c r="J83" s="820"/>
      <c r="K83" s="815"/>
      <c r="L83" s="66"/>
      <c r="M83" s="178"/>
      <c r="N83" s="821"/>
    </row>
    <row r="84" spans="2:27" hidden="1">
      <c r="L84" s="13"/>
    </row>
    <row r="85" spans="2:27" hidden="1">
      <c r="L85" s="13"/>
    </row>
    <row r="86" spans="2:27" ht="13.5" customHeight="1">
      <c r="B86" s="1531" t="s">
        <v>8</v>
      </c>
      <c r="C86" s="1081" t="s">
        <v>624</v>
      </c>
      <c r="D86" s="1082"/>
      <c r="E86" s="1082"/>
      <c r="F86" s="1082"/>
      <c r="G86" s="1082"/>
      <c r="H86" s="1082"/>
      <c r="I86" s="1082"/>
      <c r="J86" s="797"/>
      <c r="K86" s="1083"/>
      <c r="L86" s="63"/>
    </row>
    <row r="87" spans="2:27">
      <c r="B87" s="1531" t="s">
        <v>22</v>
      </c>
      <c r="C87" s="819" t="s">
        <v>625</v>
      </c>
      <c r="D87" s="826"/>
      <c r="E87" s="826"/>
      <c r="F87" s="826"/>
      <c r="G87" s="826"/>
      <c r="H87" s="826"/>
      <c r="I87" s="826"/>
      <c r="J87" s="790"/>
      <c r="K87" s="815"/>
      <c r="L87" s="64"/>
      <c r="N87" s="821"/>
    </row>
    <row r="88" spans="2:27">
      <c r="B88" s="1531" t="s">
        <v>42</v>
      </c>
      <c r="C88" s="1222" t="s">
        <v>626</v>
      </c>
      <c r="D88" s="1223"/>
      <c r="E88" s="1223"/>
      <c r="F88" s="793"/>
      <c r="G88" s="793"/>
      <c r="H88" s="793"/>
      <c r="I88" s="793"/>
      <c r="J88" s="793"/>
      <c r="K88" s="810"/>
      <c r="L88" s="1096"/>
      <c r="N88" s="821"/>
    </row>
    <row r="89" spans="2:27">
      <c r="B89" s="1531" t="s">
        <v>111</v>
      </c>
      <c r="C89" s="1858" t="s">
        <v>627</v>
      </c>
      <c r="D89" s="1859"/>
      <c r="E89" s="1859"/>
      <c r="F89" s="1859"/>
      <c r="G89" s="1859"/>
      <c r="H89" s="1859"/>
      <c r="I89" s="1859"/>
      <c r="J89" s="1859"/>
      <c r="K89" s="1859"/>
      <c r="L89" s="64"/>
      <c r="N89" s="821"/>
    </row>
    <row r="90" spans="2:27">
      <c r="B90" s="1531" t="s">
        <v>113</v>
      </c>
      <c r="C90" s="1860" t="s">
        <v>1289</v>
      </c>
      <c r="D90" s="1861"/>
      <c r="E90" s="1861"/>
      <c r="F90" s="1861"/>
      <c r="G90" s="1861"/>
      <c r="H90" s="1861"/>
      <c r="I90" s="1861"/>
      <c r="J90" s="1861"/>
      <c r="K90" s="1862"/>
      <c r="L90" s="1097"/>
      <c r="N90" s="821"/>
      <c r="AA90" s="1099" t="str">
        <f>IF((AND(L90&lt;&gt;"",C90="Other BSL Adjustment 1")),"Yes","")</f>
        <v/>
      </c>
    </row>
    <row r="91" spans="2:27">
      <c r="B91" s="1531" t="s">
        <v>115</v>
      </c>
      <c r="C91" s="1841" t="s">
        <v>1290</v>
      </c>
      <c r="D91" s="1842"/>
      <c r="E91" s="1842"/>
      <c r="F91" s="1842"/>
      <c r="G91" s="1842"/>
      <c r="H91" s="1842"/>
      <c r="I91" s="1842"/>
      <c r="J91" s="1842"/>
      <c r="K91" s="1842"/>
      <c r="L91" s="1536"/>
      <c r="N91" s="821"/>
      <c r="AA91" s="96" t="str">
        <f>IF((AND(L91&lt;&gt;"",C91="Other BSL Adjustment 2")),"Yes","")</f>
        <v/>
      </c>
    </row>
    <row r="92" spans="2:27">
      <c r="B92" s="827"/>
      <c r="C92" s="101"/>
      <c r="D92" s="101"/>
      <c r="E92" s="101"/>
      <c r="F92" s="101"/>
      <c r="G92" s="101"/>
      <c r="H92" s="101"/>
      <c r="I92" s="101"/>
      <c r="K92" s="1299"/>
      <c r="M92" s="176"/>
      <c r="N92" s="821"/>
    </row>
    <row r="93" spans="2:27" ht="15.75" customHeight="1">
      <c r="B93" s="1166" t="s">
        <v>628</v>
      </c>
      <c r="C93" s="120"/>
      <c r="D93" s="120"/>
      <c r="E93" s="120"/>
      <c r="F93" s="120"/>
      <c r="J93" s="1299"/>
      <c r="K93" s="1299"/>
      <c r="L93" s="821"/>
      <c r="M93" s="176"/>
      <c r="N93" s="821"/>
    </row>
    <row r="94" spans="2:27">
      <c r="B94" s="1287" t="s">
        <v>117</v>
      </c>
      <c r="C94" s="1222" t="s">
        <v>1197</v>
      </c>
      <c r="D94" s="1223"/>
      <c r="E94" s="1223"/>
      <c r="F94" s="793"/>
      <c r="G94" s="793"/>
      <c r="H94" s="793"/>
      <c r="I94" s="793"/>
      <c r="J94" s="793"/>
      <c r="K94" s="810"/>
      <c r="L94" s="85">
        <v>136112534</v>
      </c>
      <c r="M94" s="176"/>
      <c r="N94" s="821"/>
    </row>
    <row r="95" spans="2:27" ht="14.4">
      <c r="B95" s="1531" t="s">
        <v>119</v>
      </c>
      <c r="C95" s="811" t="s">
        <v>1198</v>
      </c>
      <c r="D95" s="790"/>
      <c r="E95" s="790"/>
      <c r="F95" s="790"/>
      <c r="G95" s="790"/>
      <c r="H95" s="790"/>
      <c r="I95" s="790"/>
      <c r="J95" s="790"/>
      <c r="K95" s="812"/>
      <c r="L95" s="86"/>
      <c r="M95" s="1849" t="str">
        <f>IF(AND(_PAV2&gt;0,P95&lt;&gt;"X"),"If the amount shown for Primary Assessed Valuation 2 (AV2) on page 6 of the District's most recent BSA 55-1 report from ADE is greater than 0, mark X in cell P77.","")</f>
        <v/>
      </c>
      <c r="N95" s="1850"/>
      <c r="O95" s="1850"/>
      <c r="P95" s="307"/>
      <c r="Q95" s="829"/>
      <c r="R95" s="829"/>
      <c r="S95" s="829"/>
      <c r="T95" s="829"/>
      <c r="U95" s="829"/>
      <c r="V95" s="829"/>
      <c r="W95" s="829"/>
      <c r="X95" s="829"/>
      <c r="Y95" s="829"/>
      <c r="Z95" s="829"/>
      <c r="AA95" s="829"/>
    </row>
    <row r="96" spans="2:27">
      <c r="B96" s="1287" t="s">
        <v>121</v>
      </c>
      <c r="C96" s="1222" t="s">
        <v>1199</v>
      </c>
      <c r="D96" s="1223"/>
      <c r="E96" s="1223"/>
      <c r="F96" s="1223"/>
      <c r="G96" s="793"/>
      <c r="H96" s="793"/>
      <c r="I96" s="793"/>
      <c r="J96" s="793"/>
      <c r="K96" s="810"/>
      <c r="L96" s="85">
        <v>159000</v>
      </c>
      <c r="M96" s="1849"/>
      <c r="N96" s="1850"/>
      <c r="O96" s="1850"/>
    </row>
    <row r="97" spans="2:15">
      <c r="B97" s="1287" t="s">
        <v>123</v>
      </c>
      <c r="C97" s="811" t="s">
        <v>1200</v>
      </c>
      <c r="D97" s="790"/>
      <c r="E97" s="790"/>
      <c r="F97" s="790"/>
      <c r="G97" s="790"/>
      <c r="H97" s="790"/>
      <c r="I97" s="790"/>
      <c r="J97" s="790"/>
      <c r="K97" s="812"/>
      <c r="L97" s="86"/>
      <c r="M97" s="1849"/>
      <c r="N97" s="1850"/>
      <c r="O97" s="1850"/>
    </row>
    <row r="98" spans="2:15" ht="12" customHeight="1">
      <c r="B98" s="210"/>
      <c r="K98" s="1299"/>
      <c r="L98" s="1301"/>
      <c r="M98" s="176"/>
      <c r="N98" s="821"/>
    </row>
    <row r="99" spans="2:15" ht="15.75" customHeight="1">
      <c r="B99" s="1166" t="s">
        <v>629</v>
      </c>
      <c r="C99" s="120"/>
      <c r="D99" s="120"/>
      <c r="E99" s="120"/>
      <c r="F99" s="120"/>
      <c r="G99" s="120"/>
      <c r="K99" s="1299"/>
      <c r="L99" s="1301"/>
      <c r="M99" s="176"/>
      <c r="N99" s="821"/>
    </row>
    <row r="100" spans="2:15">
      <c r="B100" s="1513" t="s">
        <v>125</v>
      </c>
      <c r="C100" s="1222" t="s">
        <v>1201</v>
      </c>
      <c r="D100" s="1223"/>
      <c r="E100" s="1223"/>
      <c r="F100" s="793"/>
      <c r="G100" s="793"/>
      <c r="H100" s="793"/>
      <c r="I100" s="793"/>
      <c r="J100" s="793"/>
      <c r="K100" s="810"/>
      <c r="L100" s="63"/>
      <c r="M100" s="176"/>
      <c r="N100" s="821"/>
    </row>
    <row r="101" spans="2:15">
      <c r="B101" s="1513" t="s">
        <v>127</v>
      </c>
      <c r="C101" s="811" t="s">
        <v>1336</v>
      </c>
      <c r="D101" s="790"/>
      <c r="E101" s="790"/>
      <c r="F101" s="790"/>
      <c r="G101" s="790"/>
      <c r="H101" s="790"/>
      <c r="I101" s="790"/>
      <c r="J101" s="790"/>
      <c r="K101" s="815"/>
      <c r="L101" s="64">
        <v>8900000</v>
      </c>
      <c r="M101" s="176"/>
      <c r="N101" s="821"/>
    </row>
    <row r="102" spans="2:15">
      <c r="B102" s="1287" t="s">
        <v>129</v>
      </c>
      <c r="C102" s="1222" t="s">
        <v>1337</v>
      </c>
      <c r="D102" s="1223"/>
      <c r="E102" s="1223"/>
      <c r="F102" s="1223"/>
      <c r="G102" s="793"/>
      <c r="H102" s="793"/>
      <c r="I102" s="793"/>
      <c r="J102" s="793"/>
      <c r="K102" s="810"/>
      <c r="L102" s="1419"/>
      <c r="M102" s="176"/>
      <c r="N102" s="821"/>
    </row>
    <row r="103" spans="2:15">
      <c r="C103" s="1299" t="s">
        <v>529</v>
      </c>
      <c r="D103" s="888" t="s">
        <v>630</v>
      </c>
      <c r="E103" s="339"/>
      <c r="F103" s="339"/>
      <c r="G103" s="339"/>
      <c r="H103" s="339"/>
      <c r="I103" s="339"/>
      <c r="J103" s="339"/>
      <c r="K103" s="1418"/>
      <c r="L103" s="66"/>
      <c r="M103" s="178"/>
      <c r="N103" s="821"/>
    </row>
    <row r="104" spans="2:15">
      <c r="C104" s="1299" t="s">
        <v>530</v>
      </c>
      <c r="D104" s="809" t="s">
        <v>631</v>
      </c>
      <c r="E104" s="793"/>
      <c r="F104" s="793"/>
      <c r="G104" s="793"/>
      <c r="H104" s="793"/>
      <c r="I104" s="793"/>
      <c r="J104" s="793"/>
      <c r="K104" s="810"/>
      <c r="L104" s="63"/>
      <c r="M104" s="178"/>
      <c r="N104" s="821"/>
    </row>
    <row r="105" spans="2:15">
      <c r="B105" s="210"/>
      <c r="C105" s="194" t="s">
        <v>531</v>
      </c>
      <c r="D105" s="809" t="s">
        <v>632</v>
      </c>
      <c r="E105" s="793"/>
      <c r="F105" s="793"/>
      <c r="G105" s="793"/>
      <c r="H105" s="793"/>
      <c r="I105" s="793"/>
      <c r="J105" s="793"/>
      <c r="K105" s="810"/>
      <c r="L105" s="63"/>
      <c r="M105" s="178"/>
      <c r="N105" s="821"/>
    </row>
    <row r="106" spans="2:15">
      <c r="B106" s="210"/>
      <c r="C106" s="194" t="s">
        <v>633</v>
      </c>
      <c r="D106" s="811" t="s">
        <v>634</v>
      </c>
      <c r="E106" s="790"/>
      <c r="F106" s="790"/>
      <c r="G106" s="790"/>
      <c r="H106" s="790"/>
      <c r="I106" s="790"/>
      <c r="J106" s="790"/>
      <c r="K106" s="812"/>
      <c r="L106" s="64"/>
      <c r="M106" s="178"/>
      <c r="N106" s="821"/>
    </row>
    <row r="107" spans="2:15">
      <c r="B107" s="210"/>
      <c r="C107" s="1532" t="s">
        <v>689</v>
      </c>
      <c r="D107" s="831" t="s">
        <v>635</v>
      </c>
      <c r="E107" s="832"/>
      <c r="F107" s="832"/>
      <c r="G107" s="832"/>
      <c r="H107" s="832"/>
      <c r="I107" s="832"/>
      <c r="J107" s="832"/>
      <c r="K107" s="833"/>
      <c r="L107" s="77"/>
      <c r="M107" s="178"/>
      <c r="N107" s="821"/>
    </row>
    <row r="108" spans="2:15">
      <c r="B108" s="1287" t="s">
        <v>131</v>
      </c>
      <c r="C108" s="811" t="s">
        <v>636</v>
      </c>
      <c r="D108" s="790"/>
      <c r="E108" s="790"/>
      <c r="F108" s="790"/>
      <c r="G108" s="790"/>
      <c r="H108" s="790"/>
      <c r="I108" s="790"/>
      <c r="J108" s="790"/>
      <c r="K108" s="812"/>
      <c r="L108" s="64"/>
      <c r="M108" s="176"/>
      <c r="N108" s="821"/>
    </row>
    <row r="109" spans="2:15" ht="12.75" customHeight="1">
      <c r="B109" s="210"/>
      <c r="K109" s="1299"/>
      <c r="L109" s="821"/>
      <c r="M109" s="176"/>
      <c r="N109" s="821"/>
    </row>
    <row r="110" spans="2:15" ht="15.75" customHeight="1">
      <c r="B110" s="834" t="s">
        <v>637</v>
      </c>
      <c r="C110" s="120"/>
      <c r="D110" s="120"/>
      <c r="E110" s="120"/>
      <c r="F110" s="120"/>
      <c r="G110" s="120"/>
      <c r="H110" s="120"/>
      <c r="K110" s="1299"/>
      <c r="L110" s="821"/>
      <c r="M110" s="176"/>
      <c r="N110" s="821"/>
    </row>
    <row r="111" spans="2:15">
      <c r="B111" s="1513" t="s">
        <v>132</v>
      </c>
      <c r="C111" s="1222" t="s">
        <v>1203</v>
      </c>
      <c r="D111" s="1223"/>
      <c r="E111" s="1223"/>
      <c r="F111" s="793"/>
      <c r="G111" s="793"/>
      <c r="H111" s="793"/>
      <c r="I111" s="793"/>
      <c r="J111" s="793"/>
      <c r="K111" s="824"/>
      <c r="L111" s="63"/>
      <c r="M111" s="176"/>
      <c r="N111" s="821"/>
    </row>
    <row r="112" spans="2:15" ht="11.25" customHeight="1">
      <c r="B112" s="1287" t="s">
        <v>133</v>
      </c>
      <c r="C112" s="811" t="s">
        <v>1202</v>
      </c>
      <c r="D112" s="790"/>
      <c r="E112" s="790"/>
      <c r="F112" s="790"/>
      <c r="G112" s="790"/>
      <c r="H112" s="790"/>
      <c r="I112" s="790"/>
      <c r="J112" s="790"/>
      <c r="K112" s="1170"/>
      <c r="L112" s="64"/>
      <c r="M112" s="176"/>
      <c r="N112" s="821"/>
    </row>
    <row r="113" spans="2:17" ht="11.25" customHeight="1">
      <c r="B113" s="1513" t="s">
        <v>134</v>
      </c>
      <c r="C113" s="1224" t="s">
        <v>1338</v>
      </c>
      <c r="D113" s="1171"/>
      <c r="E113" s="1171"/>
      <c r="F113" s="1171"/>
      <c r="G113" s="1171"/>
      <c r="H113" s="1171"/>
      <c r="I113" s="1171"/>
      <c r="J113" s="1171"/>
      <c r="K113" s="824"/>
      <c r="L113" s="63"/>
      <c r="M113" s="176"/>
      <c r="O113" s="821" t="s">
        <v>638</v>
      </c>
      <c r="Q113" s="813">
        <f>Calculations!O121</f>
        <v>0</v>
      </c>
    </row>
    <row r="114" spans="2:17" ht="11.25" customHeight="1">
      <c r="B114" s="1513" t="s">
        <v>135</v>
      </c>
      <c r="C114" s="789" t="s">
        <v>1339</v>
      </c>
      <c r="D114" s="816"/>
      <c r="E114" s="816"/>
      <c r="F114" s="816"/>
      <c r="G114" s="816"/>
      <c r="H114" s="816"/>
      <c r="I114" s="816"/>
      <c r="J114" s="816"/>
      <c r="K114" s="815"/>
      <c r="L114" s="64"/>
      <c r="M114" s="176"/>
      <c r="N114" s="821"/>
    </row>
    <row r="115" spans="2:17" ht="11.25" customHeight="1">
      <c r="B115" s="1287" t="s">
        <v>136</v>
      </c>
      <c r="C115" s="1222" t="s">
        <v>1204</v>
      </c>
      <c r="D115" s="1343"/>
      <c r="E115" s="1343"/>
      <c r="F115" s="836"/>
      <c r="G115" s="836"/>
      <c r="H115" s="836"/>
      <c r="I115" s="836"/>
      <c r="J115" s="836"/>
      <c r="K115" s="824"/>
      <c r="L115" s="63"/>
      <c r="M115" s="176"/>
      <c r="N115" s="821"/>
    </row>
    <row r="116" spans="2:17" ht="11.25" customHeight="1">
      <c r="B116" s="1098"/>
      <c r="D116" s="1337"/>
      <c r="E116" s="1337"/>
      <c r="F116" s="1337"/>
      <c r="G116" s="1337"/>
      <c r="H116" s="1337"/>
      <c r="I116" s="1337"/>
      <c r="J116" s="1337"/>
      <c r="K116" s="1299"/>
      <c r="L116" s="821"/>
      <c r="M116" s="176"/>
      <c r="N116" s="821"/>
    </row>
    <row r="117" spans="2:17" s="120" customFormat="1" ht="15.75" customHeight="1" thickBot="1">
      <c r="B117" s="834" t="s">
        <v>639</v>
      </c>
      <c r="D117" s="1304"/>
      <c r="E117" s="1304"/>
      <c r="F117" s="1304"/>
      <c r="G117" s="1304"/>
      <c r="H117" s="1304"/>
      <c r="I117" s="1304"/>
      <c r="J117" s="1304"/>
      <c r="K117" s="837"/>
      <c r="L117" s="838"/>
      <c r="M117" s="839"/>
      <c r="N117" s="838"/>
    </row>
    <row r="118" spans="2:17" ht="11.25" customHeight="1" thickBot="1">
      <c r="B118" s="1513" t="s">
        <v>137</v>
      </c>
      <c r="C118" s="58"/>
      <c r="D118" s="1337"/>
      <c r="E118" s="1691" t="s">
        <v>1119</v>
      </c>
      <c r="F118" s="1691"/>
      <c r="G118" s="1691"/>
      <c r="H118" s="1691"/>
      <c r="I118" s="1691"/>
      <c r="J118" s="1691"/>
      <c r="K118" s="1853" t="str">
        <f>IF(AND(SSAPhaseDownCheckbox="X",SSAFYExceeded=""),"COMPLETE LINE 18 BELOW"," ")</f>
        <v xml:space="preserve"> </v>
      </c>
      <c r="L118" s="1853"/>
      <c r="M118" s="176"/>
      <c r="N118" s="821"/>
    </row>
    <row r="119" spans="2:17" ht="24" customHeight="1">
      <c r="B119" s="1514"/>
      <c r="C119" s="1383"/>
      <c r="D119" s="1337"/>
      <c r="E119" s="1691"/>
      <c r="F119" s="1691"/>
      <c r="G119" s="1691"/>
      <c r="H119" s="1691"/>
      <c r="I119" s="1691"/>
      <c r="J119" s="1691"/>
      <c r="K119" s="1853"/>
      <c r="L119" s="1853"/>
      <c r="M119" s="176"/>
      <c r="N119" s="821"/>
    </row>
    <row r="120" spans="2:17" ht="11.25" customHeight="1">
      <c r="B120" s="1098"/>
      <c r="D120" s="1337"/>
      <c r="E120" s="101"/>
      <c r="F120" s="1337"/>
      <c r="G120" s="1337"/>
      <c r="H120" s="1337"/>
      <c r="I120" s="1337"/>
      <c r="J120" s="1337"/>
      <c r="K120" s="1299"/>
      <c r="L120" s="821"/>
      <c r="M120" s="176"/>
      <c r="N120" s="821"/>
    </row>
    <row r="121" spans="2:17" ht="11.25" customHeight="1">
      <c r="B121" s="1513" t="s">
        <v>138</v>
      </c>
      <c r="C121" s="1851" t="s">
        <v>640</v>
      </c>
      <c r="D121" s="1852"/>
      <c r="E121" s="1852"/>
      <c r="F121" s="1852"/>
      <c r="G121" s="1852"/>
      <c r="H121" s="1852"/>
      <c r="I121" s="1852"/>
      <c r="J121" s="1852"/>
      <c r="K121" s="815" t="s">
        <v>3</v>
      </c>
      <c r="L121" s="74"/>
      <c r="M121" s="176"/>
      <c r="N121" s="821"/>
    </row>
    <row r="122" spans="2:17" ht="23.25" customHeight="1">
      <c r="B122" s="802" t="s">
        <v>139</v>
      </c>
      <c r="C122" s="1847" t="s">
        <v>641</v>
      </c>
      <c r="D122" s="1848"/>
      <c r="E122" s="1848"/>
      <c r="F122" s="1848"/>
      <c r="G122" s="1848"/>
      <c r="H122" s="1848"/>
      <c r="I122" s="1848"/>
      <c r="J122" s="1848"/>
      <c r="K122" s="824"/>
      <c r="L122" s="65"/>
      <c r="M122" s="176"/>
      <c r="N122" s="821"/>
    </row>
    <row r="123" spans="2:17" ht="11.25" customHeight="1">
      <c r="B123" s="828"/>
      <c r="C123" s="1337"/>
      <c r="D123" s="1337"/>
      <c r="E123" s="1337"/>
      <c r="F123" s="1337"/>
      <c r="G123" s="1337"/>
      <c r="H123" s="1337"/>
      <c r="I123" s="1337"/>
      <c r="J123" s="1337"/>
      <c r="K123" s="1299"/>
      <c r="L123" s="821"/>
      <c r="M123" s="176"/>
      <c r="N123" s="821"/>
    </row>
    <row r="124" spans="2:17" ht="15.75" customHeight="1">
      <c r="B124" s="834" t="s">
        <v>642</v>
      </c>
      <c r="C124" s="1337"/>
      <c r="D124" s="1337"/>
      <c r="E124" s="1337"/>
      <c r="F124" s="1337"/>
      <c r="G124" s="1337"/>
      <c r="H124" s="1337"/>
      <c r="I124" s="1337"/>
      <c r="J124" s="1337"/>
      <c r="K124" s="1299"/>
      <c r="L124" s="821"/>
      <c r="M124" s="176"/>
      <c r="N124" s="821"/>
    </row>
    <row r="125" spans="2:17" ht="36" customHeight="1">
      <c r="B125" s="834"/>
      <c r="C125" s="1691" t="s">
        <v>643</v>
      </c>
      <c r="D125" s="1856"/>
      <c r="E125" s="1856"/>
      <c r="F125" s="1856"/>
      <c r="G125" s="1856"/>
      <c r="H125" s="1856"/>
      <c r="I125" s="1856"/>
      <c r="J125" s="1856"/>
      <c r="K125" s="1299"/>
      <c r="L125" s="821"/>
      <c r="M125" s="176"/>
      <c r="N125" s="821"/>
    </row>
    <row r="126" spans="2:17" ht="10.5" customHeight="1">
      <c r="B126" s="834"/>
      <c r="C126" s="1337"/>
      <c r="D126" s="1337"/>
      <c r="E126" s="1337"/>
      <c r="F126" s="1337"/>
      <c r="G126" s="1337"/>
      <c r="H126" s="1337"/>
      <c r="I126" s="1337"/>
      <c r="J126" s="1337"/>
      <c r="K126" s="1299"/>
      <c r="L126" s="821"/>
      <c r="M126" s="176"/>
      <c r="N126" s="821"/>
    </row>
    <row r="127" spans="2:17" ht="11.25" customHeight="1">
      <c r="B127" s="1287" t="s">
        <v>141</v>
      </c>
      <c r="C127" s="811" t="s">
        <v>644</v>
      </c>
      <c r="D127" s="835"/>
      <c r="E127" s="826"/>
      <c r="F127" s="835"/>
      <c r="G127" s="835"/>
      <c r="H127" s="835"/>
      <c r="I127" s="835"/>
      <c r="J127" s="835"/>
      <c r="K127" s="815" t="s">
        <v>3</v>
      </c>
      <c r="L127" s="75"/>
      <c r="M127" s="176"/>
      <c r="N127" s="821"/>
    </row>
    <row r="128" spans="2:17" ht="11.25" customHeight="1">
      <c r="B128" s="1287" t="s">
        <v>143</v>
      </c>
      <c r="C128" s="809" t="s">
        <v>645</v>
      </c>
      <c r="D128" s="836"/>
      <c r="E128" s="840"/>
      <c r="F128" s="836"/>
      <c r="G128" s="836"/>
      <c r="H128" s="836"/>
      <c r="I128" s="836"/>
      <c r="J128" s="836"/>
      <c r="K128" s="824"/>
      <c r="L128" s="61"/>
      <c r="M128" s="176"/>
      <c r="N128" s="821"/>
    </row>
    <row r="129" spans="1:15" ht="23.25" customHeight="1">
      <c r="B129" s="1287" t="s">
        <v>146</v>
      </c>
      <c r="C129" s="1851" t="s">
        <v>646</v>
      </c>
      <c r="D129" s="1852"/>
      <c r="E129" s="1852"/>
      <c r="F129" s="1852"/>
      <c r="G129" s="1852"/>
      <c r="H129" s="1852"/>
      <c r="I129" s="1852"/>
      <c r="J129" s="1852"/>
      <c r="K129" s="815"/>
      <c r="L129" s="76"/>
      <c r="M129" s="176"/>
      <c r="N129" s="821"/>
    </row>
    <row r="130" spans="1:15" ht="11.25" customHeight="1">
      <c r="B130" s="1287" t="s">
        <v>148</v>
      </c>
      <c r="C130" s="809" t="s">
        <v>647</v>
      </c>
      <c r="D130" s="836"/>
      <c r="E130" s="840"/>
      <c r="F130" s="836"/>
      <c r="G130" s="836"/>
      <c r="H130" s="836"/>
      <c r="I130" s="836"/>
      <c r="J130" s="836"/>
      <c r="K130" s="824"/>
      <c r="L130" s="63"/>
      <c r="M130" s="176"/>
      <c r="N130" s="821"/>
    </row>
    <row r="131" spans="1:15" ht="11.25" customHeight="1" thickBot="1">
      <c r="B131" s="1287" t="s">
        <v>151</v>
      </c>
      <c r="C131" s="811" t="s">
        <v>648</v>
      </c>
      <c r="D131" s="835"/>
      <c r="E131" s="826"/>
      <c r="F131" s="835"/>
      <c r="G131" s="835"/>
      <c r="H131" s="835"/>
      <c r="I131" s="835"/>
      <c r="J131" s="835"/>
      <c r="K131" s="815"/>
      <c r="L131" s="64"/>
      <c r="M131" s="176"/>
      <c r="N131" s="821"/>
    </row>
    <row r="132" spans="1:15" ht="4.5" hidden="1" customHeight="1">
      <c r="B132" s="802"/>
      <c r="D132" s="1337"/>
      <c r="E132" s="101"/>
      <c r="F132" s="1337"/>
      <c r="G132" s="1337"/>
      <c r="H132" s="1337"/>
      <c r="I132" s="1337"/>
      <c r="J132" s="1337"/>
      <c r="K132" s="1299"/>
      <c r="L132" s="821"/>
      <c r="M132" s="176"/>
      <c r="N132" s="821"/>
    </row>
    <row r="133" spans="1:15" ht="11.25" customHeight="1" thickBot="1">
      <c r="B133" s="1290" t="s">
        <v>153</v>
      </c>
      <c r="C133" s="58"/>
      <c r="D133" s="1337"/>
      <c r="E133" s="1854" t="s">
        <v>649</v>
      </c>
      <c r="F133" s="1854"/>
      <c r="G133" s="1854"/>
      <c r="H133" s="1854"/>
      <c r="I133" s="1854"/>
      <c r="J133" s="842"/>
      <c r="K133" s="830"/>
      <c r="L133" s="843"/>
      <c r="M133" s="176"/>
      <c r="N133" s="821"/>
    </row>
    <row r="134" spans="1:15" ht="15.75" customHeight="1">
      <c r="B134" s="202"/>
      <c r="D134" s="1337"/>
      <c r="E134" s="1855"/>
      <c r="F134" s="1855"/>
      <c r="G134" s="1855"/>
      <c r="H134" s="1855"/>
      <c r="I134" s="1855"/>
      <c r="J134" s="842"/>
      <c r="K134" s="830"/>
      <c r="L134" s="843"/>
      <c r="M134" s="176"/>
      <c r="N134" s="821"/>
    </row>
    <row r="135" spans="1:15" ht="11.25" customHeight="1">
      <c r="B135" s="1287" t="s">
        <v>154</v>
      </c>
      <c r="C135" s="811" t="s">
        <v>650</v>
      </c>
      <c r="D135" s="835"/>
      <c r="E135" s="826"/>
      <c r="F135" s="835"/>
      <c r="G135" s="835"/>
      <c r="H135" s="835"/>
      <c r="I135" s="835"/>
      <c r="J135" s="835"/>
      <c r="K135" s="815"/>
      <c r="L135" s="76"/>
      <c r="M135" s="176"/>
      <c r="N135" s="821"/>
    </row>
    <row r="136" spans="1:15" ht="11.25" customHeight="1">
      <c r="B136" s="1287" t="s">
        <v>336</v>
      </c>
      <c r="C136" s="809" t="s">
        <v>651</v>
      </c>
      <c r="D136" s="836"/>
      <c r="E136" s="840"/>
      <c r="F136" s="836"/>
      <c r="G136" s="836"/>
      <c r="H136" s="836"/>
      <c r="I136" s="836"/>
      <c r="J136" s="836"/>
      <c r="K136" s="824"/>
      <c r="L136" s="60"/>
      <c r="M136" s="176"/>
      <c r="N136" s="821"/>
    </row>
    <row r="137" spans="1:15" ht="11.25" customHeight="1">
      <c r="B137" s="828"/>
      <c r="D137" s="1337"/>
      <c r="E137" s="101"/>
      <c r="F137" s="1337"/>
      <c r="G137" s="1337"/>
      <c r="H137" s="1337"/>
      <c r="I137" s="1337"/>
      <c r="J137" s="1337"/>
      <c r="K137" s="1299"/>
      <c r="L137" s="821"/>
      <c r="M137" s="176"/>
      <c r="N137" s="821"/>
    </row>
    <row r="138" spans="1:15" ht="21.75" customHeight="1">
      <c r="A138" s="1165" t="s">
        <v>652</v>
      </c>
    </row>
    <row r="139" spans="1:15" ht="24" customHeight="1">
      <c r="B139" s="828" t="s">
        <v>6</v>
      </c>
      <c r="C139" s="1851" t="s">
        <v>653</v>
      </c>
      <c r="D139" s="1852"/>
      <c r="E139" s="1852"/>
      <c r="F139" s="1852"/>
      <c r="G139" s="1852"/>
      <c r="H139" s="1852"/>
      <c r="I139" s="1852"/>
      <c r="J139" s="1852"/>
      <c r="K139" s="1857"/>
      <c r="L139" s="80"/>
      <c r="O139" s="1327"/>
    </row>
    <row r="141" spans="1:15" ht="21.75" customHeight="1" thickBot="1">
      <c r="A141" s="1165" t="s">
        <v>654</v>
      </c>
      <c r="C141" s="315"/>
    </row>
    <row r="142" spans="1:15" ht="12" customHeight="1" thickBot="1">
      <c r="A142" s="315"/>
      <c r="B142" s="1531" t="s">
        <v>6</v>
      </c>
      <c r="C142" s="58"/>
      <c r="E142" s="120" t="s">
        <v>655</v>
      </c>
    </row>
    <row r="143" spans="1:15" ht="34.5" customHeight="1">
      <c r="A143" s="315"/>
      <c r="B143" s="844"/>
      <c r="C143" s="1843" t="s">
        <v>656</v>
      </c>
      <c r="D143" s="1843"/>
      <c r="E143" s="1843"/>
      <c r="F143" s="1843"/>
      <c r="G143" s="1843"/>
      <c r="H143" s="1843"/>
      <c r="I143" s="1843"/>
      <c r="J143" s="1843"/>
      <c r="K143" s="1843"/>
    </row>
    <row r="144" spans="1:15" ht="12" customHeight="1">
      <c r="A144" s="315"/>
      <c r="B144" s="1531" t="s">
        <v>8</v>
      </c>
      <c r="C144" s="1222" t="s">
        <v>1340</v>
      </c>
      <c r="D144" s="1223"/>
      <c r="E144" s="1171"/>
      <c r="F144" s="1223"/>
      <c r="G144" s="1223"/>
      <c r="H144" s="793"/>
      <c r="I144" s="793"/>
      <c r="J144" s="793"/>
      <c r="K144" s="824"/>
      <c r="L144" s="63"/>
    </row>
    <row r="145" spans="2:12">
      <c r="B145" s="420" t="s">
        <v>22</v>
      </c>
      <c r="C145" s="811" t="s">
        <v>1205</v>
      </c>
      <c r="D145" s="790"/>
      <c r="E145" s="790"/>
      <c r="F145" s="790"/>
      <c r="G145" s="790"/>
      <c r="H145" s="790"/>
      <c r="I145" s="790"/>
      <c r="J145" s="790"/>
      <c r="K145" s="815"/>
      <c r="L145" s="66"/>
    </row>
    <row r="146" spans="2:12">
      <c r="B146" s="210" t="s">
        <v>42</v>
      </c>
      <c r="C146" s="1222" t="s">
        <v>1206</v>
      </c>
      <c r="D146" s="1223"/>
      <c r="E146" s="1223"/>
      <c r="F146" s="1223"/>
      <c r="G146" s="1223"/>
      <c r="H146" s="1223"/>
      <c r="I146" s="793"/>
      <c r="J146" s="793"/>
      <c r="K146" s="824" t="s">
        <v>370</v>
      </c>
      <c r="L146" s="63"/>
    </row>
  </sheetData>
  <sheetProtection sheet="1" formatCells="0" formatColumns="0" formatRows="0"/>
  <mergeCells count="34">
    <mergeCell ref="C91:K91"/>
    <mergeCell ref="C143:K143"/>
    <mergeCell ref="K31:M35"/>
    <mergeCell ref="B37:E37"/>
    <mergeCell ref="C122:J122"/>
    <mergeCell ref="E118:J119"/>
    <mergeCell ref="M95:O97"/>
    <mergeCell ref="C121:J121"/>
    <mergeCell ref="K118:L119"/>
    <mergeCell ref="E133:I134"/>
    <mergeCell ref="C129:J129"/>
    <mergeCell ref="C125:J125"/>
    <mergeCell ref="C139:K139"/>
    <mergeCell ref="C89:K89"/>
    <mergeCell ref="C90:K90"/>
    <mergeCell ref="C74:F74"/>
    <mergeCell ref="E1:G1"/>
    <mergeCell ref="B26:K26"/>
    <mergeCell ref="C28:E28"/>
    <mergeCell ref="E59:K59"/>
    <mergeCell ref="F3:I3"/>
    <mergeCell ref="K28:N29"/>
    <mergeCell ref="L5:M12"/>
    <mergeCell ref="C29:E29"/>
    <mergeCell ref="L27:O27"/>
    <mergeCell ref="C10:I10"/>
    <mergeCell ref="A1:D1"/>
    <mergeCell ref="I1:J1"/>
    <mergeCell ref="C66:K66"/>
    <mergeCell ref="G22:H22"/>
    <mergeCell ref="G15:H15"/>
    <mergeCell ref="G16:H16"/>
    <mergeCell ref="G18:H18"/>
    <mergeCell ref="G20:H20"/>
  </mergeCells>
  <conditionalFormatting sqref="C90:K90">
    <cfRule type="expression" dxfId="4" priority="2">
      <formula>AND(L90&lt;&gt;"",C90="Other BSL Adjustment 1")</formula>
    </cfRule>
  </conditionalFormatting>
  <conditionalFormatting sqref="C91:K91">
    <cfRule type="expression" dxfId="3" priority="1">
      <formula>AND(L91&lt;&gt;"",C91="Other BSL Adjustment 2")</formula>
    </cfRule>
    <cfRule type="expression" dxfId="2" priority="7">
      <formula>AA91="yes"</formula>
    </cfRule>
  </conditionalFormatting>
  <conditionalFormatting sqref="G22">
    <cfRule type="containsBlanks" dxfId="1" priority="6">
      <formula>LEN(TRIM(G22))=0</formula>
    </cfRule>
  </conditionalFormatting>
  <conditionalFormatting sqref="I31:I33">
    <cfRule type="expression" dxfId="0" priority="14" stopIfTrue="1">
      <formula>OR(#REF!&lt;&gt;"",#REF!&lt;&gt;"")</formula>
    </cfRule>
  </conditionalFormatting>
  <dataValidations disablePrompts="1" xWindow="786" yWindow="800" count="14">
    <dataValidation type="list" allowBlank="1" showInputMessage="1" showErrorMessage="1" sqref="P95 C63 C59:D59 C118 C133 C142 P27" xr:uid="{00000000-0002-0000-0E00-000000000000}">
      <formula1>"X"</formula1>
    </dataValidation>
    <dataValidation allowBlank="1" showInputMessage="1" showErrorMessage="1" prompt="If negative, enter amount in parentheses." sqref="L100:L101 L103:L107" xr:uid="{00000000-0002-0000-0E00-000001000000}"/>
    <dataValidation type="whole" allowBlank="1" showInputMessage="1" showErrorMessage="1" errorTitle="Check date entry" error="Fiscal Year must be entered as a four-digit number." prompt="Enter a four-digit fiscal year." sqref="L121 L127" xr:uid="{00000000-0002-0000-0E00-000002000000}">
      <formula1>1912</formula1>
      <formula2>2100</formula2>
    </dataValidation>
    <dataValidation allowBlank="1" sqref="L108:L109 L144" xr:uid="{00000000-0002-0000-0E00-000003000000}"/>
    <dataValidation allowBlank="1" showInputMessage="1" showErrorMessage="1" prompt="Enter the FULL assessed valuation." sqref="L96:L98" xr:uid="{00000000-0002-0000-0E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95" xr:uid="{00000000-0002-0000-0E00-000005000000}"/>
    <dataValidation allowBlank="1" showInputMessage="1" showErrorMessage="1" prompt="Enter the full NET assessed valuation." sqref="L94" xr:uid="{00000000-0002-0000-0E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86" xr:uid="{00000000-0002-0000-0E00-000007000000}">
      <formula1>L86&lt;0</formula1>
    </dataValidation>
    <dataValidation type="list" allowBlank="1" showInputMessage="1" showErrorMessage="1" sqref="D15" xr:uid="{00000000-0002-0000-0E00-000008000000}">
      <formula1>$M$1:$Q$1</formula1>
    </dataValidation>
    <dataValidation type="list" allowBlank="1" showInputMessage="1" showErrorMessage="1" sqref="G22" xr:uid="{00000000-0002-0000-0E00-000009000000}">
      <formula1>"Capital Projects, General"</formula1>
    </dataValidation>
    <dataValidation allowBlank="1" showInputMessage="1" showErrorMessage="1" promptTitle="District's home page web address" prompt="Please include www. when entering the web address of the district's home page." sqref="H21" xr:uid="{00000000-0002-0000-0E00-00000A000000}"/>
    <dataValidation allowBlank="1" promptTitle="District's home page web address" prompt="Please include www. when entering the web address of the district's home page." sqref="I21" xr:uid="{00000000-0002-0000-0E00-00000B000000}"/>
    <dataValidation type="list" showInputMessage="1" showErrorMessage="1" error="Please select a vendor from the drop down list." sqref="G16:H16" xr:uid="{00000000-0002-0000-0E00-00000C000000}">
      <formula1>$N$12:$N$26</formula1>
    </dataValidation>
    <dataValidation type="list" allowBlank="1" showInputMessage="1" showErrorMessage="1" promptTitle="Accounting Information System" prompt="Select the accounting information system the district will use in the budget year from the dropdown list." sqref="G18:H18" xr:uid="{00000000-0002-0000-0E00-00000D000000}">
      <formula1>$O$12:$O$15</formula1>
    </dataValidation>
  </dataValidations>
  <hyperlinks>
    <hyperlink ref="B42" location="DataEntryUSCSCAl7" display="7." xr:uid="{00000000-0004-0000-0E00-000000000000}"/>
    <hyperlink ref="B59" location="DataEntryOtherBSLBRCLAdjl1" display="1." xr:uid="{00000000-0004-0000-0E00-000001000000}"/>
    <hyperlink ref="B63" location="DataEntryOtherBSLBRCLAdjl3" display="3." xr:uid="{00000000-0004-0000-0E00-000002000000}"/>
    <hyperlink ref="B66" location="DataEntryOtherBSLBRCLAdjl5" display="5." xr:uid="{00000000-0004-0000-0E00-000003000000}"/>
    <hyperlink ref="B67" location="DataEntryOtherBSLBRCLAdjl6" display="6." xr:uid="{00000000-0004-0000-0E00-000004000000}"/>
    <hyperlink ref="B74:B75" location="DataEntryTransl3" display="3." xr:uid="{00000000-0004-0000-0E00-000005000000}"/>
    <hyperlink ref="B76" location="DataEntryTransl5" display="5." xr:uid="{00000000-0004-0000-0E00-000006000000}"/>
    <hyperlink ref="B80" location="DataEntryOtherInfol1" display="1." xr:uid="{00000000-0004-0000-0E00-000007000000}"/>
    <hyperlink ref="B100" location="DataEntryOtherInfol12" display="12." xr:uid="{00000000-0004-0000-0E00-000008000000}"/>
    <hyperlink ref="B101" location="DataEntryOtherInfol13" display="13." xr:uid="{00000000-0004-0000-0E00-000009000000}"/>
    <hyperlink ref="C107" location="DataEntryOtherInfol14e" display="e." xr:uid="{00000000-0004-0000-0E00-00000A000000}"/>
    <hyperlink ref="B144" location="DataEntryType01Infol2" display="2." xr:uid="{00000000-0004-0000-0E00-00000B000000}"/>
    <hyperlink ref="B87" location="DataEntryOtherInfol3" display="3." xr:uid="{00000000-0004-0000-0E00-00000C000000}"/>
    <hyperlink ref="B111" location="DataEntryOtherInfol16" display="16." xr:uid="{00000000-0004-0000-0E00-00000D000000}"/>
    <hyperlink ref="B113" location="DataEntryOtherInfol18" display="18." xr:uid="{00000000-0004-0000-0E00-00000E000000}"/>
    <hyperlink ref="B114" location="DataEntryOtherInfol19" display="19." xr:uid="{00000000-0004-0000-0E00-00000F000000}"/>
    <hyperlink ref="B118" location="DataEntryOtherInfol21" display="21." xr:uid="{00000000-0004-0000-0E00-000010000000}"/>
    <hyperlink ref="B121" location="DataEntryOtherInfol22" display="22." xr:uid="{00000000-0004-0000-0E00-000011000000}"/>
    <hyperlink ref="B28" location="DataEntryUSCl1" display="1." xr:uid="{00000000-0004-0000-0E00-000012000000}"/>
    <hyperlink ref="B29" location="DataEntryUSCl2" display="2. " xr:uid="{00000000-0004-0000-0E00-000013000000}"/>
    <hyperlink ref="B31:B33" location="DataEntryUSCl345" display="3." xr:uid="{00000000-0004-0000-0E00-000014000000}"/>
    <hyperlink ref="B37:E37" location="DataEntryUSCSCAl720" display="STUDENT COUNT ADD-ONS" xr:uid="{00000000-0004-0000-0E00-000015000000}"/>
    <hyperlink ref="B44" location="DataEntryUSCSCAl11" display="11." xr:uid="{00000000-0004-0000-0E00-000016000000}"/>
    <hyperlink ref="B45" location="DataEntryUSCSCAl12" display="12." xr:uid="{00000000-0004-0000-0E00-000017000000}"/>
    <hyperlink ref="B50" location="DataEntryUSCSCAl17" display="17." xr:uid="{00000000-0004-0000-0E00-000018000000}"/>
    <hyperlink ref="B65" location="DataEntryOtherBSLBRCLAdjl4" display="4." xr:uid="{00000000-0004-0000-0E00-000019000000}"/>
    <hyperlink ref="B68" location="DataEntryOtherBSLBRCLAdjl7" display="7." xr:uid="{00000000-0004-0000-0E00-00001A000000}"/>
    <hyperlink ref="B72:B73" location="DataEntryTransl1" display="1." xr:uid="{00000000-0004-0000-0E00-00001B000000}"/>
    <hyperlink ref="B40" location="DataEntryUSCSCAl9" display="9." xr:uid="{00000000-0004-0000-0E00-00001C000000}"/>
    <hyperlink ref="B43" location="DataEntryUSCSCAl10" display="10." xr:uid="{00000000-0004-0000-0E00-00001D000000}"/>
    <hyperlink ref="B46" location="DataEntryUSCSCAl13" display="13." xr:uid="{00000000-0004-0000-0E00-00001E000000}"/>
    <hyperlink ref="B47" location="DataEntryUSCSCAl14" display="14." xr:uid="{00000000-0004-0000-0E00-00001F000000}"/>
    <hyperlink ref="B48" location="DataEntryUSCSCAl15" display="15." xr:uid="{00000000-0004-0000-0E00-000020000000}"/>
    <hyperlink ref="B49" location="DataEntryUSCSCAl16" display="16." xr:uid="{00000000-0004-0000-0E00-000021000000}"/>
    <hyperlink ref="B51" location="DataEntryUSCSCAl18" display="18." xr:uid="{00000000-0004-0000-0E00-000022000000}"/>
    <hyperlink ref="B52" location="DataEntryUSCSCAl19" display="19." xr:uid="{00000000-0004-0000-0E00-000023000000}"/>
    <hyperlink ref="B53" location="DataEntryUSCSCAl20" display="20." xr:uid="{00000000-0004-0000-0E00-000024000000}"/>
    <hyperlink ref="B142" location="DataEntryType01Infol1" display="1." xr:uid="{00000000-0004-0000-0E00-000025000000}"/>
    <hyperlink ref="B41" location="DataEntryUSCSCAl7" display="8." xr:uid="{00000000-0004-0000-0E00-000026000000}"/>
    <hyperlink ref="C81" location="DataEntryOtherInfol1Continued" display="a." xr:uid="{00000000-0004-0000-0E00-000027000000}"/>
    <hyperlink ref="B86" location="DataEntryOtherInfol2" display="2." xr:uid="{00000000-0004-0000-0E00-000028000000}"/>
    <hyperlink ref="B55" location="DataEntryUSCSCAl21" display="21." xr:uid="{00000000-0004-0000-0E00-000029000000}"/>
    <hyperlink ref="B54" location="DataEntryUSCSCAl23" display="23." xr:uid="{00000000-0004-0000-0E00-00002A000000}"/>
    <hyperlink ref="B88" location="DataEntryOtherInfol4" display="4." xr:uid="{00000000-0004-0000-0E00-00002B000000}"/>
    <hyperlink ref="B89" location="DataEntryOtherInfol5" display="5." xr:uid="{00000000-0004-0000-0E00-00002C000000}"/>
    <hyperlink ref="B90" location="DataEntryOtherInfol6" display="6." xr:uid="{00000000-0004-0000-0E00-00002D000000}"/>
    <hyperlink ref="B91" location="DataEntryOtherInfol7" display="7." xr:uid="{00000000-0004-0000-0E00-00002E000000}"/>
    <hyperlink ref="B95" location="DataEntryOtherInfol9" display="9." xr:uid="{00000000-0004-0000-0E00-00002F000000}"/>
    <hyperlink ref="B22:E22" location="UCOFundType" display="UCO Fund Type" xr:uid="{00000000-0004-0000-0E00-000030000000}"/>
    <hyperlink ref="G15:H15" location="DistrictSystems" display="SELECT from Dropdown" xr:uid="{00000000-0004-0000-0E00-000031000000}"/>
  </hyperlinks>
  <printOptions horizontalCentered="1"/>
  <pageMargins left="0.25" right="0.25" top="0.25" bottom="0.25" header="0" footer="0.15"/>
  <pageSetup paperSize="5" scale="33" orientation="landscape" r:id="rId1"/>
  <headerFooter alignWithMargins="0">
    <oddFooter>&amp;L&amp;"Times New Roman,Bold"&amp;9Rev. 5/25&amp;K000000 Arizona Department of Education and Auditor General&amp;C&amp;"Times New Roman,Regular"&amp;9&amp;D  &amp;T</oddFooter>
  </headerFooter>
  <rowBreaks count="1" manualBreakCount="1">
    <brk id="109" max="12" man="1"/>
  </rowBreaks>
  <colBreaks count="1" manualBreakCount="1">
    <brk id="17"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G239"/>
  <sheetViews>
    <sheetView showGridLines="0" topLeftCell="A165" workbookViewId="0">
      <selection activeCell="R86" sqref="R86"/>
    </sheetView>
  </sheetViews>
  <sheetFormatPr defaultColWidth="9.08984375" defaultRowHeight="12"/>
  <cols>
    <col min="1" max="1" width="2.453125" style="96" bestFit="1" customWidth="1"/>
    <col min="2" max="2" width="2" style="96" customWidth="1"/>
    <col min="3" max="3" width="2.90625" style="96" customWidth="1"/>
    <col min="4" max="4" width="2" style="96" customWidth="1"/>
    <col min="5" max="5" width="6.453125" style="96" customWidth="1"/>
    <col min="6" max="6" width="10.90625" style="96" customWidth="1"/>
    <col min="7" max="7" width="9.08984375" style="96" customWidth="1"/>
    <col min="8" max="8" width="9.90625" style="96" customWidth="1"/>
    <col min="9" max="9" width="9.08984375" style="96" customWidth="1"/>
    <col min="10" max="10" width="7" style="96" customWidth="1"/>
    <col min="11" max="11" width="1.08984375" style="96" customWidth="1"/>
    <col min="12" max="12" width="9.08984375" style="96" customWidth="1"/>
    <col min="13" max="14" width="1.08984375" style="96" customWidth="1"/>
    <col min="15" max="15" width="9.90625" style="96" customWidth="1"/>
    <col min="16" max="17" width="1.08984375" style="96" customWidth="1"/>
    <col min="18" max="18" width="10" style="96" customWidth="1"/>
    <col min="19" max="19" width="9.08984375" style="96" customWidth="1"/>
    <col min="20" max="20" width="6.08984375" style="96" customWidth="1"/>
    <col min="21" max="22" width="9.08984375" style="96" customWidth="1"/>
    <col min="23" max="23" width="6" style="96" customWidth="1"/>
    <col min="24" max="24" width="10.08984375" style="96" customWidth="1"/>
    <col min="25" max="25" width="9.6328125" style="96" bestFit="1" customWidth="1"/>
    <col min="26" max="26" width="9.08984375" style="96" customWidth="1"/>
    <col min="27" max="27" width="6" style="96" customWidth="1"/>
    <col min="28" max="30" width="9.08984375" style="96" customWidth="1"/>
    <col min="31" max="31" width="6" style="96" customWidth="1"/>
    <col min="32" max="36" width="9.08984375" style="96" customWidth="1"/>
    <col min="37" max="16384" width="9.08984375" style="96"/>
  </cols>
  <sheetData>
    <row r="1" spans="1:17" ht="15.75" customHeight="1">
      <c r="A1" s="1839" t="s">
        <v>59</v>
      </c>
      <c r="B1" s="1839"/>
      <c r="C1" s="1839"/>
      <c r="D1" s="1839"/>
      <c r="E1" s="1840" t="str">
        <f>Cover!C1</f>
        <v>Murphy Elementary School District #21</v>
      </c>
      <c r="F1" s="1840"/>
      <c r="G1" s="1840"/>
      <c r="H1" s="1341" t="s">
        <v>1</v>
      </c>
      <c r="I1" s="1840" t="str">
        <f>Cover!H1</f>
        <v>Maricopa</v>
      </c>
      <c r="J1" s="1840"/>
      <c r="K1" s="1840"/>
      <c r="L1" s="1839" t="s">
        <v>60</v>
      </c>
      <c r="M1" s="1839"/>
      <c r="N1" s="1839"/>
      <c r="O1" s="1346" t="str">
        <f>CTD</f>
        <v>070421000</v>
      </c>
      <c r="P1" s="213"/>
      <c r="Q1" s="213"/>
    </row>
    <row r="2" spans="1:17">
      <c r="N2" s="1341" t="s">
        <v>16</v>
      </c>
      <c r="O2" s="1346" t="str">
        <f>Cover!C8</f>
        <v>Proposed</v>
      </c>
    </row>
    <row r="3" spans="1:17" ht="1.5" customHeight="1">
      <c r="N3" s="1341"/>
      <c r="O3" s="845"/>
    </row>
    <row r="4" spans="1:17" ht="15.75" customHeight="1">
      <c r="F4" s="1830" t="s">
        <v>657</v>
      </c>
      <c r="G4" s="1830"/>
      <c r="H4" s="1830"/>
      <c r="I4" s="1830"/>
      <c r="N4" s="1341"/>
      <c r="O4" s="845"/>
    </row>
    <row r="5" spans="1:17" ht="2.25" customHeight="1">
      <c r="N5" s="1341"/>
      <c r="O5" s="845"/>
    </row>
    <row r="6" spans="1:17" ht="8.25" hidden="1" customHeight="1">
      <c r="N6" s="1341"/>
      <c r="O6" s="845"/>
    </row>
    <row r="7" spans="1:17" ht="14.25" customHeight="1"/>
    <row r="8" spans="1:17" ht="15.6">
      <c r="A8" s="846" t="s">
        <v>658</v>
      </c>
      <c r="B8" s="315"/>
      <c r="C8" s="315"/>
      <c r="D8" s="315"/>
      <c r="E8" s="315"/>
      <c r="F8" s="315"/>
      <c r="G8" s="315"/>
      <c r="I8" s="1168"/>
    </row>
    <row r="9" spans="1:17" ht="15.75" customHeight="1">
      <c r="A9" s="315"/>
      <c r="B9" s="315"/>
      <c r="C9" s="315"/>
      <c r="D9" s="315"/>
      <c r="E9" s="315"/>
      <c r="F9" s="315"/>
      <c r="G9" s="1169"/>
      <c r="H9" s="1882" t="s">
        <v>659</v>
      </c>
      <c r="I9" s="1883"/>
      <c r="J9" s="1882" t="s">
        <v>660</v>
      </c>
      <c r="K9" s="1886"/>
      <c r="L9" s="1883"/>
      <c r="M9" s="847"/>
    </row>
    <row r="10" spans="1:17" ht="15.6">
      <c r="B10" s="97"/>
      <c r="C10" s="315"/>
      <c r="E10" s="315"/>
      <c r="F10" s="315"/>
      <c r="G10" s="1169"/>
      <c r="H10" s="1884"/>
      <c r="I10" s="1885"/>
      <c r="J10" s="1884"/>
      <c r="K10" s="1887"/>
      <c r="L10" s="1885"/>
      <c r="M10" s="847"/>
    </row>
    <row r="11" spans="1:17" ht="15.75" customHeight="1">
      <c r="A11" s="339"/>
      <c r="B11" s="339"/>
      <c r="C11" s="339"/>
      <c r="D11" s="339"/>
      <c r="E11" s="339"/>
      <c r="F11" s="339"/>
      <c r="G11" s="848"/>
      <c r="H11" s="1345" t="s">
        <v>591</v>
      </c>
      <c r="I11" s="849" t="s">
        <v>592</v>
      </c>
      <c r="J11" s="1890" t="s">
        <v>591</v>
      </c>
      <c r="K11" s="1891"/>
      <c r="L11" s="849" t="s">
        <v>592</v>
      </c>
      <c r="M11" s="850"/>
    </row>
    <row r="12" spans="1:17">
      <c r="A12" s="851" t="s">
        <v>661</v>
      </c>
      <c r="B12" s="329"/>
      <c r="C12" s="329"/>
      <c r="D12" s="329"/>
      <c r="E12" s="329"/>
      <c r="F12" s="329"/>
      <c r="G12" s="852"/>
      <c r="H12" s="853"/>
      <c r="I12" s="853"/>
      <c r="J12" s="1892"/>
      <c r="K12" s="1893"/>
      <c r="L12" s="853"/>
      <c r="M12" s="801"/>
    </row>
    <row r="13" spans="1:17" ht="12.6" thickBot="1">
      <c r="A13" s="854"/>
      <c r="B13" s="855" t="s">
        <v>662</v>
      </c>
      <c r="C13" s="855"/>
      <c r="D13" s="855"/>
      <c r="E13" s="855"/>
      <c r="F13" s="855"/>
      <c r="G13" s="856"/>
      <c r="H13" s="857">
        <v>1.5589999999999999</v>
      </c>
      <c r="I13" s="857">
        <v>1.669</v>
      </c>
      <c r="J13" s="1894">
        <v>1.399</v>
      </c>
      <c r="K13" s="1895"/>
      <c r="L13" s="857">
        <v>1.5589999999999999</v>
      </c>
      <c r="M13" s="801"/>
    </row>
    <row r="14" spans="1:17">
      <c r="A14" s="801" t="s">
        <v>663</v>
      </c>
      <c r="H14" s="1347"/>
      <c r="I14" s="858"/>
      <c r="J14" s="1871"/>
      <c r="K14" s="1872"/>
      <c r="L14" s="859"/>
    </row>
    <row r="15" spans="1:17">
      <c r="A15" s="801"/>
      <c r="B15" s="96" t="s">
        <v>664</v>
      </c>
      <c r="H15" s="1349">
        <v>500</v>
      </c>
      <c r="I15" s="860">
        <v>500</v>
      </c>
      <c r="J15" s="1896">
        <v>500</v>
      </c>
      <c r="K15" s="1897"/>
      <c r="L15" s="861">
        <v>500</v>
      </c>
      <c r="M15" s="862"/>
    </row>
    <row r="16" spans="1:17">
      <c r="A16" s="801"/>
      <c r="B16" s="96" t="s">
        <v>665</v>
      </c>
      <c r="G16" s="1299" t="s">
        <v>666</v>
      </c>
      <c r="H16" s="863">
        <f>IF(AND(UnweightedStudCntK8CY&gt;=100,UnweightedStudCntK8CY&lt;500,SmallIsolatedPSD8Checkbox="X"),UnweightedStudCntK8CY,0)</f>
        <v>0</v>
      </c>
      <c r="I16" s="863">
        <f>IF(AND(UnweightedStudCnt912CY&gt;=100,UnweightedStudCnt912CY&lt;500,SmallIsolated912Checkbox="X"),UnweightedStudCnt912CY,0)</f>
        <v>0</v>
      </c>
      <c r="J16" s="1865">
        <f>IF(AND(UnweightedStudCntK8CY&gt;=100,UnweightedStudCntK8CY&lt;500,SmallIsolatedPSD8Checkbox&lt;&gt;"X"),UnweightedStudCntK8CY,0)</f>
        <v>0</v>
      </c>
      <c r="K16" s="1866"/>
      <c r="L16" s="864">
        <f>IF(AND(UnweightedStudCnt912CY&gt;=100,UnweightedStudCnt912CY&lt;500,SmallIsolated912Checkbox&lt;&gt;"X"),UnweightedStudCnt912CY,0)</f>
        <v>0</v>
      </c>
      <c r="M16" s="862"/>
    </row>
    <row r="17" spans="1:13">
      <c r="A17" s="801"/>
      <c r="B17" s="96" t="s">
        <v>667</v>
      </c>
      <c r="G17" s="1299" t="s">
        <v>668</v>
      </c>
      <c r="H17" s="863">
        <f>IF(H16&gt;0,H15-H16,0)</f>
        <v>0</v>
      </c>
      <c r="I17" s="863">
        <f>IF(I16&gt;0,I15-I16,0)</f>
        <v>0</v>
      </c>
      <c r="J17" s="1865">
        <f>IF(J16&gt;0,J15-J16,0)</f>
        <v>0</v>
      </c>
      <c r="K17" s="1866"/>
      <c r="L17" s="861">
        <f>IF(L16&gt;0,L15-L16,0)</f>
        <v>0</v>
      </c>
      <c r="M17" s="862"/>
    </row>
    <row r="18" spans="1:13">
      <c r="A18" s="801"/>
      <c r="B18" s="96" t="s">
        <v>669</v>
      </c>
      <c r="G18" s="1299" t="s">
        <v>670</v>
      </c>
      <c r="H18" s="863">
        <v>5.0000000000000001E-4</v>
      </c>
      <c r="I18" s="863">
        <v>5.0000000000000001E-4</v>
      </c>
      <c r="J18" s="1865">
        <v>2.9999999999999997E-4</v>
      </c>
      <c r="K18" s="1866"/>
      <c r="L18" s="860">
        <v>4.0000000000000002E-4</v>
      </c>
      <c r="M18" s="761"/>
    </row>
    <row r="19" spans="1:13">
      <c r="A19" s="801"/>
      <c r="B19" s="96" t="s">
        <v>671</v>
      </c>
      <c r="G19" s="1299" t="s">
        <v>668</v>
      </c>
      <c r="H19" s="863">
        <f>H17*H18</f>
        <v>0</v>
      </c>
      <c r="I19" s="863">
        <f>I17*I18</f>
        <v>0</v>
      </c>
      <c r="J19" s="1865">
        <f>J17*J18</f>
        <v>0</v>
      </c>
      <c r="K19" s="1866"/>
      <c r="L19" s="864">
        <f>L17*L18</f>
        <v>0</v>
      </c>
      <c r="M19" s="862"/>
    </row>
    <row r="20" spans="1:13">
      <c r="A20" s="801"/>
      <c r="B20" s="96" t="s">
        <v>662</v>
      </c>
      <c r="G20" s="1299" t="s">
        <v>672</v>
      </c>
      <c r="H20" s="865">
        <v>1.3580000000000001</v>
      </c>
      <c r="I20" s="865">
        <v>1.468</v>
      </c>
      <c r="J20" s="1888">
        <v>1.278</v>
      </c>
      <c r="K20" s="1889"/>
      <c r="L20" s="866">
        <v>1.3979999999999999</v>
      </c>
      <c r="M20" s="862"/>
    </row>
    <row r="21" spans="1:13" ht="12.6" thickBot="1">
      <c r="A21" s="801"/>
      <c r="C21" s="96" t="s">
        <v>673</v>
      </c>
      <c r="G21" s="1299" t="s">
        <v>668</v>
      </c>
      <c r="H21" s="867">
        <f>IF(H16&gt;0,H19+H20,0)</f>
        <v>0</v>
      </c>
      <c r="I21" s="867">
        <f>IF(I16&gt;0,I19+I20,0)</f>
        <v>0</v>
      </c>
      <c r="J21" s="1869">
        <f>IF(J16&gt;0,J19+J20,0)</f>
        <v>0</v>
      </c>
      <c r="K21" s="1870"/>
      <c r="L21" s="868">
        <f>IF(L16&gt;0,L19+L20,0)</f>
        <v>0</v>
      </c>
      <c r="M21" s="862"/>
    </row>
    <row r="22" spans="1:13">
      <c r="A22" s="801" t="s">
        <v>674</v>
      </c>
      <c r="H22" s="1347"/>
      <c r="I22" s="858"/>
      <c r="J22" s="1871"/>
      <c r="K22" s="1872"/>
      <c r="L22" s="859"/>
    </row>
    <row r="23" spans="1:13">
      <c r="A23" s="801"/>
      <c r="B23" s="96" t="s">
        <v>664</v>
      </c>
      <c r="H23" s="1350">
        <v>600</v>
      </c>
      <c r="I23" s="869">
        <v>600</v>
      </c>
      <c r="J23" s="1873">
        <v>600</v>
      </c>
      <c r="K23" s="1874"/>
      <c r="L23" s="870">
        <v>600</v>
      </c>
      <c r="M23" s="862"/>
    </row>
    <row r="24" spans="1:13">
      <c r="A24" s="801"/>
      <c r="B24" s="96" t="s">
        <v>675</v>
      </c>
      <c r="G24" s="1299" t="s">
        <v>666</v>
      </c>
      <c r="H24" s="779">
        <f>IF(AND(UnweightedStudCntK8CY&gt;=500,UnweightedStudCntK8CY&lt;600,SmallIsolatedPSD8Checkbox="X"),UnweightedStudCntK8CY,0)</f>
        <v>0</v>
      </c>
      <c r="I24" s="779">
        <f>IF(AND(UnweightedStudCnt912CY&gt;=500,UnweightedStudCnt912CY&lt;600,SmallIsolated912Checkbox="X"),UnweightedStudCnt912CY,0)</f>
        <v>0</v>
      </c>
      <c r="J24" s="1873">
        <f>IF(AND(UnweightedStudCntK8CY&gt;=500,UnweightedStudCntK8CY&lt;600,SmallIsolatedPSD8Checkbox&lt;&gt;"X"),UnweightedStudCntK8CY,0)</f>
        <v>0</v>
      </c>
      <c r="K24" s="1874"/>
      <c r="L24" s="780">
        <f>IF(AND(UnweightedStudCnt912CY&gt;=500,UnweightedStudCnt912CY&lt;600,SmallIsolated912Checkbox&lt;&gt;"X"),UnweightedStudCnt912CY,0)</f>
        <v>0</v>
      </c>
      <c r="M24" s="862"/>
    </row>
    <row r="25" spans="1:13">
      <c r="A25" s="801"/>
      <c r="B25" s="96" t="s">
        <v>667</v>
      </c>
      <c r="G25" s="1299" t="s">
        <v>668</v>
      </c>
      <c r="H25" s="779">
        <f>IF(H24&gt;0,H23-H24,0)</f>
        <v>0</v>
      </c>
      <c r="I25" s="779">
        <f>IF(I24&gt;0,I23-I24,0)</f>
        <v>0</v>
      </c>
      <c r="J25" s="1873">
        <f>IF(J24&gt;0,J23-J24,0)</f>
        <v>0</v>
      </c>
      <c r="K25" s="1874"/>
      <c r="L25" s="780">
        <f>IF(L24&gt;0,L23-L24,0)</f>
        <v>0</v>
      </c>
      <c r="M25" s="862"/>
    </row>
    <row r="26" spans="1:13">
      <c r="A26" s="801"/>
      <c r="B26" s="96" t="s">
        <v>669</v>
      </c>
      <c r="G26" s="1299" t="s">
        <v>670</v>
      </c>
      <c r="H26" s="779">
        <v>2E-3</v>
      </c>
      <c r="I26" s="779">
        <v>2E-3</v>
      </c>
      <c r="J26" s="1873">
        <v>1.1999999999999999E-3</v>
      </c>
      <c r="K26" s="1874"/>
      <c r="L26" s="780">
        <v>1.2999999999999999E-3</v>
      </c>
      <c r="M26" s="761"/>
    </row>
    <row r="27" spans="1:13">
      <c r="A27" s="801"/>
      <c r="B27" s="96" t="s">
        <v>671</v>
      </c>
      <c r="G27" s="1299" t="s">
        <v>668</v>
      </c>
      <c r="H27" s="779">
        <f>H25*H26</f>
        <v>0</v>
      </c>
      <c r="I27" s="779">
        <f>I25*I26</f>
        <v>0</v>
      </c>
      <c r="J27" s="1873">
        <f>J25*J26</f>
        <v>0</v>
      </c>
      <c r="K27" s="1874"/>
      <c r="L27" s="780">
        <f>L25*L26</f>
        <v>0</v>
      </c>
      <c r="M27" s="862"/>
    </row>
    <row r="28" spans="1:13">
      <c r="A28" s="801"/>
      <c r="B28" s="96" t="s">
        <v>662</v>
      </c>
      <c r="G28" s="1299" t="s">
        <v>672</v>
      </c>
      <c r="H28" s="865">
        <v>1.1579999999999999</v>
      </c>
      <c r="I28" s="865">
        <v>1.268</v>
      </c>
      <c r="J28" s="1888">
        <v>1.1579999999999999</v>
      </c>
      <c r="K28" s="1889"/>
      <c r="L28" s="866">
        <v>1.268</v>
      </c>
      <c r="M28" s="862"/>
    </row>
    <row r="29" spans="1:13" ht="12.6" thickBot="1">
      <c r="A29" s="801"/>
      <c r="C29" s="96" t="s">
        <v>673</v>
      </c>
      <c r="G29" s="1348" t="s">
        <v>668</v>
      </c>
      <c r="H29" s="867">
        <f>IF(H24&gt;0,H27+H28,0)</f>
        <v>0</v>
      </c>
      <c r="I29" s="867">
        <f>IF(I24&gt;0,I27+I28,0)</f>
        <v>0</v>
      </c>
      <c r="J29" s="1869">
        <f>IF(J24&gt;0,J27+J28,0)</f>
        <v>0</v>
      </c>
      <c r="K29" s="1870"/>
      <c r="L29" s="868">
        <f>IF(L24&gt;0,L27+L28,0)</f>
        <v>0</v>
      </c>
      <c r="M29" s="862"/>
    </row>
    <row r="30" spans="1:13">
      <c r="A30" s="801" t="s">
        <v>676</v>
      </c>
      <c r="H30" s="871"/>
      <c r="I30" s="872"/>
      <c r="J30" s="1630"/>
      <c r="K30" s="1872"/>
      <c r="L30" s="859"/>
    </row>
    <row r="31" spans="1:13" ht="12.6" thickBot="1">
      <c r="A31" s="873"/>
      <c r="B31" s="874" t="s">
        <v>662</v>
      </c>
      <c r="C31" s="874"/>
      <c r="D31" s="874"/>
      <c r="E31" s="874"/>
      <c r="F31" s="874"/>
      <c r="G31" s="874"/>
      <c r="H31" s="875"/>
      <c r="I31" s="876"/>
      <c r="J31" s="1898">
        <v>1.1579999999999999</v>
      </c>
      <c r="K31" s="1899"/>
      <c r="L31" s="877">
        <v>1.268</v>
      </c>
      <c r="M31" s="862"/>
    </row>
    <row r="32" spans="1:13">
      <c r="A32" s="801" t="s">
        <v>677</v>
      </c>
      <c r="H32" s="878"/>
      <c r="I32" s="872"/>
      <c r="J32" s="1867"/>
      <c r="K32" s="1868"/>
      <c r="L32" s="859"/>
    </row>
    <row r="33" spans="1:22" ht="12.6" thickBot="1">
      <c r="A33" s="873"/>
      <c r="B33" s="874" t="s">
        <v>678</v>
      </c>
      <c r="C33" s="874"/>
      <c r="D33" s="874"/>
      <c r="E33" s="874"/>
      <c r="F33" s="874"/>
      <c r="G33" s="874"/>
      <c r="H33" s="875"/>
      <c r="I33" s="876"/>
      <c r="J33" s="1875"/>
      <c r="K33" s="1876"/>
      <c r="L33" s="877">
        <v>1.339</v>
      </c>
      <c r="M33" s="862"/>
      <c r="T33" s="1580" t="s">
        <v>679</v>
      </c>
      <c r="U33" s="1580"/>
      <c r="V33" s="1580"/>
    </row>
    <row r="34" spans="1:22">
      <c r="U34" s="775" t="s">
        <v>602</v>
      </c>
      <c r="V34" s="775" t="s">
        <v>680</v>
      </c>
    </row>
    <row r="35" spans="1:22">
      <c r="B35" s="210"/>
      <c r="C35" s="101"/>
      <c r="D35" s="101"/>
      <c r="E35" s="101"/>
      <c r="F35" s="101"/>
      <c r="G35" s="794"/>
      <c r="H35" s="794"/>
      <c r="I35" s="794"/>
      <c r="L35" s="879"/>
      <c r="O35" s="880"/>
      <c r="P35" s="880"/>
      <c r="Q35" s="880"/>
      <c r="R35" s="880"/>
      <c r="S35" s="880"/>
      <c r="T35" s="96" t="s">
        <v>681</v>
      </c>
      <c r="U35" s="780">
        <f>NonAOIStudCntK3*K3SLW</f>
        <v>22.626899999999999</v>
      </c>
      <c r="V35" s="780">
        <f>NonAOIStudCntK3R*K3RSLW</f>
        <v>16.787500000000001</v>
      </c>
    </row>
    <row r="36" spans="1:22" ht="12" customHeight="1">
      <c r="T36" s="96" t="s">
        <v>682</v>
      </c>
      <c r="U36" s="780">
        <f>AOIFTStudCntK3*K3SLW*AOIFTFundFactor</f>
        <v>0</v>
      </c>
      <c r="V36" s="780">
        <f>AOIFTStudCntK3R*K3RSLW*AOIFTFundFactor</f>
        <v>0</v>
      </c>
    </row>
    <row r="37" spans="1:22" ht="14.25" customHeight="1">
      <c r="A37" s="846" t="s">
        <v>683</v>
      </c>
      <c r="T37" s="96" t="s">
        <v>684</v>
      </c>
      <c r="U37" s="780">
        <f>AOIPTStudCntK3*K3SLW*AOIPTFundFactor</f>
        <v>0</v>
      </c>
      <c r="V37" s="780">
        <f>AOIPTStudCntK3R*K3RSLW*AOIPTFundFactor</f>
        <v>0</v>
      </c>
    </row>
    <row r="38" spans="1:22">
      <c r="B38" s="210" t="s">
        <v>6</v>
      </c>
      <c r="C38" s="96" t="s">
        <v>685</v>
      </c>
      <c r="L38" s="96" t="s">
        <v>602</v>
      </c>
      <c r="N38" s="881" t="s">
        <v>370</v>
      </c>
      <c r="O38" s="882">
        <f>ROUND(U38*BSA55BLA*BSA55TEI,2)</f>
        <v>113428.65</v>
      </c>
      <c r="T38" s="96" t="s">
        <v>510</v>
      </c>
      <c r="U38" s="780">
        <f>U35+U36+U37</f>
        <v>22.626899999999999</v>
      </c>
      <c r="V38" s="780">
        <f>V35+V36+V37</f>
        <v>16.787500000000001</v>
      </c>
    </row>
    <row r="39" spans="1:22">
      <c r="B39" s="210"/>
      <c r="L39" s="96" t="s">
        <v>601</v>
      </c>
      <c r="N39" s="881" t="s">
        <v>370</v>
      </c>
      <c r="O39" s="882">
        <f>ROUND(V38*BSA55BLA*BSA55TEI,2)</f>
        <v>84155.74</v>
      </c>
      <c r="T39" s="1633" t="s">
        <v>686</v>
      </c>
      <c r="U39" s="1633"/>
      <c r="V39" s="1633"/>
    </row>
    <row r="40" spans="1:22">
      <c r="B40" s="210"/>
      <c r="Q40" s="1299"/>
      <c r="R40" s="821"/>
      <c r="T40" s="1633"/>
      <c r="U40" s="1633"/>
      <c r="V40" s="1633"/>
    </row>
    <row r="41" spans="1:22" ht="12" customHeight="1">
      <c r="B41" s="1525"/>
      <c r="C41" s="209"/>
      <c r="D41" s="209"/>
      <c r="E41" s="209"/>
      <c r="F41" s="209"/>
      <c r="G41" s="209"/>
      <c r="H41" s="209"/>
      <c r="I41" s="209"/>
      <c r="J41" s="209"/>
      <c r="K41" s="209"/>
      <c r="L41" s="209"/>
      <c r="M41" s="209"/>
      <c r="N41" s="1526"/>
      <c r="O41" s="1527"/>
    </row>
    <row r="42" spans="1:22">
      <c r="Q42" s="1299"/>
      <c r="R42" s="821"/>
    </row>
    <row r="43" spans="1:22" ht="2.25" customHeight="1">
      <c r="R43" s="883"/>
    </row>
    <row r="44" spans="1:22" ht="12" hidden="1" customHeight="1">
      <c r="A44" s="884"/>
      <c r="B44" s="884"/>
      <c r="C44" s="884"/>
      <c r="D44" s="884"/>
      <c r="E44" s="884"/>
      <c r="F44" s="884"/>
      <c r="G44" s="884"/>
      <c r="H44" s="884"/>
      <c r="I44" s="884"/>
      <c r="J44" s="884"/>
      <c r="K44" s="884"/>
      <c r="L44" s="884"/>
      <c r="M44" s="884"/>
      <c r="N44" s="884"/>
      <c r="O44" s="884"/>
      <c r="P44" s="884"/>
      <c r="Q44" s="884"/>
    </row>
    <row r="45" spans="1:22" ht="12" hidden="1" customHeight="1"/>
    <row r="46" spans="1:22" ht="12" hidden="1" customHeight="1"/>
    <row r="47" spans="1:22" ht="12" customHeight="1"/>
    <row r="48" spans="1:22" ht="15.6">
      <c r="A48" s="846" t="s">
        <v>1116</v>
      </c>
      <c r="C48" s="315"/>
      <c r="D48" s="315"/>
    </row>
    <row r="49" spans="1:16" ht="18" customHeight="1">
      <c r="A49" s="315"/>
      <c r="B49" s="315"/>
      <c r="C49" s="315"/>
      <c r="D49" s="315"/>
      <c r="F49" s="117" t="s">
        <v>687</v>
      </c>
    </row>
    <row r="50" spans="1:16" ht="15.6">
      <c r="A50" s="315"/>
      <c r="B50" s="315"/>
      <c r="C50" s="315"/>
      <c r="D50" s="315"/>
      <c r="L50" s="765" t="s">
        <v>591</v>
      </c>
      <c r="O50" s="1346" t="s">
        <v>592</v>
      </c>
      <c r="P50" s="213"/>
    </row>
    <row r="51" spans="1:16">
      <c r="B51" s="802" t="s">
        <v>6</v>
      </c>
      <c r="C51" s="96" t="s">
        <v>1207</v>
      </c>
    </row>
    <row r="52" spans="1:16" ht="12.6" thickBot="1">
      <c r="B52" s="202"/>
      <c r="F52" s="96" t="s">
        <v>688</v>
      </c>
      <c r="K52" s="885" t="s">
        <v>370</v>
      </c>
      <c r="L52" s="886">
        <v>663.81</v>
      </c>
      <c r="N52" s="885" t="s">
        <v>370</v>
      </c>
      <c r="O52" s="886">
        <v>732.87</v>
      </c>
    </row>
    <row r="53" spans="1:16" ht="6.75" customHeight="1" thickTop="1">
      <c r="B53" s="202"/>
    </row>
    <row r="54" spans="1:16">
      <c r="B54" s="802" t="s">
        <v>8</v>
      </c>
      <c r="C54" s="96" t="s">
        <v>1208</v>
      </c>
    </row>
    <row r="55" spans="1:16">
      <c r="B55" s="202"/>
      <c r="C55" s="1299" t="s">
        <v>529</v>
      </c>
      <c r="D55" s="96" t="s">
        <v>664</v>
      </c>
      <c r="K55" s="811"/>
      <c r="L55" s="887">
        <v>500</v>
      </c>
      <c r="N55" s="811"/>
      <c r="O55" s="887">
        <v>500</v>
      </c>
    </row>
    <row r="56" spans="1:16">
      <c r="B56" s="202"/>
      <c r="C56" s="1299" t="s">
        <v>530</v>
      </c>
      <c r="D56" s="96" t="s">
        <v>675</v>
      </c>
      <c r="J56" s="1299" t="s">
        <v>666</v>
      </c>
      <c r="K56" s="888"/>
      <c r="L56" s="887">
        <f>IF(AND(100&lt;='Data Entry'!H29,'Data Entry'!H29&lt;500),'Data Entry'!H29,0)</f>
        <v>0</v>
      </c>
      <c r="M56" s="1299" t="s">
        <v>666</v>
      </c>
      <c r="N56" s="811"/>
      <c r="O56" s="887">
        <f>IF(AND(VALUE(LEFT(RIGHT(O1,7),2))=3,(UnweightedStudCnt912PY+HSCountDORtoDOA)&gt;=100,(UnweightedStudCnt912PY+HSCountDORtoDOA)&lt;500),(UnweightedStudCnt912PY+HSCountDORtoDOA),IF(AND(UnweightedStudCnt912PY&gt;=100,UnweightedStudCnt912PY&lt;500),UnweightedStudCnt912PY,0))</f>
        <v>0</v>
      </c>
    </row>
    <row r="57" spans="1:16">
      <c r="B57" s="202"/>
      <c r="C57" s="1299" t="s">
        <v>531</v>
      </c>
      <c r="D57" s="96" t="s">
        <v>667</v>
      </c>
      <c r="J57" s="1299" t="s">
        <v>668</v>
      </c>
      <c r="K57" s="888"/>
      <c r="L57" s="887">
        <f>IF(L56&gt;0,L55-L56,0)</f>
        <v>0</v>
      </c>
      <c r="M57" s="1299" t="s">
        <v>668</v>
      </c>
      <c r="N57" s="811"/>
      <c r="O57" s="887">
        <f>IF(O56&gt;0,O55-O56,0)</f>
        <v>0</v>
      </c>
    </row>
    <row r="58" spans="1:16">
      <c r="B58" s="202"/>
      <c r="C58" s="1299" t="s">
        <v>633</v>
      </c>
      <c r="D58" s="96" t="s">
        <v>669</v>
      </c>
      <c r="J58" s="1299" t="s">
        <v>670</v>
      </c>
      <c r="K58" s="888"/>
      <c r="L58" s="887">
        <v>2.9999999999999997E-4</v>
      </c>
      <c r="M58" s="1299" t="s">
        <v>670</v>
      </c>
      <c r="N58" s="811"/>
      <c r="O58" s="889">
        <v>4.0000000000000002E-4</v>
      </c>
    </row>
    <row r="59" spans="1:16">
      <c r="B59" s="202"/>
      <c r="C59" s="1299" t="s">
        <v>689</v>
      </c>
      <c r="D59" s="96" t="s">
        <v>671</v>
      </c>
      <c r="J59" s="1299" t="s">
        <v>668</v>
      </c>
      <c r="K59" s="888"/>
      <c r="L59" s="887">
        <f>IF(L56&gt;0,ROUND(+L57*L58,3),0)</f>
        <v>0</v>
      </c>
      <c r="M59" s="1299" t="s">
        <v>668</v>
      </c>
      <c r="N59" s="811"/>
      <c r="O59" s="887">
        <f>IF(O56&gt;0,ROUND(+O57*O58,3),0)</f>
        <v>0</v>
      </c>
    </row>
    <row r="60" spans="1:16">
      <c r="B60" s="202"/>
      <c r="C60" s="1299" t="s">
        <v>690</v>
      </c>
      <c r="D60" s="96" t="s">
        <v>691</v>
      </c>
      <c r="J60" s="1299" t="s">
        <v>672</v>
      </c>
      <c r="K60" s="888"/>
      <c r="L60" s="887">
        <v>1.278</v>
      </c>
      <c r="M60" s="1299" t="s">
        <v>672</v>
      </c>
      <c r="N60" s="811"/>
      <c r="O60" s="889">
        <v>1.3979999999999999</v>
      </c>
    </row>
    <row r="61" spans="1:16">
      <c r="B61" s="202"/>
      <c r="C61" s="1299" t="s">
        <v>692</v>
      </c>
      <c r="D61" s="96" t="s">
        <v>673</v>
      </c>
      <c r="J61" s="1299" t="s">
        <v>668</v>
      </c>
      <c r="K61" s="888"/>
      <c r="L61" s="887">
        <f>IF(L56&gt;0,+L59+L60,0)</f>
        <v>0</v>
      </c>
      <c r="M61" s="1299" t="s">
        <v>668</v>
      </c>
      <c r="N61" s="811"/>
      <c r="O61" s="887">
        <f>IF(O56&gt;0,+O59+O60,0)</f>
        <v>0</v>
      </c>
    </row>
    <row r="62" spans="1:16">
      <c r="B62" s="202"/>
      <c r="C62" s="1299" t="s">
        <v>693</v>
      </c>
      <c r="D62" s="96" t="s">
        <v>694</v>
      </c>
      <c r="J62" s="1299" t="s">
        <v>670</v>
      </c>
      <c r="K62" s="881" t="s">
        <v>370</v>
      </c>
      <c r="L62" s="890">
        <v>474.47</v>
      </c>
      <c r="M62" s="1299" t="s">
        <v>670</v>
      </c>
      <c r="N62" s="881" t="s">
        <v>370</v>
      </c>
      <c r="O62" s="890">
        <v>494.39</v>
      </c>
    </row>
    <row r="63" spans="1:16" ht="12.6" thickBot="1">
      <c r="B63" s="202"/>
      <c r="C63" s="1299" t="s">
        <v>695</v>
      </c>
      <c r="D63" s="1299"/>
      <c r="F63" s="96" t="s">
        <v>688</v>
      </c>
      <c r="J63" s="1299" t="s">
        <v>668</v>
      </c>
      <c r="K63" s="885" t="s">
        <v>370</v>
      </c>
      <c r="L63" s="886">
        <f>IF(L56&gt;0,ROUND(+L61*L62,2),0)</f>
        <v>0</v>
      </c>
      <c r="M63" s="1299" t="s">
        <v>668</v>
      </c>
      <c r="N63" s="885" t="s">
        <v>370</v>
      </c>
      <c r="O63" s="886">
        <f>IF(O56&gt;0,ROUND(+O61*O62,2),0)</f>
        <v>0</v>
      </c>
    </row>
    <row r="64" spans="1:16" ht="7.5" customHeight="1" thickTop="1">
      <c r="B64" s="202"/>
    </row>
    <row r="65" spans="2:15">
      <c r="B65" s="802" t="s">
        <v>22</v>
      </c>
      <c r="C65" s="96" t="s">
        <v>1209</v>
      </c>
    </row>
    <row r="66" spans="2:15">
      <c r="B66" s="202"/>
      <c r="C66" s="1299" t="s">
        <v>529</v>
      </c>
      <c r="D66" s="96" t="s">
        <v>664</v>
      </c>
      <c r="K66" s="811"/>
      <c r="L66" s="887">
        <v>600</v>
      </c>
      <c r="N66" s="811"/>
      <c r="O66" s="887">
        <v>600</v>
      </c>
    </row>
    <row r="67" spans="2:15">
      <c r="B67" s="202"/>
      <c r="C67" s="1299" t="s">
        <v>530</v>
      </c>
      <c r="D67" s="96" t="s">
        <v>675</v>
      </c>
      <c r="J67" s="1299" t="s">
        <v>666</v>
      </c>
      <c r="K67" s="811"/>
      <c r="L67" s="889">
        <f>IF(AND(500&lt;='Data Entry'!H29,'Data Entry'!H29&lt;600),'Data Entry'!H29,0)</f>
        <v>0</v>
      </c>
      <c r="M67" s="1299" t="s">
        <v>666</v>
      </c>
      <c r="N67" s="811"/>
      <c r="O67" s="889">
        <f>IF(AND(VALUE(LEFT(RIGHT(O1,7),2))=3,('Data Entry'!I29+'Data Entry'!L139)&gt;=500,('Data Entry'!I29+'Data Entry'!L139)&lt;600),('Data Entry'!I29+'Data Entry'!L139),IF(AND('Data Entry'!I29&gt;=500,'Data Entry'!I29&lt;600),'Data Entry'!I29,0))</f>
        <v>0</v>
      </c>
    </row>
    <row r="68" spans="2:15">
      <c r="B68" s="202"/>
      <c r="C68" s="1299" t="s">
        <v>531</v>
      </c>
      <c r="D68" s="96" t="s">
        <v>667</v>
      </c>
      <c r="J68" s="1299" t="s">
        <v>668</v>
      </c>
      <c r="K68" s="811"/>
      <c r="L68" s="889">
        <f>IF(L67&gt;0,+L66-L67,0)</f>
        <v>0</v>
      </c>
      <c r="M68" s="1299" t="s">
        <v>668</v>
      </c>
      <c r="N68" s="811"/>
      <c r="O68" s="889">
        <f>IF(O67&gt;0,+O66-O67,0)</f>
        <v>0</v>
      </c>
    </row>
    <row r="69" spans="2:15">
      <c r="B69" s="202"/>
      <c r="C69" s="1299" t="s">
        <v>633</v>
      </c>
      <c r="D69" s="96" t="s">
        <v>669</v>
      </c>
      <c r="J69" s="1299" t="s">
        <v>670</v>
      </c>
      <c r="K69" s="811"/>
      <c r="L69" s="889">
        <v>1.1999999999999999E-3</v>
      </c>
      <c r="M69" s="1299" t="s">
        <v>670</v>
      </c>
      <c r="N69" s="811"/>
      <c r="O69" s="889">
        <v>1.2999999999999999E-3</v>
      </c>
    </row>
    <row r="70" spans="2:15">
      <c r="B70" s="202"/>
      <c r="C70" s="1299" t="s">
        <v>689</v>
      </c>
      <c r="D70" s="96" t="s">
        <v>671</v>
      </c>
      <c r="J70" s="1299" t="s">
        <v>668</v>
      </c>
      <c r="K70" s="811"/>
      <c r="L70" s="889">
        <f>IF(L67&gt;0,ROUND(+L68*L69,3),0)</f>
        <v>0</v>
      </c>
      <c r="M70" s="1299" t="s">
        <v>668</v>
      </c>
      <c r="N70" s="811"/>
      <c r="O70" s="889">
        <f>IF(O67&gt;0,ROUND(+O68*O69,3),0)</f>
        <v>0</v>
      </c>
    </row>
    <row r="71" spans="2:15">
      <c r="B71" s="202"/>
      <c r="C71" s="1299" t="s">
        <v>690</v>
      </c>
      <c r="D71" s="96" t="s">
        <v>691</v>
      </c>
      <c r="J71" s="1299" t="s">
        <v>672</v>
      </c>
      <c r="K71" s="811"/>
      <c r="L71" s="889">
        <v>1.1579999999999999</v>
      </c>
      <c r="M71" s="1299" t="s">
        <v>672</v>
      </c>
      <c r="N71" s="811"/>
      <c r="O71" s="889">
        <v>1.268</v>
      </c>
    </row>
    <row r="72" spans="2:15">
      <c r="B72" s="202"/>
      <c r="C72" s="1299" t="s">
        <v>692</v>
      </c>
      <c r="D72" s="96" t="s">
        <v>673</v>
      </c>
      <c r="J72" s="1299" t="s">
        <v>668</v>
      </c>
      <c r="K72" s="811"/>
      <c r="L72" s="889">
        <f>IF(L67&gt;0,+L70+L71,0)</f>
        <v>0</v>
      </c>
      <c r="M72" s="1299" t="s">
        <v>668</v>
      </c>
      <c r="N72" s="811"/>
      <c r="O72" s="889">
        <f>IF(O67&gt;0,+O70+O71,0)</f>
        <v>0</v>
      </c>
    </row>
    <row r="73" spans="2:15">
      <c r="B73" s="202"/>
      <c r="C73" s="1299" t="s">
        <v>693</v>
      </c>
      <c r="D73" s="96" t="s">
        <v>694</v>
      </c>
      <c r="J73" s="1299" t="s">
        <v>670</v>
      </c>
      <c r="K73" s="881" t="s">
        <v>370</v>
      </c>
      <c r="L73" s="890">
        <v>474.47</v>
      </c>
      <c r="M73" s="1299" t="s">
        <v>670</v>
      </c>
      <c r="N73" s="881" t="s">
        <v>370</v>
      </c>
      <c r="O73" s="890">
        <v>494.39</v>
      </c>
    </row>
    <row r="74" spans="2:15" ht="12.6" thickBot="1">
      <c r="B74" s="202"/>
      <c r="C74" s="1299" t="s">
        <v>695</v>
      </c>
      <c r="D74" s="1299"/>
      <c r="F74" s="96" t="s">
        <v>688</v>
      </c>
      <c r="J74" s="1299" t="s">
        <v>668</v>
      </c>
      <c r="K74" s="885" t="s">
        <v>370</v>
      </c>
      <c r="L74" s="886">
        <f>IF(L67&gt;0,ROUND(+L72*L73,2),0)</f>
        <v>0</v>
      </c>
      <c r="M74" s="1299" t="s">
        <v>668</v>
      </c>
      <c r="N74" s="885" t="s">
        <v>370</v>
      </c>
      <c r="O74" s="886">
        <f>IF(O67&gt;0,ROUND(+O72*O73,2),0)</f>
        <v>0</v>
      </c>
    </row>
    <row r="75" spans="2:15" ht="7.5" customHeight="1" thickTop="1">
      <c r="B75" s="202"/>
    </row>
    <row r="76" spans="2:15">
      <c r="B76" s="802" t="s">
        <v>42</v>
      </c>
      <c r="C76" s="96" t="s">
        <v>1210</v>
      </c>
    </row>
    <row r="77" spans="2:15" ht="12.6" thickBot="1">
      <c r="F77" s="96" t="s">
        <v>688</v>
      </c>
      <c r="K77" s="885" t="s">
        <v>370</v>
      </c>
      <c r="L77" s="886">
        <v>549.45000000000005</v>
      </c>
      <c r="N77" s="885" t="s">
        <v>370</v>
      </c>
      <c r="O77" s="886">
        <v>600.86</v>
      </c>
    </row>
    <row r="78" spans="2:15" ht="12.6" thickTop="1">
      <c r="K78" s="1299"/>
      <c r="L78" s="821"/>
      <c r="N78" s="1299"/>
      <c r="O78" s="821"/>
    </row>
    <row r="80" spans="2:15">
      <c r="B80" s="210"/>
      <c r="N80" s="1299"/>
      <c r="O80" s="821"/>
    </row>
    <row r="82" spans="1:19" ht="15.75" customHeight="1">
      <c r="A82" s="1878" t="s">
        <v>696</v>
      </c>
      <c r="B82" s="1878"/>
      <c r="C82" s="1878"/>
      <c r="D82" s="1878"/>
      <c r="E82" s="1878"/>
      <c r="F82" s="1878"/>
      <c r="G82" s="1878"/>
      <c r="H82" s="1878"/>
      <c r="I82" s="1878"/>
      <c r="J82" s="1878"/>
      <c r="K82" s="1878"/>
      <c r="L82" s="1878"/>
      <c r="M82" s="1878"/>
      <c r="N82" s="1878"/>
      <c r="O82" s="1878"/>
      <c r="P82" s="1878"/>
      <c r="Q82" s="1878"/>
      <c r="R82" s="1878"/>
      <c r="S82" s="1878"/>
    </row>
    <row r="83" spans="1:19">
      <c r="B83" s="210" t="s">
        <v>6</v>
      </c>
      <c r="C83" s="96" t="s">
        <v>1211</v>
      </c>
      <c r="Q83" s="881" t="s">
        <v>370</v>
      </c>
      <c r="R83" s="882">
        <f>[1]!GBLBudgFY</f>
        <v>16505032</v>
      </c>
    </row>
    <row r="84" spans="1:19">
      <c r="B84" s="1528" t="s">
        <v>8</v>
      </c>
      <c r="C84" s="96" t="s">
        <v>1212</v>
      </c>
      <c r="Q84" s="881" t="s">
        <v>370</v>
      </c>
      <c r="R84" s="882">
        <f>BUDG75Adj</f>
        <v>0</v>
      </c>
    </row>
    <row r="85" spans="1:19">
      <c r="B85" s="210" t="s">
        <v>22</v>
      </c>
      <c r="C85" s="96" t="s">
        <v>697</v>
      </c>
      <c r="Q85" s="881" t="s">
        <v>370</v>
      </c>
      <c r="R85" s="882">
        <f>R83+R84</f>
        <v>16505032</v>
      </c>
    </row>
    <row r="86" spans="1:19">
      <c r="B86" s="210" t="s">
        <v>42</v>
      </c>
      <c r="C86" s="96" t="s">
        <v>1344</v>
      </c>
      <c r="Q86" s="881" t="s">
        <v>370</v>
      </c>
      <c r="R86" s="882">
        <f>[1]!F001TotalExp</f>
        <v>16505032</v>
      </c>
    </row>
    <row r="87" spans="1:19">
      <c r="B87" s="210" t="s">
        <v>111</v>
      </c>
      <c r="C87" s="96" t="s">
        <v>698</v>
      </c>
      <c r="Q87" s="881" t="s">
        <v>370</v>
      </c>
      <c r="R87" s="882">
        <f>R84</f>
        <v>0</v>
      </c>
    </row>
    <row r="88" spans="1:19">
      <c r="B88" s="210" t="s">
        <v>113</v>
      </c>
      <c r="C88" s="96" t="s">
        <v>699</v>
      </c>
      <c r="Q88" s="881" t="s">
        <v>370</v>
      </c>
      <c r="R88" s="882">
        <f>R86+R87</f>
        <v>16505032</v>
      </c>
    </row>
    <row r="89" spans="1:19">
      <c r="B89" s="210" t="s">
        <v>115</v>
      </c>
      <c r="C89" s="96" t="s">
        <v>700</v>
      </c>
      <c r="Q89" s="881" t="s">
        <v>370</v>
      </c>
      <c r="R89" s="882">
        <f>MIN(R85,R88)</f>
        <v>16505032</v>
      </c>
    </row>
    <row r="90" spans="1:19">
      <c r="B90" s="1528" t="s">
        <v>117</v>
      </c>
      <c r="C90" s="96" t="s">
        <v>1336</v>
      </c>
      <c r="Q90" s="881" t="s">
        <v>370</v>
      </c>
      <c r="R90" s="882">
        <f>PYTotMOActExpend</f>
        <v>8900000</v>
      </c>
    </row>
    <row r="91" spans="1:19" ht="23.25" customHeight="1">
      <c r="B91" s="828" t="s">
        <v>119</v>
      </c>
      <c r="C91" s="1633" t="s">
        <v>701</v>
      </c>
      <c r="D91" s="1633"/>
      <c r="E91" s="1633"/>
      <c r="F91" s="1633"/>
      <c r="G91" s="1633"/>
      <c r="H91" s="1633"/>
      <c r="I91" s="1633"/>
      <c r="K91" s="881" t="s">
        <v>370</v>
      </c>
      <c r="L91" s="882" t="str">
        <f>IF((R89-R90&lt;0),R89-R90," ")</f>
        <v xml:space="preserve"> </v>
      </c>
      <c r="N91" s="1881" t="str">
        <f>IF(L91&lt;0,"OVEREXPENDED"," ")</f>
        <v xml:space="preserve"> </v>
      </c>
      <c r="O91" s="1881"/>
      <c r="Q91" s="881" t="s">
        <v>370</v>
      </c>
      <c r="R91" s="882">
        <f>IF(R89-R90&gt;0,R89-R90,0)</f>
        <v>7605032</v>
      </c>
    </row>
    <row r="92" spans="1:19">
      <c r="C92" s="1336"/>
      <c r="D92" s="1336"/>
      <c r="E92" s="1336"/>
      <c r="F92" s="1336"/>
      <c r="G92" s="1336"/>
      <c r="H92" s="1336"/>
      <c r="I92" s="1336"/>
    </row>
    <row r="93" spans="1:19">
      <c r="B93" s="117" t="s">
        <v>1213</v>
      </c>
    </row>
    <row r="95" spans="1:19" ht="15.75" customHeight="1">
      <c r="B95" s="1528" t="s">
        <v>121</v>
      </c>
      <c r="C95" s="96" t="s">
        <v>1214</v>
      </c>
      <c r="K95" s="1580" t="s">
        <v>1215</v>
      </c>
      <c r="L95" s="1580"/>
      <c r="N95" s="1580" t="s">
        <v>702</v>
      </c>
      <c r="O95" s="1580"/>
      <c r="Q95" s="1580" t="s">
        <v>703</v>
      </c>
      <c r="R95" s="1580"/>
    </row>
    <row r="96" spans="1:19">
      <c r="C96" s="1299" t="s">
        <v>529</v>
      </c>
      <c r="D96" s="96" t="s">
        <v>704</v>
      </c>
      <c r="K96" s="881" t="s">
        <v>370</v>
      </c>
      <c r="L96" s="882">
        <f>[1]!SpecProgOverride</f>
        <v>0</v>
      </c>
      <c r="M96" s="3" t="s">
        <v>666</v>
      </c>
      <c r="N96" s="881" t="s">
        <v>370</v>
      </c>
      <c r="O96" s="882">
        <f>'Data Entry'!L103</f>
        <v>0</v>
      </c>
      <c r="P96" s="3" t="s">
        <v>668</v>
      </c>
      <c r="Q96" s="881" t="s">
        <v>370</v>
      </c>
      <c r="R96" s="882">
        <f t="shared" ref="R96:R100" si="0">IF(L96-O96&gt;0,L96-O96,0)</f>
        <v>0</v>
      </c>
    </row>
    <row r="97" spans="2:18">
      <c r="C97" s="1299" t="s">
        <v>530</v>
      </c>
      <c r="D97" s="96" t="s">
        <v>705</v>
      </c>
      <c r="K97" s="881" t="s">
        <v>370</v>
      </c>
      <c r="L97" s="882">
        <f>[1]!BudgIncrDesegExp</f>
        <v>0</v>
      </c>
      <c r="M97" s="3" t="s">
        <v>666</v>
      </c>
      <c r="N97" s="881" t="s">
        <v>370</v>
      </c>
      <c r="O97" s="882">
        <f>'Data Entry'!L104</f>
        <v>0</v>
      </c>
      <c r="P97" s="3" t="s">
        <v>668</v>
      </c>
      <c r="Q97" s="881" t="s">
        <v>370</v>
      </c>
      <c r="R97" s="882">
        <f t="shared" si="0"/>
        <v>0</v>
      </c>
    </row>
    <row r="98" spans="2:18">
      <c r="C98" s="194" t="s">
        <v>531</v>
      </c>
      <c r="D98" s="96" t="s">
        <v>632</v>
      </c>
      <c r="K98" s="881" t="s">
        <v>370</v>
      </c>
      <c r="L98" s="882">
        <f>[1]!BudgIncrDropPrevProg</f>
        <v>0</v>
      </c>
      <c r="M98" s="3" t="s">
        <v>666</v>
      </c>
      <c r="N98" s="881" t="s">
        <v>370</v>
      </c>
      <c r="O98" s="882">
        <f>'Data Entry'!L105</f>
        <v>0</v>
      </c>
      <c r="P98" s="3" t="s">
        <v>668</v>
      </c>
      <c r="Q98" s="881" t="s">
        <v>370</v>
      </c>
      <c r="R98" s="882">
        <f t="shared" si="0"/>
        <v>0</v>
      </c>
    </row>
    <row r="99" spans="2:18">
      <c r="C99" s="194" t="s">
        <v>633</v>
      </c>
      <c r="D99" s="96" t="s">
        <v>706</v>
      </c>
      <c r="K99" s="881" t="s">
        <v>370</v>
      </c>
      <c r="L99" s="882">
        <f>[1]!BudgIncrJCTEVEC</f>
        <v>0</v>
      </c>
      <c r="M99" s="3" t="s">
        <v>666</v>
      </c>
      <c r="N99" s="881" t="s">
        <v>370</v>
      </c>
      <c r="O99" s="882">
        <f>'Data Entry'!L106</f>
        <v>0</v>
      </c>
      <c r="P99" s="3" t="s">
        <v>668</v>
      </c>
      <c r="Q99" s="881" t="s">
        <v>370</v>
      </c>
      <c r="R99" s="882">
        <f t="shared" si="0"/>
        <v>0</v>
      </c>
    </row>
    <row r="100" spans="2:18">
      <c r="C100" s="194" t="s">
        <v>689</v>
      </c>
      <c r="D100" s="96" t="s">
        <v>707</v>
      </c>
      <c r="K100" s="881" t="s">
        <v>370</v>
      </c>
      <c r="L100" s="882">
        <f>[1]!BudgIncrJCTEVEC</f>
        <v>0</v>
      </c>
      <c r="M100" s="3" t="s">
        <v>666</v>
      </c>
      <c r="N100" s="881" t="s">
        <v>370</v>
      </c>
      <c r="O100" s="882">
        <f>'Data Entry'!L107</f>
        <v>0</v>
      </c>
      <c r="P100" s="3" t="s">
        <v>668</v>
      </c>
      <c r="Q100" s="881" t="s">
        <v>370</v>
      </c>
      <c r="R100" s="882">
        <f t="shared" si="0"/>
        <v>0</v>
      </c>
    </row>
    <row r="101" spans="2:18">
      <c r="C101" s="194" t="s">
        <v>690</v>
      </c>
      <c r="D101" s="96" t="s">
        <v>708</v>
      </c>
      <c r="P101" s="3" t="s">
        <v>668</v>
      </c>
      <c r="Q101" s="881" t="s">
        <v>370</v>
      </c>
      <c r="R101" s="882">
        <f>R96+R97+R98+R99+R100</f>
        <v>0</v>
      </c>
    </row>
    <row r="102" spans="2:18">
      <c r="B102" s="210" t="s">
        <v>123</v>
      </c>
      <c r="C102" s="96" t="s">
        <v>709</v>
      </c>
      <c r="Q102" s="881" t="s">
        <v>370</v>
      </c>
      <c r="R102" s="882">
        <f>IF(R91-R101&gt;0,R91-R101,0)</f>
        <v>7605032</v>
      </c>
    </row>
    <row r="103" spans="2:18" ht="23.25" customHeight="1">
      <c r="B103" s="828" t="s">
        <v>125</v>
      </c>
      <c r="C103" s="1793" t="s">
        <v>1341</v>
      </c>
      <c r="D103" s="1793"/>
      <c r="E103" s="1793"/>
      <c r="F103" s="1793"/>
      <c r="G103" s="1793"/>
      <c r="H103" s="1793"/>
      <c r="I103" s="1793"/>
      <c r="J103" s="1793"/>
      <c r="P103" s="3" t="s">
        <v>666</v>
      </c>
      <c r="Q103" s="881" t="s">
        <v>370</v>
      </c>
      <c r="R103" s="882">
        <f>IF('Data Entry'!L108&gt;0,MIN('Data Entry'!L108,R102),0)</f>
        <v>0</v>
      </c>
    </row>
    <row r="104" spans="2:18">
      <c r="B104" s="210" t="s">
        <v>127</v>
      </c>
      <c r="C104" s="96" t="s">
        <v>1353</v>
      </c>
      <c r="P104" s="96" t="s">
        <v>668</v>
      </c>
      <c r="Q104" s="881" t="s">
        <v>370</v>
      </c>
      <c r="R104" s="882">
        <f>R102-R103</f>
        <v>7605032</v>
      </c>
    </row>
    <row r="106" spans="2:18">
      <c r="B106" s="210" t="s">
        <v>129</v>
      </c>
      <c r="C106" s="96" t="s">
        <v>710</v>
      </c>
    </row>
    <row r="107" spans="2:18">
      <c r="C107" s="1530" t="s">
        <v>529</v>
      </c>
      <c r="D107" s="96" t="s">
        <v>1342</v>
      </c>
      <c r="Q107" s="881" t="s">
        <v>370</v>
      </c>
      <c r="R107" s="882">
        <f>IF(VALUE(LEFT(RIGHT(O1,7),2))=1,PYEndMOCash,0)</f>
        <v>0</v>
      </c>
    </row>
    <row r="108" spans="2:18">
      <c r="C108" s="1299" t="s">
        <v>530</v>
      </c>
      <c r="D108" s="96" t="s">
        <v>711</v>
      </c>
      <c r="P108" s="1299" t="s">
        <v>666</v>
      </c>
      <c r="Q108" s="881" t="s">
        <v>370</v>
      </c>
      <c r="R108" s="882">
        <f>IF(AND(VALUE(LEFT(RIGHT(O1,7),2))=1,LessDSLorRCL912&gt;0),R104,0)</f>
        <v>0</v>
      </c>
    </row>
    <row r="109" spans="2:18">
      <c r="C109" s="1299" t="s">
        <v>531</v>
      </c>
      <c r="D109" s="96" t="s">
        <v>712</v>
      </c>
      <c r="P109" s="1299" t="s">
        <v>668</v>
      </c>
      <c r="Q109" s="881" t="s">
        <v>370</v>
      </c>
      <c r="R109" s="882">
        <f>R107-R108</f>
        <v>0</v>
      </c>
    </row>
    <row r="110" spans="2:18">
      <c r="B110" s="210" t="s">
        <v>131</v>
      </c>
      <c r="C110" s="96" t="s">
        <v>713</v>
      </c>
    </row>
    <row r="111" spans="2:18">
      <c r="C111" s="1299" t="s">
        <v>529</v>
      </c>
      <c r="D111" s="96" t="s">
        <v>714</v>
      </c>
      <c r="N111" s="881" t="s">
        <v>370</v>
      </c>
      <c r="O111" s="882">
        <f>R109</f>
        <v>0</v>
      </c>
    </row>
    <row r="112" spans="2:18">
      <c r="C112" s="1530" t="s">
        <v>530</v>
      </c>
      <c r="D112" s="96" t="s">
        <v>1205</v>
      </c>
      <c r="N112" s="881" t="s">
        <v>370</v>
      </c>
      <c r="O112" s="882">
        <f>AccommRCL10</f>
        <v>0</v>
      </c>
    </row>
    <row r="113" spans="1:18">
      <c r="C113" s="1530" t="s">
        <v>531</v>
      </c>
      <c r="D113" s="96" t="s">
        <v>1206</v>
      </c>
      <c r="M113" s="96" t="s">
        <v>672</v>
      </c>
      <c r="N113" s="881" t="s">
        <v>370</v>
      </c>
      <c r="O113" s="882">
        <f>AccommRCL05</f>
        <v>0</v>
      </c>
    </row>
    <row r="114" spans="1:18">
      <c r="C114" s="1299" t="s">
        <v>633</v>
      </c>
      <c r="D114" s="96" t="s">
        <v>715</v>
      </c>
      <c r="M114" s="96" t="s">
        <v>668</v>
      </c>
      <c r="N114" s="881" t="s">
        <v>370</v>
      </c>
      <c r="O114" s="882">
        <f>O112+O113</f>
        <v>0</v>
      </c>
    </row>
    <row r="115" spans="1:18">
      <c r="C115" s="1299" t="s">
        <v>689</v>
      </c>
      <c r="D115" s="96" t="s">
        <v>716</v>
      </c>
      <c r="Q115" s="881" t="s">
        <v>370</v>
      </c>
      <c r="R115" s="882">
        <f>MIN(O111,O114)</f>
        <v>0</v>
      </c>
    </row>
    <row r="117" spans="1:18" s="101" customFormat="1" ht="17.25" customHeight="1">
      <c r="A117" s="1167" t="s">
        <v>717</v>
      </c>
      <c r="B117" s="1165"/>
      <c r="C117" s="1165"/>
      <c r="D117" s="1165"/>
      <c r="E117" s="1165"/>
      <c r="F117" s="1165"/>
      <c r="G117" s="1165"/>
      <c r="H117" s="1165"/>
      <c r="I117" s="1165"/>
      <c r="J117" s="1165"/>
      <c r="K117" s="1165"/>
      <c r="L117" s="1165"/>
    </row>
    <row r="118" spans="1:18">
      <c r="B118" s="1528" t="s">
        <v>6</v>
      </c>
      <c r="C118" s="96" t="s">
        <v>1203</v>
      </c>
      <c r="Q118" s="881" t="s">
        <v>370</v>
      </c>
      <c r="R118" s="882">
        <f>'Data Entry'!L111</f>
        <v>0</v>
      </c>
    </row>
    <row r="119" spans="1:18">
      <c r="B119" s="1528" t="s">
        <v>8</v>
      </c>
      <c r="C119" s="1793" t="s">
        <v>1202</v>
      </c>
      <c r="D119" s="1793"/>
      <c r="E119" s="1793"/>
      <c r="F119" s="1793"/>
      <c r="G119" s="1793"/>
      <c r="H119" s="1793"/>
      <c r="I119" s="1793"/>
      <c r="J119" s="1793"/>
      <c r="K119" s="1793"/>
      <c r="L119" s="1793"/>
    </row>
    <row r="120" spans="1:18">
      <c r="B120" s="210"/>
      <c r="C120" s="1793"/>
      <c r="D120" s="1793"/>
      <c r="E120" s="1793"/>
      <c r="F120" s="1793"/>
      <c r="G120" s="1793"/>
      <c r="H120" s="1793"/>
      <c r="I120" s="1793"/>
      <c r="J120" s="1793"/>
      <c r="K120" s="1793"/>
      <c r="L120" s="1793"/>
      <c r="P120" s="3" t="s">
        <v>666</v>
      </c>
      <c r="Q120" s="881" t="s">
        <v>370</v>
      </c>
      <c r="R120" s="882">
        <f>'Data Entry'!L112</f>
        <v>0</v>
      </c>
    </row>
    <row r="121" spans="1:18">
      <c r="B121" s="210" t="s">
        <v>22</v>
      </c>
      <c r="C121" s="96" t="s">
        <v>638</v>
      </c>
      <c r="N121" s="881" t="s">
        <v>370</v>
      </c>
      <c r="O121" s="882">
        <f>IF('Data Entry'!L111&gt;0,CYTRCL-TSL,0)</f>
        <v>0</v>
      </c>
      <c r="P121" s="3"/>
    </row>
    <row r="122" spans="1:18" ht="24" customHeight="1">
      <c r="B122" s="1528" t="s">
        <v>42</v>
      </c>
      <c r="C122" s="1633" t="s">
        <v>1343</v>
      </c>
      <c r="D122" s="1633"/>
      <c r="E122" s="1633"/>
      <c r="F122" s="1633"/>
      <c r="G122" s="1633"/>
      <c r="H122" s="1633"/>
      <c r="I122" s="1633"/>
      <c r="J122" s="1633"/>
      <c r="K122" s="1633"/>
      <c r="L122" s="1633"/>
      <c r="M122" s="1633"/>
      <c r="N122" s="1633"/>
      <c r="P122" s="3" t="s">
        <v>666</v>
      </c>
      <c r="Q122" s="881" t="s">
        <v>370</v>
      </c>
      <c r="R122" s="882">
        <f>'Data Entry'!L113</f>
        <v>0</v>
      </c>
    </row>
    <row r="123" spans="1:18">
      <c r="B123" s="1528" t="s">
        <v>111</v>
      </c>
      <c r="C123" s="96" t="s">
        <v>1339</v>
      </c>
      <c r="P123" s="3" t="s">
        <v>666</v>
      </c>
      <c r="Q123" s="881" t="s">
        <v>370</v>
      </c>
      <c r="R123" s="882">
        <f>'Data Entry'!L114</f>
        <v>0</v>
      </c>
    </row>
    <row r="124" spans="1:18">
      <c r="B124" s="1528" t="s">
        <v>113</v>
      </c>
      <c r="C124" s="96" t="s">
        <v>1204</v>
      </c>
      <c r="P124" s="3" t="s">
        <v>672</v>
      </c>
      <c r="Q124" s="881" t="s">
        <v>370</v>
      </c>
      <c r="R124" s="882">
        <f>'Data Entry'!L115</f>
        <v>0</v>
      </c>
    </row>
    <row r="125" spans="1:18" ht="11.25" customHeight="1">
      <c r="B125" s="828" t="s">
        <v>115</v>
      </c>
      <c r="C125" s="1633" t="s">
        <v>1354</v>
      </c>
      <c r="D125" s="1633"/>
      <c r="E125" s="1633"/>
      <c r="F125" s="1633"/>
      <c r="G125" s="1633"/>
      <c r="H125" s="1633"/>
      <c r="I125" s="1633"/>
      <c r="J125" s="1633"/>
      <c r="P125" s="3" t="s">
        <v>668</v>
      </c>
      <c r="Q125" s="881" t="s">
        <v>370</v>
      </c>
      <c r="R125" s="882">
        <f>R118-R120-R122-R123+R124</f>
        <v>0</v>
      </c>
    </row>
    <row r="129" spans="1:33" ht="13.8">
      <c r="A129" s="846" t="s">
        <v>718</v>
      </c>
    </row>
    <row r="131" spans="1:33" ht="34.5" customHeight="1">
      <c r="A131" s="1877" t="s">
        <v>719</v>
      </c>
      <c r="B131" s="1877"/>
      <c r="C131" s="1877"/>
      <c r="D131" s="1877"/>
      <c r="E131" s="1877"/>
      <c r="F131" s="1877"/>
      <c r="G131" s="1877"/>
      <c r="H131" s="1877"/>
      <c r="I131" s="1877"/>
      <c r="J131" s="1877"/>
      <c r="K131" s="1877"/>
      <c r="L131" s="1877"/>
      <c r="M131" s="1877"/>
      <c r="N131" s="1877"/>
      <c r="O131" s="1877"/>
      <c r="P131" s="1877"/>
      <c r="Q131" s="1877"/>
      <c r="R131" s="1877"/>
    </row>
    <row r="133" spans="1:33" ht="43.5" customHeight="1">
      <c r="A133" s="1633" t="s">
        <v>1216</v>
      </c>
      <c r="B133" s="1633"/>
      <c r="C133" s="1633"/>
      <c r="D133" s="1633"/>
      <c r="E133" s="1633"/>
      <c r="F133" s="1633"/>
      <c r="G133" s="1633"/>
      <c r="H133" s="1633"/>
      <c r="I133" s="1633"/>
      <c r="J133" s="1633"/>
      <c r="K133" s="1633"/>
      <c r="L133" s="1633"/>
      <c r="M133" s="1633"/>
      <c r="N133" s="1633"/>
      <c r="O133" s="1633"/>
      <c r="P133" s="1633"/>
      <c r="Q133" s="1633"/>
      <c r="R133" s="1633"/>
      <c r="S133" s="452"/>
      <c r="AF133" s="1234" t="s">
        <v>720</v>
      </c>
      <c r="AG133" s="1234" t="s">
        <v>1217</v>
      </c>
    </row>
    <row r="135" spans="1:33">
      <c r="B135" s="210" t="s">
        <v>6</v>
      </c>
      <c r="C135" s="96" t="s">
        <v>721</v>
      </c>
      <c r="W135" s="117"/>
      <c r="Y135" s="213" t="s">
        <v>722</v>
      </c>
    </row>
    <row r="136" spans="1:33">
      <c r="C136" s="121" t="s">
        <v>529</v>
      </c>
      <c r="D136" s="891" t="s">
        <v>723</v>
      </c>
      <c r="Q136" s="881" t="s">
        <v>370</v>
      </c>
      <c r="R136" s="882">
        <v>150000</v>
      </c>
      <c r="T136" s="1900" t="s">
        <v>724</v>
      </c>
      <c r="U136" s="1900"/>
      <c r="Y136" s="765" t="s">
        <v>725</v>
      </c>
      <c r="Z136" s="213" t="s">
        <v>722</v>
      </c>
    </row>
    <row r="137" spans="1:33">
      <c r="C137" s="121" t="s">
        <v>530</v>
      </c>
      <c r="D137" s="101" t="s">
        <v>1218</v>
      </c>
      <c r="O137" s="780">
        <f>IF(AND(SSAPhaseDownCheckbox="X",SSAFYExceeded&lt;2000,UnweightedStudCntK8PY&gt;125,UnweightedStudCntK8PY&lt;154),UnweightedStudCntK8PY,0)</f>
        <v>0</v>
      </c>
      <c r="T137" s="96" t="s">
        <v>726</v>
      </c>
      <c r="Y137" s="780">
        <v>500</v>
      </c>
      <c r="Z137" s="780">
        <v>500</v>
      </c>
    </row>
    <row r="138" spans="1:33">
      <c r="C138" s="121" t="s">
        <v>531</v>
      </c>
      <c r="D138" s="891" t="s">
        <v>727</v>
      </c>
      <c r="N138" s="3" t="s">
        <v>666</v>
      </c>
      <c r="O138" s="780">
        <v>125</v>
      </c>
      <c r="T138" s="96" t="s">
        <v>1219</v>
      </c>
      <c r="X138" s="1299" t="s">
        <v>666</v>
      </c>
      <c r="Y138" s="780">
        <f>IF(AND(SSAPhaseDownCheckbox="X",SmallIsolatedPSD8Checkbox="X"),O137,0)</f>
        <v>0</v>
      </c>
      <c r="Z138" s="780">
        <f>IF(AND(SSAPhaseDownCheckbox="X",SmallIsolatedPSD8Checkbox&lt;&gt;"X"),O137,0)</f>
        <v>0</v>
      </c>
    </row>
    <row r="139" spans="1:33">
      <c r="C139" s="121" t="s">
        <v>633</v>
      </c>
      <c r="D139" s="891" t="s">
        <v>728</v>
      </c>
      <c r="N139" s="3" t="s">
        <v>668</v>
      </c>
      <c r="O139" s="780">
        <f>IF(O137&gt;0,O137-O138,0)</f>
        <v>0</v>
      </c>
      <c r="U139" s="96" t="s">
        <v>667</v>
      </c>
      <c r="X139" s="1299" t="s">
        <v>668</v>
      </c>
      <c r="Y139" s="780">
        <f>IF(Y138&gt;0,Y137-Y138,0)</f>
        <v>0</v>
      </c>
      <c r="Z139" s="780">
        <f>IF(Z138&gt;0,Z137-Z138,0)</f>
        <v>0</v>
      </c>
    </row>
    <row r="140" spans="1:33">
      <c r="C140" s="121" t="s">
        <v>689</v>
      </c>
      <c r="D140" s="891" t="s">
        <v>729</v>
      </c>
      <c r="N140" s="3" t="s">
        <v>670</v>
      </c>
      <c r="O140" s="780">
        <f>IF(AND(O137&gt;0,SSAPhaseDownCheckbox="X",SmallIsolatedPSD8Checkbox="X"),Y143,IF(AND(O137&gt;0,SSAPhaseDownCheckbox="X",SmallIsolatedPSD8Checkbox&lt;&gt;"X"),Z143,0))</f>
        <v>0</v>
      </c>
      <c r="U140" s="96" t="s">
        <v>730</v>
      </c>
      <c r="X140" s="1299" t="s">
        <v>670</v>
      </c>
      <c r="Y140" s="780">
        <v>5.0000000000000001E-4</v>
      </c>
      <c r="Z140" s="780">
        <v>2.9999999999999997E-4</v>
      </c>
    </row>
    <row r="141" spans="1:33">
      <c r="C141" s="121" t="s">
        <v>690</v>
      </c>
      <c r="D141" s="891" t="s">
        <v>731</v>
      </c>
      <c r="N141" s="3" t="s">
        <v>668</v>
      </c>
      <c r="O141" s="780">
        <f>ROUND(O139*O140,3)</f>
        <v>0</v>
      </c>
      <c r="U141" s="96" t="s">
        <v>732</v>
      </c>
      <c r="X141" s="1299" t="s">
        <v>668</v>
      </c>
      <c r="Y141" s="780">
        <f>Y139*Y140</f>
        <v>0</v>
      </c>
      <c r="Z141" s="780">
        <f>Z139*Z140</f>
        <v>0</v>
      </c>
    </row>
    <row r="142" spans="1:33">
      <c r="C142" s="121" t="s">
        <v>692</v>
      </c>
      <c r="D142" s="891" t="s">
        <v>733</v>
      </c>
      <c r="N142" s="3" t="s">
        <v>670</v>
      </c>
      <c r="O142" s="817">
        <f>IF(O137&gt;0,'Data Entry'!L65,0)</f>
        <v>0</v>
      </c>
      <c r="U142" s="96" t="s">
        <v>734</v>
      </c>
      <c r="X142" s="1299" t="s">
        <v>672</v>
      </c>
      <c r="Y142" s="841">
        <v>1.3580000000000001</v>
      </c>
      <c r="Z142" s="841">
        <v>1.278</v>
      </c>
    </row>
    <row r="143" spans="1:33">
      <c r="C143" s="121" t="s">
        <v>693</v>
      </c>
      <c r="D143" s="891" t="s">
        <v>735</v>
      </c>
      <c r="P143" s="3" t="s">
        <v>666</v>
      </c>
      <c r="Q143" s="881" t="s">
        <v>370</v>
      </c>
      <c r="R143" s="882">
        <f>ROUND(O141*O142,2)</f>
        <v>0</v>
      </c>
      <c r="T143" s="96" t="s">
        <v>1220</v>
      </c>
      <c r="X143" s="1299" t="s">
        <v>668</v>
      </c>
      <c r="Y143" s="780">
        <f>IF(Y138&gt;0,Y141+Y142,0)</f>
        <v>0</v>
      </c>
      <c r="Z143" s="780">
        <f>IF(Z138&gt;0,Z141+Z142,0)</f>
        <v>0</v>
      </c>
    </row>
    <row r="144" spans="1:33">
      <c r="C144" s="121" t="s">
        <v>695</v>
      </c>
      <c r="D144" s="891" t="s">
        <v>736</v>
      </c>
      <c r="Q144" s="881" t="s">
        <v>370</v>
      </c>
      <c r="R144" s="882">
        <f>IF(O137&gt;0,R136-R143,0)</f>
        <v>0</v>
      </c>
    </row>
    <row r="146" spans="1:26" ht="23.25" customHeight="1">
      <c r="A146" s="120"/>
      <c r="B146" s="828" t="s">
        <v>8</v>
      </c>
      <c r="C146" s="1793" t="s">
        <v>737</v>
      </c>
      <c r="D146" s="1793"/>
      <c r="E146" s="1793"/>
      <c r="F146" s="1793"/>
      <c r="G146" s="1793"/>
      <c r="H146" s="1793"/>
      <c r="I146" s="1793"/>
      <c r="J146" s="1793"/>
      <c r="K146" s="1793"/>
      <c r="L146" s="1793"/>
      <c r="M146" s="1793"/>
      <c r="N146" s="1793"/>
      <c r="O146" s="1793"/>
      <c r="P146" s="1793"/>
      <c r="Q146" s="1793"/>
      <c r="R146" s="1327"/>
      <c r="W146" s="117"/>
      <c r="Y146" s="213" t="s">
        <v>722</v>
      </c>
    </row>
    <row r="147" spans="1:26">
      <c r="C147" s="121" t="s">
        <v>529</v>
      </c>
      <c r="D147" s="891" t="s">
        <v>723</v>
      </c>
      <c r="Q147" s="881" t="s">
        <v>370</v>
      </c>
      <c r="R147" s="882">
        <v>350000</v>
      </c>
      <c r="T147" s="1900" t="s">
        <v>738</v>
      </c>
      <c r="U147" s="1900"/>
      <c r="Y147" s="765" t="s">
        <v>725</v>
      </c>
      <c r="Z147" s="213" t="s">
        <v>722</v>
      </c>
    </row>
    <row r="148" spans="1:26">
      <c r="C148" s="121" t="s">
        <v>530</v>
      </c>
      <c r="D148" s="101" t="s">
        <v>1221</v>
      </c>
      <c r="O148" s="780">
        <f>IF(AND(SSAPhaseDownCheckbox="X",SSAFYExceeded&lt;2000,UnweightedStudCnt912PY&gt;100,UnweightedStudCnt912PY&lt;176),UnweightedStudCnt912PY,0)</f>
        <v>0</v>
      </c>
      <c r="T148" s="96" t="s">
        <v>726</v>
      </c>
      <c r="Y148" s="780">
        <v>500</v>
      </c>
      <c r="Z148" s="780">
        <v>500</v>
      </c>
    </row>
    <row r="149" spans="1:26">
      <c r="C149" s="121" t="s">
        <v>531</v>
      </c>
      <c r="D149" s="891" t="s">
        <v>727</v>
      </c>
      <c r="N149" s="3" t="s">
        <v>666</v>
      </c>
      <c r="O149" s="780">
        <v>100</v>
      </c>
      <c r="T149" s="96" t="s">
        <v>1222</v>
      </c>
      <c r="X149" s="1299" t="s">
        <v>666</v>
      </c>
      <c r="Y149" s="780">
        <f>IF(AND(SSAPhaseDownCheckbox="X",SmallIsolated912Checkbox="X"),O148,0)</f>
        <v>0</v>
      </c>
      <c r="Z149" s="780">
        <f>IF(AND(SSAPhaseDownCheckbox="X",SmallIsolated912Checkbox&lt;&gt;"X"),O148,0)</f>
        <v>0</v>
      </c>
    </row>
    <row r="150" spans="1:26">
      <c r="C150" s="121" t="s">
        <v>633</v>
      </c>
      <c r="D150" s="891" t="s">
        <v>728</v>
      </c>
      <c r="N150" s="3" t="s">
        <v>668</v>
      </c>
      <c r="O150" s="780">
        <f>IF(O148&gt;0,O148-O149,0)</f>
        <v>0</v>
      </c>
      <c r="U150" s="96" t="s">
        <v>667</v>
      </c>
      <c r="X150" s="1299" t="s">
        <v>668</v>
      </c>
      <c r="Y150" s="780">
        <f>IF(Y149&gt;0,Y148-Y149,0)</f>
        <v>0</v>
      </c>
      <c r="Z150" s="780">
        <f>IF(Z149&gt;0,Z148-Z149,0)</f>
        <v>0</v>
      </c>
    </row>
    <row r="151" spans="1:26">
      <c r="C151" s="121" t="s">
        <v>689</v>
      </c>
      <c r="D151" s="891" t="s">
        <v>739</v>
      </c>
      <c r="N151" s="3" t="s">
        <v>670</v>
      </c>
      <c r="O151" s="780">
        <f>IF(AND(O148&gt;0,SSAPhaseDownCheckbox="X",SmallIsolatedPSD8Checkbox="X"),Y154,IF(AND(O148&gt;0,SSAPhaseDownCheckbox="X",SmallIsolatedPSD8Checkbox&lt;&gt;"X"),Z154,0))</f>
        <v>0</v>
      </c>
      <c r="U151" s="96" t="s">
        <v>730</v>
      </c>
      <c r="X151" s="1299" t="s">
        <v>670</v>
      </c>
      <c r="Y151" s="780">
        <v>5.0000000000000001E-4</v>
      </c>
      <c r="Z151" s="780">
        <v>4.0000000000000002E-4</v>
      </c>
    </row>
    <row r="152" spans="1:26">
      <c r="C152" s="121" t="s">
        <v>690</v>
      </c>
      <c r="D152" s="891" t="s">
        <v>731</v>
      </c>
      <c r="N152" s="3" t="s">
        <v>668</v>
      </c>
      <c r="O152" s="780">
        <f>ROUND(O150*O151,30)</f>
        <v>0</v>
      </c>
      <c r="U152" s="96" t="s">
        <v>732</v>
      </c>
      <c r="X152" s="1299" t="s">
        <v>668</v>
      </c>
      <c r="Y152" s="780">
        <f>Y150*Y151</f>
        <v>0</v>
      </c>
      <c r="Z152" s="780">
        <f>Z150*Z151</f>
        <v>0</v>
      </c>
    </row>
    <row r="153" spans="1:26">
      <c r="C153" s="121" t="s">
        <v>692</v>
      </c>
      <c r="D153" s="891" t="s">
        <v>733</v>
      </c>
      <c r="N153" s="3" t="s">
        <v>670</v>
      </c>
      <c r="O153" s="817">
        <f>IF(O148&gt;0,'Data Entry'!L65,0)</f>
        <v>0</v>
      </c>
      <c r="U153" s="96" t="s">
        <v>734</v>
      </c>
      <c r="X153" s="1299" t="s">
        <v>672</v>
      </c>
      <c r="Y153" s="841">
        <v>1.468</v>
      </c>
      <c r="Z153" s="841">
        <v>1.3979999999999999</v>
      </c>
    </row>
    <row r="154" spans="1:26">
      <c r="C154" s="121" t="s">
        <v>693</v>
      </c>
      <c r="D154" s="891" t="s">
        <v>735</v>
      </c>
      <c r="P154" s="96" t="s">
        <v>666</v>
      </c>
      <c r="Q154" s="881" t="s">
        <v>370</v>
      </c>
      <c r="R154" s="882">
        <f>ROUND(O152*O153,2)</f>
        <v>0</v>
      </c>
      <c r="T154" s="96" t="s">
        <v>1223</v>
      </c>
      <c r="X154" s="1299" t="s">
        <v>668</v>
      </c>
      <c r="Y154" s="780">
        <f>IF(Y149&gt;0,Y152+Y153,0)</f>
        <v>0</v>
      </c>
      <c r="Z154" s="780">
        <f>IF(Z149&gt;0,Z152+Z153,0)</f>
        <v>0</v>
      </c>
    </row>
    <row r="155" spans="1:26">
      <c r="C155" s="121" t="s">
        <v>695</v>
      </c>
      <c r="D155" s="891" t="s">
        <v>740</v>
      </c>
      <c r="Q155" s="881" t="s">
        <v>370</v>
      </c>
      <c r="R155" s="882">
        <f>IF(O148&gt;0,R147-R154,0)</f>
        <v>0</v>
      </c>
    </row>
    <row r="157" spans="1:26" ht="23.25" customHeight="1">
      <c r="A157" s="120"/>
      <c r="B157" s="1529" t="s">
        <v>22</v>
      </c>
      <c r="C157" s="1793" t="s">
        <v>741</v>
      </c>
      <c r="D157" s="1793"/>
      <c r="E157" s="1793"/>
      <c r="F157" s="1793"/>
      <c r="G157" s="1793"/>
      <c r="H157" s="1793"/>
      <c r="I157" s="1793"/>
      <c r="J157" s="1793"/>
      <c r="K157" s="1793"/>
      <c r="L157" s="1793"/>
      <c r="M157" s="1793"/>
      <c r="N157" s="1793"/>
      <c r="O157" s="1793"/>
      <c r="P157" s="1327"/>
      <c r="Q157" s="881" t="s">
        <v>370</v>
      </c>
      <c r="R157" s="882">
        <f>SSAPDRCL10</f>
        <v>0</v>
      </c>
    </row>
    <row r="158" spans="1:26">
      <c r="B158" s="210" t="s">
        <v>42</v>
      </c>
      <c r="C158" s="96" t="s">
        <v>742</v>
      </c>
      <c r="Q158" s="881" t="s">
        <v>370</v>
      </c>
      <c r="R158" s="882">
        <f>R144+R155+R157</f>
        <v>0</v>
      </c>
    </row>
    <row r="159" spans="1:26">
      <c r="B159" s="210" t="s">
        <v>111</v>
      </c>
      <c r="C159" s="96" t="s">
        <v>743</v>
      </c>
      <c r="Q159" s="881" t="s">
        <v>370</v>
      </c>
      <c r="R159" s="882">
        <f>IF(R158&gt;0,RCL*0.1,0)</f>
        <v>0</v>
      </c>
    </row>
    <row r="160" spans="1:26">
      <c r="B160" s="210" t="s">
        <v>113</v>
      </c>
      <c r="C160" s="96" t="s">
        <v>744</v>
      </c>
      <c r="Q160" s="881" t="s">
        <v>370</v>
      </c>
      <c r="R160" s="882">
        <f>MAX(R158,R159)</f>
        <v>0</v>
      </c>
    </row>
    <row r="163" spans="1:32" ht="30" customHeight="1">
      <c r="A163" s="1879" t="s">
        <v>745</v>
      </c>
      <c r="B163" s="1879"/>
      <c r="C163" s="1879"/>
      <c r="D163" s="1879"/>
      <c r="E163" s="1879"/>
      <c r="F163" s="1879"/>
      <c r="G163" s="1879"/>
      <c r="H163" s="1879"/>
      <c r="I163" s="1879"/>
      <c r="J163" s="1879"/>
      <c r="K163" s="1879"/>
      <c r="L163" s="1879"/>
      <c r="M163" s="1879"/>
      <c r="N163" s="1879"/>
      <c r="O163" s="1879"/>
      <c r="P163" s="1879"/>
      <c r="Q163" s="1879"/>
      <c r="R163" s="1879"/>
    </row>
    <row r="165" spans="1:32" ht="34.5" customHeight="1">
      <c r="A165" s="1877" t="s">
        <v>746</v>
      </c>
      <c r="B165" s="1877"/>
      <c r="C165" s="1877"/>
      <c r="D165" s="1877"/>
      <c r="E165" s="1877"/>
      <c r="F165" s="1877"/>
      <c r="G165" s="1877"/>
      <c r="H165" s="1877"/>
      <c r="I165" s="1877"/>
      <c r="J165" s="1877"/>
      <c r="K165" s="1877"/>
      <c r="L165" s="1877"/>
      <c r="M165" s="1877"/>
      <c r="N165" s="1877"/>
      <c r="O165" s="1877"/>
      <c r="P165" s="1877"/>
      <c r="Q165" s="1877"/>
      <c r="R165" s="1877"/>
    </row>
    <row r="167" spans="1:32" ht="34.5" customHeight="1">
      <c r="A167" s="1633" t="s">
        <v>1224</v>
      </c>
      <c r="B167" s="1633"/>
      <c r="C167" s="1633"/>
      <c r="D167" s="1633"/>
      <c r="E167" s="1633"/>
      <c r="F167" s="1633"/>
      <c r="G167" s="1633"/>
      <c r="H167" s="1633"/>
      <c r="I167" s="1633"/>
      <c r="J167" s="1633"/>
      <c r="K167" s="1633"/>
      <c r="L167" s="1633"/>
      <c r="M167" s="1633"/>
      <c r="N167" s="1633"/>
      <c r="O167" s="1633"/>
      <c r="P167" s="1633"/>
      <c r="Q167" s="1633"/>
      <c r="R167" s="1633"/>
      <c r="S167" s="452"/>
      <c r="AF167" s="1234" t="s">
        <v>1225</v>
      </c>
    </row>
    <row r="169" spans="1:32">
      <c r="B169" s="210" t="s">
        <v>6</v>
      </c>
      <c r="C169" s="96" t="s">
        <v>747</v>
      </c>
    </row>
    <row r="170" spans="1:32">
      <c r="C170" s="194" t="s">
        <v>529</v>
      </c>
      <c r="D170" s="96" t="s">
        <v>1218</v>
      </c>
      <c r="O170" s="780">
        <f>IF(AND(SSAPhaseDownCheckbox="X",SSAFYExceeded&gt;=2000,UnweightedStudCntK8PY&gt;125,UnweightedStudCntK8PY&lt;181),UnweightedStudCntK8PY,0)</f>
        <v>0</v>
      </c>
    </row>
    <row r="171" spans="1:32">
      <c r="C171" s="1299" t="s">
        <v>530</v>
      </c>
      <c r="D171" s="96" t="s">
        <v>727</v>
      </c>
      <c r="N171" s="3" t="s">
        <v>666</v>
      </c>
      <c r="O171" s="780">
        <v>125</v>
      </c>
    </row>
    <row r="172" spans="1:32">
      <c r="C172" s="1299" t="s">
        <v>531</v>
      </c>
      <c r="D172" s="96" t="s">
        <v>728</v>
      </c>
      <c r="N172" s="3" t="s">
        <v>668</v>
      </c>
      <c r="O172" s="780">
        <f>IF(O170&gt;0,O170-O171,0)</f>
        <v>0</v>
      </c>
    </row>
    <row r="173" spans="1:32">
      <c r="C173" s="1299" t="s">
        <v>633</v>
      </c>
      <c r="D173" s="96" t="s">
        <v>748</v>
      </c>
      <c r="N173" s="3" t="s">
        <v>670</v>
      </c>
      <c r="O173" s="780">
        <v>4.4999999999999997E-3</v>
      </c>
    </row>
    <row r="174" spans="1:32">
      <c r="C174" s="1299" t="s">
        <v>689</v>
      </c>
      <c r="D174" s="96" t="s">
        <v>749</v>
      </c>
      <c r="N174" s="3" t="s">
        <v>668</v>
      </c>
      <c r="O174" s="780">
        <f>ROUND(O172*O173,3)</f>
        <v>0</v>
      </c>
    </row>
    <row r="175" spans="1:32">
      <c r="C175" s="1299" t="s">
        <v>690</v>
      </c>
      <c r="D175" s="96" t="s">
        <v>750</v>
      </c>
      <c r="N175" s="3"/>
      <c r="O175" s="780">
        <f>IF(O170&gt;0,0.35-O174,0)</f>
        <v>0</v>
      </c>
    </row>
    <row r="176" spans="1:32">
      <c r="C176" s="1299" t="s">
        <v>692</v>
      </c>
      <c r="D176" s="1225" t="s">
        <v>751</v>
      </c>
      <c r="E176" s="1226"/>
      <c r="F176" s="1226"/>
      <c r="N176" s="3" t="s">
        <v>670</v>
      </c>
      <c r="O176" s="817">
        <f>IF(O170&gt;0,DSLRCLPSD8,0)</f>
        <v>0</v>
      </c>
    </row>
    <row r="177" spans="2:25">
      <c r="C177" s="1299" t="s">
        <v>693</v>
      </c>
      <c r="D177" s="96" t="s">
        <v>752</v>
      </c>
      <c r="Q177" s="881" t="s">
        <v>370</v>
      </c>
      <c r="R177" s="882">
        <f>IF(O175*O176&gt;0,ROUND(O175*O176,2),0)</f>
        <v>0</v>
      </c>
    </row>
    <row r="179" spans="2:25">
      <c r="B179" s="210" t="s">
        <v>8</v>
      </c>
      <c r="C179" s="96" t="s">
        <v>753</v>
      </c>
    </row>
    <row r="180" spans="2:25">
      <c r="C180" s="194" t="s">
        <v>529</v>
      </c>
      <c r="D180" s="96" t="s">
        <v>1221</v>
      </c>
      <c r="O180" s="780">
        <f>IF(AND(SSAPhaseDownCheckbox="X",SSAFYExceeded&gt;=2000,UnweightedStudCnt912PY&gt;100,UnweightedStudCnt912PY&lt;185),UnweightedStudCnt912PY,0)</f>
        <v>0</v>
      </c>
    </row>
    <row r="181" spans="2:25">
      <c r="C181" s="1299" t="s">
        <v>530</v>
      </c>
      <c r="D181" s="96" t="s">
        <v>727</v>
      </c>
      <c r="N181" s="3" t="s">
        <v>666</v>
      </c>
      <c r="O181" s="780">
        <v>100</v>
      </c>
    </row>
    <row r="182" spans="2:25">
      <c r="C182" s="1299" t="s">
        <v>531</v>
      </c>
      <c r="D182" s="96" t="s">
        <v>728</v>
      </c>
      <c r="N182" s="3" t="s">
        <v>668</v>
      </c>
      <c r="O182" s="780">
        <f>IF(O180&gt;0,O180-O181,0)</f>
        <v>0</v>
      </c>
    </row>
    <row r="183" spans="2:25">
      <c r="C183" s="1299" t="s">
        <v>633</v>
      </c>
      <c r="D183" s="96" t="s">
        <v>748</v>
      </c>
      <c r="N183" s="3" t="s">
        <v>670</v>
      </c>
      <c r="O183" s="780">
        <v>6.4999999999999997E-3</v>
      </c>
    </row>
    <row r="184" spans="2:25">
      <c r="C184" s="1299" t="s">
        <v>689</v>
      </c>
      <c r="D184" s="96" t="s">
        <v>749</v>
      </c>
      <c r="N184" s="3" t="s">
        <v>668</v>
      </c>
      <c r="O184" s="780">
        <f>ROUND(O182*O183,3)</f>
        <v>0</v>
      </c>
    </row>
    <row r="185" spans="2:25">
      <c r="C185" s="1299" t="s">
        <v>690</v>
      </c>
      <c r="D185" s="96" t="s">
        <v>754</v>
      </c>
      <c r="N185" s="3"/>
      <c r="O185" s="780">
        <f>IF(O180&gt;0,0.65-O184,0)</f>
        <v>0</v>
      </c>
    </row>
    <row r="186" spans="2:25">
      <c r="C186" s="1299" t="s">
        <v>692</v>
      </c>
      <c r="D186" s="892" t="s">
        <v>755</v>
      </c>
      <c r="E186" s="892"/>
      <c r="F186" s="892"/>
      <c r="N186" s="3" t="s">
        <v>670</v>
      </c>
      <c r="O186" s="817">
        <f>IF(O180&gt;0,DSLRCL912,0)</f>
        <v>0</v>
      </c>
    </row>
    <row r="187" spans="2:25">
      <c r="C187" s="1299" t="s">
        <v>693</v>
      </c>
      <c r="D187" s="96" t="s">
        <v>756</v>
      </c>
      <c r="Q187" s="881" t="s">
        <v>370</v>
      </c>
      <c r="R187" s="882">
        <f>IF(O185*O186&gt;0,ROUND(O185*O186,2),0)</f>
        <v>0</v>
      </c>
    </row>
    <row r="188" spans="2:25">
      <c r="U188" s="1828" t="s">
        <v>757</v>
      </c>
      <c r="V188" s="1828"/>
      <c r="W188" s="1828"/>
      <c r="X188" s="1828"/>
      <c r="Y188" s="207"/>
    </row>
    <row r="189" spans="2:25" ht="23.25" customHeight="1">
      <c r="B189" s="1529" t="s">
        <v>22</v>
      </c>
      <c r="C189" s="1793" t="s">
        <v>741</v>
      </c>
      <c r="D189" s="1793"/>
      <c r="E189" s="1793"/>
      <c r="F189" s="1793"/>
      <c r="G189" s="1793"/>
      <c r="H189" s="1793"/>
      <c r="I189" s="1793"/>
      <c r="J189" s="1793"/>
      <c r="K189" s="1793"/>
      <c r="L189" s="1793"/>
      <c r="M189" s="1793"/>
      <c r="N189" s="1793"/>
      <c r="O189" s="1793"/>
      <c r="Q189" s="881" t="s">
        <v>370</v>
      </c>
      <c r="R189" s="882">
        <f>SSAPDRCL10</f>
        <v>0</v>
      </c>
      <c r="U189" s="1901" t="s">
        <v>758</v>
      </c>
      <c r="V189" s="1902"/>
      <c r="W189" s="1902"/>
      <c r="X189" s="1903"/>
      <c r="Y189" s="94">
        <f>IF(AND(SSAPhaseDownCheckbox="X",SSAFYExceeded&gt;=2000,UnweightedStudCnt912PY&gt;100,UnweightedStudCnt912PY&lt;185),('BSA55'!G144*RCL),0)</f>
        <v>0</v>
      </c>
    </row>
    <row r="190" spans="2:25">
      <c r="B190" s="210" t="s">
        <v>42</v>
      </c>
      <c r="C190" s="300" t="s">
        <v>759</v>
      </c>
      <c r="D190" s="300"/>
      <c r="E190" s="300"/>
      <c r="F190" s="300"/>
      <c r="G190" s="300"/>
      <c r="H190" s="300"/>
      <c r="I190" s="300"/>
      <c r="J190" s="509"/>
      <c r="Q190" s="881" t="s">
        <v>370</v>
      </c>
      <c r="R190" s="882">
        <f>R177+R187+R189</f>
        <v>0</v>
      </c>
      <c r="U190" s="1901" t="s">
        <v>760</v>
      </c>
      <c r="V190" s="1902"/>
      <c r="W190" s="1902"/>
      <c r="X190" s="1903"/>
      <c r="Y190" s="893">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10" t="s">
        <v>111</v>
      </c>
      <c r="C191" s="96" t="s">
        <v>761</v>
      </c>
      <c r="Q191" s="881" t="s">
        <v>370</v>
      </c>
      <c r="R191" s="882">
        <f>IF(R190&gt;0,DSLRCLTotal*0.1,0)</f>
        <v>0</v>
      </c>
      <c r="U191" s="1901" t="s">
        <v>762</v>
      </c>
      <c r="V191" s="1902"/>
      <c r="W191" s="1902"/>
      <c r="X191" s="1903"/>
      <c r="Y191" s="94">
        <f>IF(AND(SSAPhaseDownCheckbox="X",SSAFYExceeded&gt;=2000,UnweightedStudCnt912PY&gt;100,UnweightedStudCnt912PY&lt;185),RCL,0)</f>
        <v>0</v>
      </c>
    </row>
    <row r="192" spans="2:25" ht="12.75" customHeight="1">
      <c r="B192" s="210" t="s">
        <v>113</v>
      </c>
      <c r="C192" s="300" t="s">
        <v>744</v>
      </c>
      <c r="Q192" s="881" t="s">
        <v>370</v>
      </c>
      <c r="R192" s="882">
        <f>MAX(R190,R191)</f>
        <v>0</v>
      </c>
      <c r="U192" s="1901" t="s">
        <v>763</v>
      </c>
      <c r="V192" s="1902"/>
      <c r="W192" s="1902"/>
      <c r="X192" s="1903"/>
      <c r="Y192" s="94">
        <f>Y190*Y191</f>
        <v>0</v>
      </c>
    </row>
    <row r="193" spans="1:25">
      <c r="U193" s="1901" t="s">
        <v>764</v>
      </c>
      <c r="V193" s="1902"/>
      <c r="W193" s="1902"/>
      <c r="X193" s="1903"/>
      <c r="Y193" s="894">
        <f>Y189-Y192</f>
        <v>0</v>
      </c>
    </row>
    <row r="194" spans="1:25">
      <c r="U194" s="1901" t="s">
        <v>765</v>
      </c>
      <c r="V194" s="1902"/>
      <c r="W194" s="1902"/>
      <c r="X194" s="1903"/>
      <c r="Y194" s="894">
        <f>Y193*0.1</f>
        <v>0</v>
      </c>
    </row>
    <row r="197" spans="1:25" ht="31.5" customHeight="1">
      <c r="A197" s="1880" t="s">
        <v>766</v>
      </c>
      <c r="B197" s="1880"/>
      <c r="C197" s="1880"/>
      <c r="D197" s="1880"/>
      <c r="E197" s="1880"/>
      <c r="F197" s="1880"/>
      <c r="G197" s="1880"/>
      <c r="H197" s="1880"/>
      <c r="I197" s="1880"/>
      <c r="J197" s="1880"/>
      <c r="K197" s="1880"/>
      <c r="L197" s="1880"/>
      <c r="M197" s="1880"/>
      <c r="N197" s="1880"/>
      <c r="O197" s="1880"/>
      <c r="P197" s="1880"/>
      <c r="Q197" s="1880"/>
      <c r="R197" s="1880"/>
      <c r="S197" s="1880"/>
    </row>
    <row r="199" spans="1:25" ht="24.75" customHeight="1">
      <c r="B199" s="1877" t="s">
        <v>767</v>
      </c>
      <c r="C199" s="1877"/>
      <c r="D199" s="1877"/>
      <c r="E199" s="1877"/>
      <c r="F199" s="1877"/>
      <c r="G199" s="1877"/>
      <c r="H199" s="1877"/>
      <c r="I199" s="1877"/>
      <c r="J199" s="1877"/>
      <c r="K199" s="1877"/>
      <c r="L199" s="1877"/>
      <c r="M199" s="1877"/>
      <c r="N199" s="1877"/>
      <c r="O199" s="1877"/>
      <c r="P199" s="1877"/>
      <c r="Q199" s="1877"/>
      <c r="R199" s="1877"/>
    </row>
    <row r="201" spans="1:25">
      <c r="B201" s="210" t="s">
        <v>6</v>
      </c>
      <c r="C201" s="96" t="s">
        <v>645</v>
      </c>
      <c r="R201" s="817">
        <f>'Data Entry'!L128</f>
        <v>0</v>
      </c>
    </row>
    <row r="202" spans="1:25">
      <c r="B202" s="210" t="s">
        <v>8</v>
      </c>
      <c r="C202" s="96" t="s">
        <v>768</v>
      </c>
      <c r="Q202" s="96" t="s">
        <v>670</v>
      </c>
      <c r="R202" s="817">
        <v>0.05</v>
      </c>
    </row>
    <row r="203" spans="1:25">
      <c r="B203" s="210" t="s">
        <v>22</v>
      </c>
      <c r="C203" s="96" t="s">
        <v>769</v>
      </c>
      <c r="Q203" s="96" t="s">
        <v>668</v>
      </c>
      <c r="R203" s="841">
        <f>IF(R201&gt;0,R201*R202,0)</f>
        <v>0</v>
      </c>
    </row>
    <row r="204" spans="1:25" ht="23.25" customHeight="1">
      <c r="B204" s="828" t="s">
        <v>42</v>
      </c>
      <c r="C204" s="1633" t="s">
        <v>770</v>
      </c>
      <c r="D204" s="1633"/>
      <c r="E204" s="1633"/>
      <c r="F204" s="1633"/>
      <c r="G204" s="1633"/>
      <c r="H204" s="1633"/>
      <c r="I204" s="1633"/>
      <c r="J204" s="1633"/>
      <c r="K204" s="1633"/>
      <c r="L204" s="1633"/>
      <c r="R204" s="841">
        <f>'Data Entry'!L129</f>
        <v>0</v>
      </c>
    </row>
    <row r="206" spans="1:25">
      <c r="B206" s="117" t="s">
        <v>771</v>
      </c>
    </row>
    <row r="208" spans="1:25">
      <c r="B208" s="210" t="s">
        <v>111</v>
      </c>
      <c r="C208" s="895" t="s">
        <v>772</v>
      </c>
      <c r="R208" s="817">
        <f>'Data Entry'!L130</f>
        <v>0</v>
      </c>
    </row>
    <row r="209" spans="2:18">
      <c r="B209" s="210" t="s">
        <v>113</v>
      </c>
      <c r="C209" s="895" t="s">
        <v>773</v>
      </c>
      <c r="Q209" s="3" t="s">
        <v>666</v>
      </c>
      <c r="R209" s="817">
        <f>'Data Entry'!L131</f>
        <v>0</v>
      </c>
    </row>
    <row r="210" spans="2:18">
      <c r="B210" s="210" t="s">
        <v>115</v>
      </c>
      <c r="C210" s="895" t="s">
        <v>774</v>
      </c>
      <c r="Q210" s="96" t="s">
        <v>668</v>
      </c>
      <c r="R210" s="817">
        <f>IF(R208-R209&gt;0,R208-R209,0)</f>
        <v>0</v>
      </c>
    </row>
    <row r="211" spans="2:18">
      <c r="B211" s="210" t="s">
        <v>117</v>
      </c>
      <c r="C211" s="895" t="s">
        <v>775</v>
      </c>
      <c r="L211" s="1299" t="s">
        <v>776</v>
      </c>
      <c r="N211" s="1299" t="s">
        <v>670</v>
      </c>
      <c r="O211" s="817">
        <v>0.75</v>
      </c>
      <c r="Q211" s="96" t="s">
        <v>668</v>
      </c>
      <c r="R211" s="817">
        <f>IF(OR(Cover!FiscalYear='Data Entry'!L127+1,Cover!FiscalYear='Data Entry'!L127+2,Cover!FiscalYear='Data Entry'!L127+3),R210*O211,0)</f>
        <v>0</v>
      </c>
    </row>
    <row r="212" spans="2:18">
      <c r="B212" s="210" t="s">
        <v>119</v>
      </c>
      <c r="C212" s="895" t="s">
        <v>777</v>
      </c>
      <c r="L212" s="1299" t="s">
        <v>778</v>
      </c>
      <c r="N212" s="1299" t="s">
        <v>670</v>
      </c>
      <c r="O212" s="817">
        <v>0.5</v>
      </c>
      <c r="Q212" s="96" t="s">
        <v>668</v>
      </c>
      <c r="R212" s="817">
        <f>IF(OR(Cover!FiscalYear='Data Entry'!L127+2,Cover!FiscalYear='Data Entry'!L127+3),R210*O211,0)</f>
        <v>0</v>
      </c>
    </row>
    <row r="213" spans="2:18">
      <c r="B213" s="210" t="s">
        <v>121</v>
      </c>
      <c r="C213" s="895" t="s">
        <v>779</v>
      </c>
      <c r="L213" s="1299" t="s">
        <v>780</v>
      </c>
      <c r="N213" s="1299" t="s">
        <v>670</v>
      </c>
      <c r="O213" s="817">
        <v>0.25</v>
      </c>
      <c r="Q213" s="96" t="s">
        <v>668</v>
      </c>
      <c r="R213" s="817">
        <f>IF(Cover!FiscalYear='Data Entry'!L127+3,R210*O211,0)</f>
        <v>0</v>
      </c>
    </row>
    <row r="214" spans="2:18">
      <c r="B214" s="210" t="s">
        <v>123</v>
      </c>
      <c r="C214" s="895" t="s">
        <v>781</v>
      </c>
      <c r="R214" s="817">
        <f>R211+R212+R213</f>
        <v>0</v>
      </c>
    </row>
    <row r="215" spans="2:18">
      <c r="C215" s="895"/>
    </row>
    <row r="216" spans="2:18" ht="34.5" customHeight="1">
      <c r="B216" s="1877" t="s">
        <v>782</v>
      </c>
      <c r="C216" s="1877"/>
      <c r="D216" s="1877"/>
      <c r="E216" s="1877"/>
      <c r="F216" s="1877"/>
      <c r="G216" s="1877"/>
      <c r="H216" s="1877"/>
      <c r="I216" s="1877"/>
      <c r="J216" s="1877"/>
      <c r="K216" s="1877"/>
      <c r="L216" s="1877"/>
      <c r="M216" s="1877"/>
      <c r="N216" s="1877"/>
      <c r="O216" s="1877"/>
      <c r="P216" s="1877"/>
      <c r="Q216" s="1877"/>
      <c r="R216" s="1877"/>
    </row>
    <row r="218" spans="2:18">
      <c r="B218" s="210" t="s">
        <v>125</v>
      </c>
      <c r="C218" s="96" t="s">
        <v>783</v>
      </c>
    </row>
    <row r="219" spans="2:18">
      <c r="C219" s="1299" t="s">
        <v>529</v>
      </c>
      <c r="D219" s="895" t="s">
        <v>784</v>
      </c>
      <c r="Q219" s="881" t="s">
        <v>370</v>
      </c>
      <c r="R219" s="882">
        <f>IF(AND('Data Entry'!C133="X",'Data Entry'!L129&gt;=500,Cover!FiscalYear='Data Entry'!L127+1),650000,0)</f>
        <v>0</v>
      </c>
    </row>
    <row r="220" spans="2:18">
      <c r="C220" s="1299" t="s">
        <v>530</v>
      </c>
      <c r="D220" s="895" t="s">
        <v>785</v>
      </c>
      <c r="Q220" s="881" t="s">
        <v>370</v>
      </c>
      <c r="R220" s="882">
        <f>IF(AND('Data Entry'!C133="X",'Data Entry'!L129&gt;=500,Cover!FiscalYear='Data Entry'!L127+2),600000,0)</f>
        <v>0</v>
      </c>
    </row>
    <row r="221" spans="2:18">
      <c r="C221" s="1299" t="s">
        <v>531</v>
      </c>
      <c r="D221" s="895" t="s">
        <v>786</v>
      </c>
      <c r="Q221" s="881" t="s">
        <v>370</v>
      </c>
      <c r="R221" s="882">
        <f>IF(AND('Data Entry'!C133="X",'Data Entry'!L129&gt;=500,Cover!FiscalYear='Data Entry'!L127+3),500000,0)</f>
        <v>0</v>
      </c>
    </row>
    <row r="222" spans="2:18">
      <c r="C222" s="1299" t="s">
        <v>633</v>
      </c>
      <c r="D222" s="895" t="s">
        <v>787</v>
      </c>
      <c r="Q222" s="881" t="s">
        <v>370</v>
      </c>
      <c r="R222" s="882">
        <f>IF(AND('Data Entry'!C133="X",'Data Entry'!L129&gt;=500,Cover!FiscalYear='Data Entry'!L127+4),300000,0)</f>
        <v>0</v>
      </c>
    </row>
    <row r="223" spans="2:18">
      <c r="C223" s="1299" t="s">
        <v>689</v>
      </c>
      <c r="D223" s="895" t="s">
        <v>788</v>
      </c>
      <c r="Q223" s="881" t="s">
        <v>370</v>
      </c>
      <c r="R223" s="882">
        <f>IF(AND('Data Entry'!C133="X",'Data Entry'!L129&gt;=500,Cover!FiscalYear='Data Entry'!L127+5),100000,0)</f>
        <v>0</v>
      </c>
    </row>
    <row r="224" spans="2:18">
      <c r="B224" s="210" t="s">
        <v>127</v>
      </c>
      <c r="C224" s="96" t="s">
        <v>789</v>
      </c>
    </row>
    <row r="225" spans="1:18">
      <c r="C225" s="1299" t="s">
        <v>529</v>
      </c>
      <c r="D225" s="895" t="s">
        <v>790</v>
      </c>
      <c r="Q225" s="881" t="s">
        <v>370</v>
      </c>
      <c r="R225" s="882">
        <f>IF(AND(VALUE(LEFT(RIGHT(O1,7),2))=5,'Data Entry'!C133="X",'Data Entry'!L129&gt;=50,Cover!FiscalYear='Data Entry'!L127+1),100000,0)</f>
        <v>0</v>
      </c>
    </row>
    <row r="226" spans="1:18">
      <c r="C226" s="1299" t="s">
        <v>530</v>
      </c>
      <c r="D226" s="895" t="s">
        <v>791</v>
      </c>
      <c r="Q226" s="881" t="s">
        <v>370</v>
      </c>
      <c r="R226" s="882">
        <f>IF(AND(VALUE(LEFT(RIGHT(O1,7),2))=5,'Data Entry'!C133="X",'Data Entry'!L135&gt;=50,Cover!FiscalYear='Data Entry'!L127+2),200000,0)</f>
        <v>0</v>
      </c>
    </row>
    <row r="227" spans="1:18">
      <c r="C227" s="1299" t="s">
        <v>531</v>
      </c>
      <c r="D227" s="895" t="s">
        <v>792</v>
      </c>
      <c r="Q227" s="881" t="s">
        <v>370</v>
      </c>
      <c r="R227" s="882">
        <f>IF(AND(VALUE(LEFT(RIGHT(O1,7),2))=5,'Data Entry'!C133="X",'Data Entry'!L136&gt;=50,Cover!FiscalYear='Data Entry'!L127+3),325000,0)</f>
        <v>0</v>
      </c>
    </row>
    <row r="228" spans="1:18">
      <c r="C228" s="1299" t="s">
        <v>633</v>
      </c>
      <c r="D228" s="895" t="s">
        <v>793</v>
      </c>
      <c r="Q228" s="881" t="s">
        <v>370</v>
      </c>
      <c r="R228" s="882">
        <f>IF(AND(VALUE(LEFT(RIGHT(O1,7),2))=5,'Data Entry'!C133="X",Cover!FiscalYear='Data Entry'!L127+4),200000,0)</f>
        <v>0</v>
      </c>
    </row>
    <row r="229" spans="1:18">
      <c r="C229" s="1299" t="s">
        <v>689</v>
      </c>
      <c r="D229" s="895" t="s">
        <v>794</v>
      </c>
      <c r="Q229" s="881" t="s">
        <v>370</v>
      </c>
      <c r="R229" s="882">
        <f>IF(AND(VALUE(LEFT(RIGHT(O1,7),2))=5,'Data Entry'!C133="X",Cover!FiscalYear='Data Entry'!L127+5),100000,0)</f>
        <v>0</v>
      </c>
    </row>
    <row r="232" spans="1:18" ht="15.75" customHeight="1">
      <c r="A232" s="846" t="s">
        <v>795</v>
      </c>
      <c r="B232" s="846"/>
      <c r="C232" s="846"/>
      <c r="D232" s="846"/>
      <c r="E232" s="846"/>
      <c r="F232" s="846"/>
      <c r="G232" s="846"/>
      <c r="H232" s="846"/>
      <c r="I232" s="846"/>
      <c r="J232" s="846"/>
      <c r="K232" s="846"/>
      <c r="L232" s="846"/>
    </row>
    <row r="233" spans="1:18" ht="8.25" customHeight="1"/>
    <row r="234" spans="1:18">
      <c r="B234" s="210" t="s">
        <v>6</v>
      </c>
      <c r="C234" s="896" t="s">
        <v>796</v>
      </c>
      <c r="Q234" s="881" t="s">
        <v>370</v>
      </c>
      <c r="R234" s="882">
        <f>F001P530</f>
        <v>0</v>
      </c>
    </row>
    <row r="235" spans="1:18">
      <c r="B235" s="210" t="s">
        <v>8</v>
      </c>
      <c r="C235" s="897" t="s">
        <v>797</v>
      </c>
      <c r="Q235" s="881" t="s">
        <v>370</v>
      </c>
      <c r="R235" s="882">
        <f>R214+(IF(AND(Cover!FiscalYear='Data Entry'!L127+1,(R219+R225)&gt;0),R219+R225,IF(AND(Cover!FiscalYear='Data Entry'!L127+2,(R220+R226)&gt;0),R220+R226,IF(AND(Cover!FiscalYear='Data Entry'!L127+3,(R221+R227)&gt;0),R221+R227,IF(AND(Cover!FiscalYear='Data Entry'!L127+4,(R222+R228)&gt;0),R222+R228,IF(AND(Cover!FiscalYear='Data Entry'!L127+5,(R223+R229)&gt;0),R223+R229,0))))))</f>
        <v>0</v>
      </c>
    </row>
    <row r="236" spans="1:18">
      <c r="B236" s="210" t="s">
        <v>22</v>
      </c>
      <c r="C236" s="896" t="s">
        <v>798</v>
      </c>
      <c r="Q236" s="881" t="s">
        <v>370</v>
      </c>
      <c r="R236" s="882">
        <f>'Truth in Tax'!I31</f>
        <v>0</v>
      </c>
    </row>
    <row r="237" spans="1:18">
      <c r="B237" s="210" t="s">
        <v>42</v>
      </c>
      <c r="C237" s="896" t="s">
        <v>799</v>
      </c>
      <c r="Q237" s="881" t="s">
        <v>370</v>
      </c>
      <c r="R237" s="882">
        <f>F001P540</f>
        <v>0</v>
      </c>
    </row>
    <row r="238" spans="1:18">
      <c r="B238" s="210" t="s">
        <v>111</v>
      </c>
      <c r="C238" s="896" t="s">
        <v>800</v>
      </c>
      <c r="Q238" s="881" t="s">
        <v>370</v>
      </c>
      <c r="R238" s="882">
        <f>'Truth in Tax'!I29</f>
        <v>0</v>
      </c>
    </row>
    <row r="239" spans="1:18" ht="23.25" customHeight="1">
      <c r="B239" s="828" t="s">
        <v>113</v>
      </c>
      <c r="C239" s="1633" t="s">
        <v>801</v>
      </c>
      <c r="D239" s="1633"/>
      <c r="E239" s="1633"/>
      <c r="F239" s="1633"/>
      <c r="G239" s="1633"/>
      <c r="H239" s="1633"/>
      <c r="I239" s="1633"/>
      <c r="J239" s="1633"/>
      <c r="K239" s="1633"/>
      <c r="L239" s="1633"/>
      <c r="Q239" s="881" t="s">
        <v>370</v>
      </c>
      <c r="R239" s="882">
        <f>IF(AND(SSA_MO&lt;=50000,OR('Data Entry'!Y29=1,'Data Entry'!Z29=1)),SSA_MO,0)</f>
        <v>0</v>
      </c>
    </row>
  </sheetData>
  <sheetProtection formatCells="0" formatColumns="0" formatRows="0"/>
  <mergeCells count="64">
    <mergeCell ref="U194:X194"/>
    <mergeCell ref="U188:X188"/>
    <mergeCell ref="U189:X189"/>
    <mergeCell ref="U190:X190"/>
    <mergeCell ref="U191:X191"/>
    <mergeCell ref="U192:X192"/>
    <mergeCell ref="U193:X193"/>
    <mergeCell ref="T136:U136"/>
    <mergeCell ref="T147:U147"/>
    <mergeCell ref="C146:Q146"/>
    <mergeCell ref="C157:O157"/>
    <mergeCell ref="A165:R165"/>
    <mergeCell ref="T39:V40"/>
    <mergeCell ref="J11:K11"/>
    <mergeCell ref="J12:K12"/>
    <mergeCell ref="J13:K13"/>
    <mergeCell ref="J14:K14"/>
    <mergeCell ref="J15:K15"/>
    <mergeCell ref="T33:V33"/>
    <mergeCell ref="J31:K31"/>
    <mergeCell ref="J28:K28"/>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A197:S197"/>
    <mergeCell ref="K95:L95"/>
    <mergeCell ref="A167:R167"/>
    <mergeCell ref="C91:I91"/>
    <mergeCell ref="C103:J103"/>
    <mergeCell ref="C122:N122"/>
    <mergeCell ref="A133:R133"/>
    <mergeCell ref="C119:L120"/>
    <mergeCell ref="C125:J125"/>
    <mergeCell ref="A131:R131"/>
    <mergeCell ref="C189:O189"/>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s>
  <hyperlinks>
    <hyperlink ref="D176" r:id="rId1" display="G. K-8 Revenue Control Limit (2)" xr:uid="{00000000-0004-0000-0F00-000000000000}"/>
    <hyperlink ref="D186" r:id="rId2" display="G. 9-12 Revenue Control Limit" xr:uid="{00000000-0004-0000-0F00-000001000000}"/>
    <hyperlink ref="B84" location="BUDG75Adj" display="2." xr:uid="{00000000-0004-0000-0F00-000002000000}"/>
    <hyperlink ref="B90" location="PYTotMOActExpend" display="8." xr:uid="{00000000-0004-0000-0F00-000003000000}"/>
    <hyperlink ref="B95" location="PYActExpend" display="10." xr:uid="{00000000-0004-0000-0F00-000004000000}"/>
    <hyperlink ref="C107" location="PYEndMOCash" display="a." xr:uid="{00000000-0004-0000-0F00-000005000000}"/>
    <hyperlink ref="C112" location="AccommRCL10" display="b." xr:uid="{00000000-0004-0000-0F00-000006000000}"/>
    <hyperlink ref="C113" location="AccommRCL05" display="c." xr:uid="{00000000-0004-0000-0F00-000007000000}"/>
    <hyperlink ref="B118" location="CYIARev" display="1." xr:uid="{00000000-0004-0000-0F00-000008000000}"/>
    <hyperlink ref="B119" location="CYIARevBondDS" display="2." xr:uid="{00000000-0004-0000-0F00-000009000000}"/>
    <hyperlink ref="B122" location="CYIAMOTRCL" display="4." xr:uid="{00000000-0004-0000-0F00-00000A000000}"/>
    <hyperlink ref="B123" location="CYIAMOTax" display="5." xr:uid="{00000000-0004-0000-0F00-00000B000000}"/>
    <hyperlink ref="B124" location="PYIAEndCash" display="6." xr:uid="{00000000-0004-0000-0F00-00000C000000}"/>
    <hyperlink ref="B157" location="SSAPDRCL10" display="3." xr:uid="{00000000-0004-0000-0F00-00000D000000}"/>
    <hyperlink ref="B189" location="SSAPDRCL10" display="3." xr:uid="{00000000-0004-0000-0F00-00000E000000}"/>
  </hyperlinks>
  <printOptions horizontalCentered="1"/>
  <pageMargins left="0.25" right="0.25" top="0.25" bottom="0.25" header="0" footer="0.15"/>
  <pageSetup paperSize="5" scale="19" orientation="landscape" r:id="rId3"/>
  <headerFooter alignWithMargins="0">
    <oddFooter>&amp;L&amp;"Times New Roman,Bold"&amp;9Rev. 5/25&amp;K000000 Arizona Department of Education and Auditor General&amp;C&amp;"Times New Roman,Regular"&amp;9&amp;D  &amp;T</oddFooter>
  </headerFooter>
  <rowBreaks count="2" manualBreakCount="2">
    <brk id="116" max="18" man="1"/>
    <brk id="193" max="18" man="1"/>
  </rowBreaks>
  <colBreaks count="1" manualBreakCount="1">
    <brk id="19" max="1048575" man="1"/>
  </colBreaks>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346"/>
  <sheetViews>
    <sheetView showGridLines="0" topLeftCell="A99" workbookViewId="0">
      <selection activeCell="A112" sqref="A112"/>
    </sheetView>
  </sheetViews>
  <sheetFormatPr defaultColWidth="8.90625" defaultRowHeight="15" customHeight="1"/>
  <cols>
    <col min="1" max="1" width="34.90625" style="97" customWidth="1"/>
    <col min="2" max="2" width="9.90625" style="97" customWidth="1"/>
    <col min="3" max="4" width="9.08984375" style="97" customWidth="1"/>
    <col min="5" max="5" width="11.90625" style="97" customWidth="1"/>
    <col min="6" max="6" width="13.90625" style="97" customWidth="1"/>
    <col min="7" max="7" width="11.90625" style="97" customWidth="1"/>
    <col min="8" max="8" width="11.453125" style="97" customWidth="1"/>
    <col min="9" max="9" width="10.90625" style="97" customWidth="1"/>
    <col min="10" max="10" width="10.08984375" style="97" customWidth="1"/>
    <col min="11" max="11" width="10.90625" style="97" customWidth="1"/>
    <col min="12" max="12" width="15.453125" style="97" bestFit="1" customWidth="1"/>
    <col min="13" max="13" width="10.08984375" style="127" bestFit="1" customWidth="1"/>
    <col min="14" max="26" width="8.90625" style="97" customWidth="1"/>
    <col min="27" max="27" width="8.90625" style="150" customWidth="1"/>
    <col min="28" max="32" width="8.90625" style="97" customWidth="1"/>
    <col min="33" max="16384" width="8.90625" style="97"/>
  </cols>
  <sheetData>
    <row r="1" spans="1:27" ht="15" customHeight="1">
      <c r="A1" s="898" t="s">
        <v>59</v>
      </c>
      <c r="B1" s="1907" t="str">
        <f>DistrictName</f>
        <v>Murphy Elementary School District #21</v>
      </c>
      <c r="C1" s="1907"/>
      <c r="D1" s="1907"/>
      <c r="E1" s="1907"/>
      <c r="F1" s="898" t="s">
        <v>1</v>
      </c>
      <c r="G1" s="1906" t="str">
        <f>Cover!H1</f>
        <v>Maricopa</v>
      </c>
      <c r="H1" s="1907"/>
      <c r="I1" s="1907"/>
      <c r="K1" s="898" t="s">
        <v>60</v>
      </c>
      <c r="L1" s="1908" t="str">
        <f>CTD</f>
        <v>070421000</v>
      </c>
      <c r="M1" s="1908"/>
      <c r="AA1" s="127"/>
    </row>
    <row r="2" spans="1:27" ht="15" customHeight="1">
      <c r="A2" s="1341"/>
      <c r="B2" s="1341"/>
      <c r="C2" s="357"/>
      <c r="D2" s="3"/>
      <c r="E2" s="1341"/>
      <c r="F2" s="357"/>
      <c r="G2" s="3"/>
      <c r="H2" s="3"/>
      <c r="I2" s="96"/>
      <c r="K2" s="898" t="s">
        <v>16</v>
      </c>
      <c r="L2" s="1902" t="str">
        <f>Version</f>
        <v>Proposed</v>
      </c>
      <c r="M2" s="1902"/>
      <c r="AA2" s="127"/>
    </row>
    <row r="3" spans="1:27" ht="15" customHeight="1">
      <c r="B3" s="899"/>
      <c r="C3" s="899"/>
      <c r="D3" s="1830" t="str">
        <f>IF(DistrictName&lt;&gt;0,DistrictName,"")</f>
        <v>Murphy Elementary School District #21</v>
      </c>
      <c r="E3" s="1830"/>
      <c r="F3" s="1830"/>
      <c r="G3" s="1830"/>
      <c r="H3" s="1830"/>
      <c r="I3" s="899"/>
      <c r="J3" s="899"/>
      <c r="K3" s="899"/>
      <c r="L3" s="899"/>
      <c r="M3" s="899"/>
      <c r="AA3" s="127"/>
    </row>
    <row r="4" spans="1:27" ht="34.5" customHeight="1">
      <c r="B4" s="314"/>
      <c r="C4" s="314"/>
      <c r="D4" s="1904" t="s">
        <v>802</v>
      </c>
      <c r="E4" s="1904"/>
      <c r="F4" s="1904"/>
      <c r="G4" s="1904"/>
      <c r="H4" s="1904"/>
      <c r="I4" s="314"/>
      <c r="J4" s="314"/>
      <c r="K4" s="314"/>
      <c r="L4" s="314"/>
      <c r="M4" s="314"/>
      <c r="AA4" s="127"/>
    </row>
    <row r="5" spans="1:27" ht="15" customHeight="1" thickBot="1">
      <c r="A5" s="874"/>
      <c r="B5" s="874"/>
      <c r="C5" s="900"/>
      <c r="D5" s="900"/>
      <c r="E5" s="874"/>
      <c r="F5" s="901" t="s">
        <v>803</v>
      </c>
      <c r="G5" s="902" t="str">
        <f>IF(AND(SmallIsolatedPSD8Checkbox="X",SmallIsolated912Checkbox="X"),"Both Elementary and High School",IF(SmallIsolatedPSD8Checkbox="X","Elementary",IF(SmallIsolated912Checkbox="X","High School","Not Isolated")))</f>
        <v>Not Isolated</v>
      </c>
      <c r="H5" s="874"/>
      <c r="I5" s="874"/>
      <c r="J5" s="874"/>
      <c r="K5" s="900"/>
      <c r="L5" s="903" t="s">
        <v>804</v>
      </c>
      <c r="M5" s="903" t="s">
        <v>805</v>
      </c>
      <c r="AA5" s="127"/>
    </row>
    <row r="6" spans="1:27" ht="26.25" customHeight="1">
      <c r="A6" s="904" t="s">
        <v>806</v>
      </c>
      <c r="B6" s="96"/>
      <c r="C6" s="905" t="s">
        <v>807</v>
      </c>
      <c r="D6" s="905" t="s">
        <v>808</v>
      </c>
      <c r="E6" s="905" t="s">
        <v>809</v>
      </c>
      <c r="F6" s="905" t="s">
        <v>662</v>
      </c>
      <c r="G6" s="905" t="s">
        <v>810</v>
      </c>
      <c r="H6" s="905" t="s">
        <v>811</v>
      </c>
      <c r="I6" s="905" t="s">
        <v>812</v>
      </c>
      <c r="AA6" s="127"/>
    </row>
    <row r="7" spans="1:27" ht="15" customHeight="1">
      <c r="A7" s="906" t="s">
        <v>590</v>
      </c>
      <c r="B7" s="96"/>
      <c r="C7" s="907">
        <f>NonAOIStudCntPSDCY</f>
        <v>7.65</v>
      </c>
      <c r="D7" s="907">
        <f>AOIFTStudCntPSDCY</f>
        <v>0</v>
      </c>
      <c r="E7" s="908">
        <f>AOIPTStudCntPSDCY</f>
        <v>0</v>
      </c>
      <c r="F7" s="909">
        <f>IF(AND(C7=0,D7=0,E7=0),0,1.45)</f>
        <v>1.45</v>
      </c>
      <c r="G7" s="908">
        <f>NonAOIStudCntPSDCY*F7</f>
        <v>11.092499999999999</v>
      </c>
      <c r="H7" s="908">
        <f>AOIFTStudCntPSDCY*F7</f>
        <v>0</v>
      </c>
      <c r="I7" s="908">
        <f>AOIPTStudCntPSDCY*F7</f>
        <v>0</v>
      </c>
      <c r="AA7" s="127"/>
    </row>
    <row r="8" spans="1:27" ht="15" customHeight="1">
      <c r="A8" s="906" t="s">
        <v>813</v>
      </c>
      <c r="B8" s="96"/>
      <c r="C8" s="907">
        <f>NonAOIStudCntK8CY</f>
        <v>922.35</v>
      </c>
      <c r="D8" s="907">
        <f>AOIFTStudCntK8CY</f>
        <v>0</v>
      </c>
      <c r="E8" s="908">
        <f>AOIPTStudCntK8CY</f>
        <v>0</v>
      </c>
      <c r="F8" s="909">
        <f>IF(UnweightedStudCntK8CY&gt;0,AA13,0)</f>
        <v>1.1579999999999999</v>
      </c>
      <c r="G8" s="908">
        <f>NonAOIStudCntK8CY*F8</f>
        <v>1068.0813000000001</v>
      </c>
      <c r="H8" s="908">
        <f>AOIFTStudCntK8CY*F8</f>
        <v>0</v>
      </c>
      <c r="I8" s="908">
        <f>AOIPTStudCntK8CY*F8</f>
        <v>0</v>
      </c>
      <c r="AA8" s="127"/>
    </row>
    <row r="9" spans="1:27" ht="15" customHeight="1">
      <c r="A9" s="906" t="s">
        <v>592</v>
      </c>
      <c r="B9" s="96"/>
      <c r="C9" s="907">
        <f>NonAOIStudCnt912CY</f>
        <v>0</v>
      </c>
      <c r="D9" s="910">
        <f>AOIFTStudCnt912CY</f>
        <v>0</v>
      </c>
      <c r="E9" s="908">
        <f>AOIPTStudCnt912CY</f>
        <v>0</v>
      </c>
      <c r="F9" s="909">
        <f>IF(VALUE(LEFT(RIGHT(L1,7),2))=8,SuppLvlWgt912NonIsolated,IF(UnweightedStudCnt912CY&gt;0,AA15,0))</f>
        <v>0</v>
      </c>
      <c r="G9" s="908">
        <f>NonAOIStudCnt912CY*F9</f>
        <v>0</v>
      </c>
      <c r="H9" s="911">
        <f>AOIFTStudCnt912CY*F9</f>
        <v>0</v>
      </c>
      <c r="I9" s="908">
        <f>AOIPTStudCnt912CY*F9</f>
        <v>0</v>
      </c>
      <c r="AA9" s="127"/>
    </row>
    <row r="10" spans="1:27" ht="15" customHeight="1">
      <c r="A10" s="1330" t="s">
        <v>814</v>
      </c>
      <c r="B10" s="96"/>
      <c r="C10" s="912">
        <f>TotalNonAOIStudCntCY</f>
        <v>930</v>
      </c>
      <c r="D10" s="912">
        <f>TotalAOIFTStudCntCY</f>
        <v>0</v>
      </c>
      <c r="E10" s="913">
        <f>TotalAOIPTStudCntCY</f>
        <v>0</v>
      </c>
      <c r="F10" s="908"/>
      <c r="G10" s="908"/>
      <c r="H10" s="911"/>
      <c r="I10" s="908"/>
      <c r="AA10" s="127"/>
    </row>
    <row r="11" spans="1:27" ht="15" customHeight="1">
      <c r="A11" s="1330" t="s">
        <v>815</v>
      </c>
      <c r="B11" s="96"/>
      <c r="C11" s="908"/>
      <c r="D11" s="908"/>
      <c r="E11" s="913">
        <f>SUM(C10:E10)</f>
        <v>930</v>
      </c>
      <c r="F11" s="908"/>
      <c r="G11" s="908"/>
      <c r="H11" s="908"/>
      <c r="I11" s="908"/>
      <c r="AA11" s="127"/>
    </row>
    <row r="12" spans="1:27" ht="15" customHeight="1">
      <c r="A12" s="1330" t="s">
        <v>816</v>
      </c>
      <c r="B12" s="96"/>
      <c r="C12" s="908"/>
      <c r="D12" s="908"/>
      <c r="E12" s="908"/>
      <c r="F12" s="908"/>
      <c r="G12" s="913">
        <f>((C7*F7)+(C8*F8)+(C9*F9))</f>
        <v>1079.1738</v>
      </c>
      <c r="H12" s="913">
        <f>((D7*F7)+(D8*F8)+(D9*F9))</f>
        <v>0</v>
      </c>
      <c r="I12" s="913">
        <f>((E7*F7)+(E8*F8)+(E9*F9))</f>
        <v>0</v>
      </c>
      <c r="AA12" s="127"/>
    </row>
    <row r="13" spans="1:27" ht="15" customHeight="1">
      <c r="A13" s="914" t="s">
        <v>817</v>
      </c>
      <c r="B13" s="209"/>
      <c r="C13" s="911"/>
      <c r="D13" s="911"/>
      <c r="E13" s="911"/>
      <c r="F13" s="911"/>
      <c r="G13" s="911"/>
      <c r="H13" s="911"/>
      <c r="I13" s="915">
        <f>(((C7+D7+E7)*F7)+((C8+D8+E8)*F8)+((C9+D9+E9)*F9))</f>
        <v>1079.1738</v>
      </c>
      <c r="J13" s="146"/>
      <c r="K13" s="146"/>
      <c r="L13" s="146"/>
      <c r="M13" s="916"/>
      <c r="AA13" s="917">
        <f>IF(AND('Data Entry'!H34&lt;100,SmallIsolatedPSD8Checkbox="X"),Calculations!H13,IF(AND('Data Entry'!H34&lt;100,SmallIsolatedPSD8Checkbox&lt;&gt;"X"),Calculations!J13,IF(AND('Data Entry'!H34&gt;=100,'Data Entry'!H34&lt;500,SmallIsolatedPSD8Checkbox="X"),Calculations!H21,IF(AND('Data Entry'!H34&gt;=100,'Data Entry'!H34&lt;500,SmallIsolatedPSD8Checkbox&lt;&gt;"X"),Calculations!J21,IF(AND('Data Entry'!H34&gt;=500,'Data Entry'!H34&lt;600,SmallIsolatedPSD8Checkbox="X"),Calculations!H29,IF(AND('Data Entry'!H34&gt;=500,'Data Entry'!H34&lt;600,SmallIsolatedPSD8Checkbox&lt;&gt;"X"),Calculations!J29,IF('Data Entry'!H34&gt;=600,Calculations!J31,0)))))))</f>
        <v>1.1579999999999999</v>
      </c>
    </row>
    <row r="14" spans="1:27" ht="7.5" customHeight="1" thickBot="1">
      <c r="A14" s="918"/>
      <c r="B14" s="874"/>
      <c r="C14" s="919"/>
      <c r="D14" s="919"/>
      <c r="E14" s="919"/>
      <c r="F14" s="919"/>
      <c r="G14" s="919"/>
      <c r="H14" s="919"/>
      <c r="I14" s="920"/>
      <c r="J14" s="900"/>
      <c r="K14" s="900"/>
      <c r="L14" s="900"/>
      <c r="M14" s="921"/>
      <c r="AA14" s="922"/>
    </row>
    <row r="15" spans="1:27" s="146" customFormat="1" ht="7.5" customHeight="1">
      <c r="A15" s="209"/>
      <c r="B15" s="209"/>
      <c r="C15" s="209"/>
      <c r="D15" s="209"/>
      <c r="E15" s="209"/>
      <c r="F15" s="209"/>
      <c r="G15" s="209"/>
      <c r="H15" s="209"/>
      <c r="I15" s="209"/>
      <c r="M15" s="916"/>
      <c r="AA15" s="923">
        <f>IF(AND('Data Entry'!I34&lt;100,SmallIsolated912Checkbox="X"),Calculations!I13,IF(AND('Data Entry'!I34&lt;100,SmallIsolated912Checkbox&lt;&gt;"X"),Calculations!L13,IF(AND('Data Entry'!I34&gt;=100,'Data Entry'!I34&lt;500,SmallIsolated912Checkbox="X"),Calculations!I21,IF(AND('Data Entry'!I34&gt;=100,'Data Entry'!I34&lt;500,SmallIsolated912Checkbox&lt;&gt;"X"),Calculations!L21,IF(AND('Data Entry'!I34&gt;=500,'Data Entry'!I34&lt;600,SmallIsolated912Checkbox="X"),Calculations!I29,IF(AND('Data Entry'!I34&gt;=500,'Data Entry'!I34&lt;600,SmallIsolated912Checkbox&lt;&gt;"X"),Calculations!L29,IF('Data Entry'!I34&gt;=600,Calculations!L31,0)))))))</f>
        <v>1.5589999999999999</v>
      </c>
    </row>
    <row r="16" spans="1:27" ht="26.25" customHeight="1">
      <c r="A16" s="924" t="s">
        <v>818</v>
      </c>
      <c r="B16" s="273"/>
      <c r="C16" s="905" t="s">
        <v>807</v>
      </c>
      <c r="D16" s="905" t="s">
        <v>808</v>
      </c>
      <c r="E16" s="905" t="s">
        <v>809</v>
      </c>
      <c r="F16" s="905" t="s">
        <v>662</v>
      </c>
      <c r="G16" s="905" t="s">
        <v>810</v>
      </c>
      <c r="H16" s="905" t="s">
        <v>811</v>
      </c>
      <c r="I16" s="905" t="s">
        <v>812</v>
      </c>
      <c r="AA16" s="127"/>
    </row>
    <row r="17" spans="1:27" ht="15" customHeight="1">
      <c r="A17" s="288" t="s">
        <v>603</v>
      </c>
      <c r="B17" s="273"/>
      <c r="C17" s="908">
        <f>NonAOIStudCntELL</f>
        <v>377.11439999999999</v>
      </c>
      <c r="D17" s="908">
        <f>AOIFTStudCntELL</f>
        <v>0</v>
      </c>
      <c r="E17" s="908">
        <f>AOIPTStudCntELL</f>
        <v>0</v>
      </c>
      <c r="F17" s="909">
        <v>0.115</v>
      </c>
      <c r="G17" s="908">
        <f>NonAOIStudCntELL*F17</f>
        <v>43.368200000000002</v>
      </c>
      <c r="H17" s="908">
        <f>AOIFTStudCntELL*F17</f>
        <v>0</v>
      </c>
      <c r="I17" s="908">
        <f>AOIPTStudCntELL*F17</f>
        <v>0</v>
      </c>
      <c r="AA17" s="127"/>
    </row>
    <row r="18" spans="1:27" ht="15" customHeight="1">
      <c r="A18" s="288" t="s">
        <v>602</v>
      </c>
      <c r="B18" s="273"/>
      <c r="C18" s="908">
        <f>NonAOIStudCntK3</f>
        <v>377.11439999999999</v>
      </c>
      <c r="D18" s="908">
        <f>AOIFTStudCntK3</f>
        <v>0</v>
      </c>
      <c r="E18" s="908">
        <f>AOIPTStudCntK3</f>
        <v>0</v>
      </c>
      <c r="F18" s="909">
        <v>0.06</v>
      </c>
      <c r="G18" s="908">
        <f>NonAOIStudCntK3*F18</f>
        <v>22.626899999999999</v>
      </c>
      <c r="H18" s="908">
        <f>AOIFTStudCntK3*F18</f>
        <v>0</v>
      </c>
      <c r="I18" s="908">
        <f>AOIPTStudCntK3*F18</f>
        <v>0</v>
      </c>
      <c r="AA18" s="127"/>
    </row>
    <row r="19" spans="1:27" ht="15" customHeight="1">
      <c r="A19" s="288" t="s">
        <v>819</v>
      </c>
      <c r="B19" s="273"/>
      <c r="C19" s="908">
        <f>NonAOIStudCntK3R</f>
        <v>419.68779999999998</v>
      </c>
      <c r="D19" s="908">
        <f>AOIFTStudCntK3R</f>
        <v>0</v>
      </c>
      <c r="E19" s="908">
        <f>AOIPTStudCntK3R</f>
        <v>0</v>
      </c>
      <c r="F19" s="909">
        <v>0.04</v>
      </c>
      <c r="G19" s="908">
        <f>NonAOIStudCntK3R*F19</f>
        <v>16.787500000000001</v>
      </c>
      <c r="H19" s="908">
        <f>AOIFTStudCntK3R*F19</f>
        <v>0</v>
      </c>
      <c r="I19" s="908">
        <f>AOIPTStudCntK3R*F19</f>
        <v>0</v>
      </c>
      <c r="AA19" s="127"/>
    </row>
    <row r="20" spans="1:27" ht="15" customHeight="1">
      <c r="A20" s="288" t="s">
        <v>604</v>
      </c>
      <c r="B20" s="273"/>
      <c r="C20" s="908">
        <f>NonAOIStudCntHI</f>
        <v>1</v>
      </c>
      <c r="D20" s="908">
        <f>AOIFTStudCntHI</f>
        <v>0</v>
      </c>
      <c r="E20" s="908">
        <f>AOIPTStudCntHI</f>
        <v>0</v>
      </c>
      <c r="F20" s="909">
        <v>4.7709999999999999</v>
      </c>
      <c r="G20" s="908">
        <f>NonAOIStudCntHI*F20</f>
        <v>4.7709999999999999</v>
      </c>
      <c r="H20" s="908">
        <f>AOIFTStudCntHI*F20</f>
        <v>0</v>
      </c>
      <c r="I20" s="908">
        <f>AOIPTStudCntHI*F20</f>
        <v>0</v>
      </c>
      <c r="AA20" s="127"/>
    </row>
    <row r="21" spans="1:27" ht="15" customHeight="1">
      <c r="A21" s="288" t="s">
        <v>820</v>
      </c>
      <c r="B21" s="273"/>
      <c r="C21" s="908">
        <f>NonAOIStudCntMDR.AR.SIDR</f>
        <v>9.35</v>
      </c>
      <c r="D21" s="908">
        <f>AOIFTStudCntMDR.AR.SIDR</f>
        <v>0</v>
      </c>
      <c r="E21" s="908">
        <f>AOIPTStudCntMDR.AR.SIDR</f>
        <v>0</v>
      </c>
      <c r="F21" s="909">
        <v>6.024</v>
      </c>
      <c r="G21" s="908">
        <f>NonAOIStudCntMDR.AR.SIDR*F21</f>
        <v>56.324399999999997</v>
      </c>
      <c r="H21" s="908">
        <f>AOIFTStudCntMDR.AR.SIDR*F21</f>
        <v>0</v>
      </c>
      <c r="I21" s="908">
        <f>AOIPTStudCntMDR.AR.SIDR*F21</f>
        <v>0</v>
      </c>
      <c r="AA21" s="127"/>
    </row>
    <row r="22" spans="1:27" ht="15" customHeight="1">
      <c r="A22" s="925" t="s">
        <v>821</v>
      </c>
      <c r="B22" s="273"/>
      <c r="C22" s="908">
        <f>NonAOIStudCntMDSC.ASC.SIDSC</f>
        <v>11.08</v>
      </c>
      <c r="D22" s="908">
        <f>AOIFTStudCntMDSC.ASC.SIDSC</f>
        <v>0</v>
      </c>
      <c r="E22" s="908">
        <f>AOIPTStudCntMDSC.ASC.SIDSC</f>
        <v>0</v>
      </c>
      <c r="F22" s="926">
        <v>5.9880000000000004</v>
      </c>
      <c r="G22" s="908">
        <f>NonAOIStudCntMDSC.ASC.SIDSC*F22</f>
        <v>66.346999999999994</v>
      </c>
      <c r="H22" s="908">
        <f>AOIFTStudCntMDSC.ASC.SIDSC*F22</f>
        <v>0</v>
      </c>
      <c r="I22" s="908">
        <f>AOIPTStudCntMDSC.ASC.SIDSC*F22</f>
        <v>0</v>
      </c>
      <c r="AA22" s="127"/>
    </row>
    <row r="23" spans="1:27" ht="15" customHeight="1">
      <c r="A23" s="925" t="s">
        <v>607</v>
      </c>
      <c r="B23" s="273"/>
      <c r="C23" s="908">
        <f>NonAOIStudCntMDSSI</f>
        <v>1</v>
      </c>
      <c r="D23" s="908">
        <f>AOIFTStudCntMDSSI</f>
        <v>0</v>
      </c>
      <c r="E23" s="908">
        <f>AOIPTStudCntMDSSI</f>
        <v>0</v>
      </c>
      <c r="F23" s="926">
        <v>7.9470000000000001</v>
      </c>
      <c r="G23" s="908">
        <f>NonAOIStudCntMDSSI*F23</f>
        <v>7.9470000000000001</v>
      </c>
      <c r="H23" s="908">
        <f>AOIFTStudCntMDSSI*F23</f>
        <v>0</v>
      </c>
      <c r="I23" s="908">
        <f>AOIPTStudCntMDSSI*F23</f>
        <v>0</v>
      </c>
      <c r="AA23" s="127"/>
    </row>
    <row r="24" spans="1:27" ht="15" customHeight="1">
      <c r="A24" s="925" t="s">
        <v>608</v>
      </c>
      <c r="B24" s="273"/>
      <c r="C24" s="908">
        <f>NonAOIStudCntOIR</f>
        <v>1</v>
      </c>
      <c r="D24" s="908">
        <f>AOIFTStudCntOIR</f>
        <v>0</v>
      </c>
      <c r="E24" s="908">
        <f>AOIPTStudCntOIR</f>
        <v>0</v>
      </c>
      <c r="F24" s="926">
        <v>3.1579999999999999</v>
      </c>
      <c r="G24" s="908">
        <f>NonAOIStudCntOIR*F24</f>
        <v>3.1579999999999999</v>
      </c>
      <c r="H24" s="908">
        <f>AOIFTStudCntOIR*F24</f>
        <v>0</v>
      </c>
      <c r="I24" s="908">
        <f>AOIPTStudCntOIR*F24</f>
        <v>0</v>
      </c>
      <c r="AA24" s="127"/>
    </row>
    <row r="25" spans="1:27" ht="15" customHeight="1">
      <c r="A25" s="925" t="s">
        <v>609</v>
      </c>
      <c r="B25" s="273"/>
      <c r="C25" s="908">
        <f>NonAOIStudCntOISC</f>
        <v>4</v>
      </c>
      <c r="D25" s="908">
        <f>AOIFTStudCntOISC</f>
        <v>0</v>
      </c>
      <c r="E25" s="908">
        <f>AOIPTStudCntOISC</f>
        <v>0</v>
      </c>
      <c r="F25" s="926">
        <v>6.7729999999999997</v>
      </c>
      <c r="G25" s="908">
        <f>NonAOIStudCntOISC*F25</f>
        <v>27.091999999999999</v>
      </c>
      <c r="H25" s="908">
        <f>AOIFTStudCntOISC*F25</f>
        <v>0</v>
      </c>
      <c r="I25" s="908">
        <f>AOIPTStudCntOISC*F25</f>
        <v>0</v>
      </c>
      <c r="AA25" s="127"/>
    </row>
    <row r="26" spans="1:27" ht="15" customHeight="1">
      <c r="A26" s="925" t="s">
        <v>610</v>
      </c>
      <c r="B26" s="273"/>
      <c r="C26" s="908">
        <f>NonAOIStudCntP.SD</f>
        <v>0.5</v>
      </c>
      <c r="D26" s="908">
        <f>AOIFTStudCntP.SD</f>
        <v>0</v>
      </c>
      <c r="E26" s="908">
        <f>AOIPTStudCntP.SD</f>
        <v>0</v>
      </c>
      <c r="F26" s="926">
        <v>3.5950000000000002</v>
      </c>
      <c r="G26" s="908">
        <f>NonAOIStudCntP.SD*F26</f>
        <v>1.7975000000000001</v>
      </c>
      <c r="H26" s="908">
        <f>AOIFTStudCntP.SD*F26</f>
        <v>0</v>
      </c>
      <c r="I26" s="908">
        <f>AOIPTStudCntP.SD*F26</f>
        <v>0</v>
      </c>
      <c r="M26" s="97"/>
      <c r="AA26" s="97"/>
    </row>
    <row r="27" spans="1:27" ht="15" customHeight="1">
      <c r="A27" s="925" t="s">
        <v>822</v>
      </c>
      <c r="B27" s="273"/>
      <c r="C27" s="908">
        <f>NonAOIStudCntDD.ED.MIID.SLD.SLI.OHI</f>
        <v>72.524299999999997</v>
      </c>
      <c r="D27" s="908">
        <f>AOIFTStudCntDD.ED.MIID.SLD.SLI.OHI</f>
        <v>0</v>
      </c>
      <c r="E27" s="908">
        <f>AOIPTStudCntDD.ED.MIID.SLD.SLI.OHI</f>
        <v>0</v>
      </c>
      <c r="F27" s="909">
        <v>0.29199999999999998</v>
      </c>
      <c r="G27" s="908">
        <f>NonAOIStudCntDD.ED.MIID.SLD.SLI.OHI*F27</f>
        <v>21.177099999999999</v>
      </c>
      <c r="H27" s="908">
        <f>AOIFTStudCntDD.ED.MIID.SLD.SLI.OHI*F27</f>
        <v>0</v>
      </c>
      <c r="I27" s="908">
        <f>AOIPTStudCntDD.ED.MIID.SLD.SLI.OHI*F27</f>
        <v>0</v>
      </c>
      <c r="AA27" s="127"/>
    </row>
    <row r="28" spans="1:27" ht="15" customHeight="1">
      <c r="A28" s="925" t="s">
        <v>613</v>
      </c>
      <c r="B28" s="273"/>
      <c r="C28" s="908">
        <f>NonAOIStudCntEDP</f>
        <v>1</v>
      </c>
      <c r="D28" s="908">
        <f>AOIFTStudCntEDP</f>
        <v>0</v>
      </c>
      <c r="E28" s="908">
        <f>AOIPTStudCntEDP</f>
        <v>0</v>
      </c>
      <c r="F28" s="926">
        <v>4.8220000000000001</v>
      </c>
      <c r="G28" s="908">
        <f>NonAOIStudCntEDP*F28</f>
        <v>4.8220000000000001</v>
      </c>
      <c r="H28" s="908">
        <f>AOIFTStudCntEDP*F28</f>
        <v>0</v>
      </c>
      <c r="I28" s="908">
        <f>AOIPTStudCntEDP*F28</f>
        <v>0</v>
      </c>
      <c r="AA28" s="127"/>
    </row>
    <row r="29" spans="1:27" ht="15" customHeight="1">
      <c r="A29" s="925" t="s">
        <v>614</v>
      </c>
      <c r="B29" s="273"/>
      <c r="C29" s="908">
        <f>NonAOIStudCntMOID</f>
        <v>1.49</v>
      </c>
      <c r="D29" s="908">
        <f>AOIFTStudCntMOID</f>
        <v>0</v>
      </c>
      <c r="E29" s="908">
        <f>AOIPTStudCntMOID</f>
        <v>0</v>
      </c>
      <c r="F29" s="926">
        <v>4.4210000000000003</v>
      </c>
      <c r="G29" s="908">
        <f>NonAOIStudCntMOID*F29</f>
        <v>6.5872999999999999</v>
      </c>
      <c r="H29" s="908">
        <f>AOIFTStudCntMOID*F29</f>
        <v>0</v>
      </c>
      <c r="I29" s="908">
        <f>AOIPTStudCntMOID*F29</f>
        <v>0</v>
      </c>
      <c r="AA29" s="127"/>
    </row>
    <row r="30" spans="1:27" ht="15" customHeight="1">
      <c r="A30" s="925" t="s">
        <v>615</v>
      </c>
      <c r="B30" s="273"/>
      <c r="C30" s="908">
        <f>NonAOIStudCntVI</f>
        <v>0</v>
      </c>
      <c r="D30" s="908">
        <f>AOIFTStudCntVI</f>
        <v>0</v>
      </c>
      <c r="E30" s="908">
        <f>AOIPTStudCntVI</f>
        <v>0</v>
      </c>
      <c r="F30" s="926">
        <v>4.806</v>
      </c>
      <c r="G30" s="908">
        <f>NonAOIStudCntVI*F30</f>
        <v>0</v>
      </c>
      <c r="H30" s="908">
        <f>AOIFTStudCntVI*F30</f>
        <v>0</v>
      </c>
      <c r="I30" s="908">
        <f>AOIPTStudCntVI*F30</f>
        <v>0</v>
      </c>
      <c r="AA30" s="127"/>
    </row>
    <row r="31" spans="1:27" ht="15" customHeight="1">
      <c r="A31" s="288" t="s">
        <v>617</v>
      </c>
      <c r="C31" s="908">
        <f>NonAOIStudCntFRPL</f>
        <v>737.21929999999998</v>
      </c>
      <c r="D31" s="908">
        <f>AOIFTStudCntFRPL</f>
        <v>0</v>
      </c>
      <c r="E31" s="908">
        <f>AOIPTStudCntFRPL</f>
        <v>0</v>
      </c>
      <c r="F31" s="909">
        <v>2.1999999999999999E-2</v>
      </c>
      <c r="G31" s="908">
        <f>NonAOIStudCntFRPL*F31</f>
        <v>16.218800000000002</v>
      </c>
      <c r="H31" s="908">
        <f>AOIFTStudCntFRPL*F31</f>
        <v>0</v>
      </c>
      <c r="I31" s="908">
        <f>AOIPTStudCntFRPL*F31</f>
        <v>0</v>
      </c>
      <c r="AA31" s="127"/>
    </row>
    <row r="32" spans="1:27" ht="15" customHeight="1">
      <c r="A32" s="925" t="s">
        <v>616</v>
      </c>
      <c r="B32" s="273"/>
      <c r="C32" s="908">
        <f>NonAOIStudCntG</f>
        <v>0</v>
      </c>
      <c r="D32" s="908">
        <f>AOIFTStudCntG</f>
        <v>0</v>
      </c>
      <c r="E32" s="908">
        <f>AOIPTStudCntG</f>
        <v>0</v>
      </c>
      <c r="F32" s="926">
        <v>7.0000000000000001E-3</v>
      </c>
      <c r="G32" s="908">
        <f>NonAOIStudCntG*F32</f>
        <v>0</v>
      </c>
      <c r="H32" s="908">
        <f>AOIFTStudCntG*F32</f>
        <v>0</v>
      </c>
      <c r="I32" s="908">
        <f>AOIPTStudCntG*F32</f>
        <v>0</v>
      </c>
      <c r="AA32" s="127"/>
    </row>
    <row r="33" spans="1:27" ht="15" customHeight="1">
      <c r="A33" s="927" t="s">
        <v>823</v>
      </c>
      <c r="B33" s="927"/>
      <c r="C33" s="915">
        <f>SUM(C17:C32)</f>
        <v>2014.0802000000001</v>
      </c>
      <c r="D33" s="915">
        <f>SUM(D17:D32)</f>
        <v>0</v>
      </c>
      <c r="E33" s="915">
        <f>SUM(E17:E32)</f>
        <v>0</v>
      </c>
      <c r="F33" s="928"/>
      <c r="G33" s="913"/>
      <c r="H33" s="913"/>
      <c r="I33" s="913"/>
      <c r="M33" s="97"/>
      <c r="AA33" s="97"/>
    </row>
    <row r="34" spans="1:27" ht="15" customHeight="1">
      <c r="A34" s="927" t="s">
        <v>824</v>
      </c>
      <c r="B34" s="927"/>
      <c r="C34" s="927"/>
      <c r="D34" s="929"/>
      <c r="E34" s="913">
        <f>SUM(C33:E33)</f>
        <v>2014.0802000000001</v>
      </c>
      <c r="F34" s="930"/>
      <c r="G34" s="913"/>
      <c r="H34" s="913"/>
      <c r="I34" s="913"/>
      <c r="AA34" s="127"/>
    </row>
    <row r="35" spans="1:27" ht="15" customHeight="1">
      <c r="A35" s="927" t="s">
        <v>825</v>
      </c>
      <c r="B35" s="927"/>
      <c r="C35" s="927"/>
      <c r="D35" s="931"/>
      <c r="E35" s="930"/>
      <c r="F35" s="930"/>
      <c r="G35" s="932">
        <f>((C17*F17)+(C18*F18)+(C19*F19)+(C20*F20)+(C21*F21)+(C22*F22)+(C23*F23)+(C24*F24)+(C25*F25)+(C26*F26)+(C27*F27)+(C28*F28)+(C29*F29)+(C30*F30)+(C32*F32)+(C31*F31))</f>
        <v>299.0247</v>
      </c>
      <c r="H35" s="932">
        <f>((D17*F17)+(D18*F18)+(D19*F19)+(D20*F20)+(D21*F21)+(D22*F22)+(D23*F23)+(D24*F24)+(D25*F25)+(D26*F26)+(D27*F27)+(D28*F28)+(D29*F29)+(D30*F30)+(D32*F32)+(D31*F31))</f>
        <v>0</v>
      </c>
      <c r="I35" s="932">
        <f>((E17*F17)+(E18*F18)+(E19*F19)+(E20*F20)+(E21*F21)+(E22*F22)+(E23*F23)+(E24*F24)+(E25*F25)+(E26*F26)+(E27*F27)+(E28*F28)+(E29*F29)+(E30*F30)+(E32*F32)+(E31*F31))</f>
        <v>0</v>
      </c>
      <c r="AA35" s="127"/>
    </row>
    <row r="36" spans="1:27" ht="15" customHeight="1">
      <c r="A36" s="927" t="s">
        <v>826</v>
      </c>
      <c r="B36" s="927"/>
      <c r="C36" s="927"/>
      <c r="D36" s="931"/>
      <c r="E36" s="930"/>
      <c r="F36" s="930"/>
      <c r="G36" s="913"/>
      <c r="H36" s="913"/>
      <c r="I36" s="913">
        <f>(((C17+D17+E17)*F17)+((C18+D18+E18)*F18)+((C19+D19+E19)*F19)+((C20+D20+E20)*F20)+((C21+D21+E21)*F21)+((C22+D22+E22)*F22)+((C23+D23+E23)*F23)+((C24+D24+E24)*F24)+((C25+D25+E25)*F25)+((C26+D26+E26)*F26)+((C27+D27+E27)*F27)+((C28+D28+E28)*F28)+((C29+D29+E29)*F29)+((C30+D30+E30)*F30)+((C32+D32+E32)*F32)+((C31+D31+E31)*F31))</f>
        <v>299.0247</v>
      </c>
      <c r="AA36" s="127"/>
    </row>
    <row r="37" spans="1:27" ht="15" customHeight="1">
      <c r="B37" s="273"/>
      <c r="G37" s="273"/>
      <c r="H37" s="273"/>
      <c r="I37" s="273"/>
      <c r="AA37" s="127"/>
    </row>
    <row r="38" spans="1:27" ht="15" customHeight="1">
      <c r="A38" s="933"/>
      <c r="B38" s="1911"/>
      <c r="C38" s="1911"/>
      <c r="D38" s="1911"/>
      <c r="E38" s="933"/>
      <c r="F38" s="1911"/>
      <c r="G38" s="1912"/>
      <c r="H38" s="1912"/>
      <c r="I38" s="209"/>
      <c r="J38" s="1341"/>
      <c r="K38" s="1905"/>
      <c r="L38" s="1905" t="str">
        <f>CTD</f>
        <v>070421000</v>
      </c>
      <c r="AA38" s="127"/>
    </row>
    <row r="39" spans="1:27" ht="15" customHeight="1">
      <c r="A39" s="899"/>
      <c r="B39" s="899"/>
      <c r="C39" s="899"/>
      <c r="D39" s="1830" t="str">
        <f>IF(DistrictName&lt;&gt;0,DistrictName,"")</f>
        <v>Murphy Elementary School District #21</v>
      </c>
      <c r="E39" s="1830"/>
      <c r="F39" s="1830"/>
      <c r="G39" s="1830"/>
      <c r="H39" s="1830"/>
      <c r="I39" s="899"/>
      <c r="J39" s="899"/>
      <c r="K39" s="899"/>
      <c r="L39" s="899"/>
      <c r="M39" s="899"/>
      <c r="AA39" s="127"/>
    </row>
    <row r="40" spans="1:27" ht="34.5" customHeight="1">
      <c r="A40" s="314"/>
      <c r="B40" s="314"/>
      <c r="C40" s="314"/>
      <c r="D40" s="1904" t="s">
        <v>802</v>
      </c>
      <c r="E40" s="1904"/>
      <c r="F40" s="1904"/>
      <c r="G40" s="1904"/>
      <c r="H40" s="1904"/>
      <c r="I40" s="314"/>
      <c r="J40" s="314"/>
      <c r="K40" s="314"/>
      <c r="L40" s="314"/>
      <c r="M40" s="314"/>
      <c r="AA40" s="127"/>
    </row>
    <row r="41" spans="1:27" ht="15" customHeight="1" thickBot="1">
      <c r="A41" s="874"/>
      <c r="B41" s="874"/>
      <c r="C41" s="874"/>
      <c r="D41" s="874"/>
      <c r="E41" s="902"/>
      <c r="F41" s="901" t="s">
        <v>803</v>
      </c>
      <c r="G41" s="902" t="str">
        <f>IF(AND(SmallIsolatedPSD8Checkbox="X",SmallIsolated912Checkbox="X"),"Elementary and High School",IF(SmallIsolatedPSD8Checkbox="X","Elementary",IF(SmallIsolated912Checkbox="X","High School","Not Isolated")))</f>
        <v>Not Isolated</v>
      </c>
      <c r="H41" s="874"/>
      <c r="I41" s="874"/>
      <c r="J41" s="874"/>
      <c r="K41" s="900"/>
      <c r="L41" s="903" t="s">
        <v>804</v>
      </c>
      <c r="M41" s="903" t="s">
        <v>827</v>
      </c>
      <c r="AA41" s="127"/>
    </row>
    <row r="42" spans="1:27" ht="15" customHeight="1">
      <c r="AA42" s="127"/>
    </row>
    <row r="43" spans="1:27" ht="21.6">
      <c r="A43" s="934" t="s">
        <v>828</v>
      </c>
      <c r="B43" s="273"/>
      <c r="C43" s="273"/>
      <c r="D43" s="1351" t="s">
        <v>829</v>
      </c>
      <c r="E43" s="273"/>
      <c r="F43" s="1351" t="s">
        <v>808</v>
      </c>
      <c r="G43" s="914"/>
      <c r="H43" s="1351" t="s">
        <v>809</v>
      </c>
      <c r="I43" s="935"/>
      <c r="J43" s="935"/>
      <c r="K43" s="935"/>
      <c r="L43" s="935"/>
      <c r="M43" s="935"/>
      <c r="N43" s="935"/>
      <c r="O43" s="935"/>
      <c r="P43" s="935"/>
      <c r="Q43" s="935"/>
      <c r="AA43" s="127"/>
    </row>
    <row r="44" spans="1:27" ht="15" customHeight="1">
      <c r="A44" s="1913" t="s">
        <v>816</v>
      </c>
      <c r="B44" s="1913"/>
      <c r="C44" s="936"/>
      <c r="D44" s="937">
        <f>NonAOIRegEdWgtdADM</f>
        <v>1079.1738</v>
      </c>
      <c r="E44" s="938"/>
      <c r="F44" s="937">
        <f>AOIFTRegEdWgtdADM</f>
        <v>0</v>
      </c>
      <c r="G44" s="938"/>
      <c r="H44" s="937">
        <f>AOIPTRegEdWgtdADM</f>
        <v>0</v>
      </c>
      <c r="I44" s="939"/>
      <c r="J44" s="1623"/>
      <c r="K44" s="1623"/>
      <c r="L44" s="1623"/>
      <c r="AA44" s="127"/>
    </row>
    <row r="45" spans="1:27" ht="15" customHeight="1">
      <c r="A45" s="1913" t="s">
        <v>825</v>
      </c>
      <c r="B45" s="1913"/>
      <c r="C45" s="936" t="s">
        <v>672</v>
      </c>
      <c r="D45" s="940">
        <f>NonAOIGrBAddOnWgtdADM</f>
        <v>299.0247</v>
      </c>
      <c r="E45" s="938" t="s">
        <v>672</v>
      </c>
      <c r="F45" s="937">
        <f>AOIFTGrBAddOnWgtdADM</f>
        <v>0</v>
      </c>
      <c r="G45" s="938" t="s">
        <v>672</v>
      </c>
      <c r="H45" s="937">
        <f>AOIPTGrBAddOnWgtdADM</f>
        <v>0</v>
      </c>
      <c r="I45" s="939"/>
      <c r="J45" s="96"/>
      <c r="K45" s="939"/>
      <c r="L45" s="939"/>
      <c r="AA45" s="127"/>
    </row>
    <row r="46" spans="1:27" ht="15" customHeight="1">
      <c r="A46" s="941" t="s">
        <v>830</v>
      </c>
      <c r="B46" s="273"/>
      <c r="C46" s="936" t="s">
        <v>668</v>
      </c>
      <c r="D46" s="940">
        <f>((C7*F7)+(C8*F8)+(C9*F9)+C17*F17)+(C18*F18)+(C19*F19)+(C20*F20)+(C21*F21)+(C22*F22)+(C23*F23)+(C24*F24)+(C25*F25)+(C26*F26)+(C27*F27)+(C28*F28)+(C29*F29)+(C30*F30)+(C32*F32)+(C31*F31)</f>
        <v>1378.1985</v>
      </c>
      <c r="E46" s="938" t="s">
        <v>668</v>
      </c>
      <c r="F46" s="937">
        <f>((D7*F7)+(D8*F8)+(D9*F9)+(D17*F17)+(D18*F18)+(D19*F19)+(D20*F20)+(D21*F21)+(D22*F22)+(D23*F23)+(D24*F24)+(D25*F25)+(D26*F26)+(D27*F27)+(D28*F28)+(D29*F29)+(D30*F30)+(D32*F32)+(D31*F31))</f>
        <v>0</v>
      </c>
      <c r="G46" s="938" t="s">
        <v>668</v>
      </c>
      <c r="H46" s="937">
        <f>((E7*F7)+(E8*F8)+(E9*F9)+(E17*F17)+(E18*F18)+(E19*F19)+(E20*F20)+(E21*F21)+(E22*F22)+(E23*F23)+(E24*F24)+(E25*F25)+(E26*F26)+(E27*F27)+(E28*F28)+(E29*F29)+(E30*F30)+(E32*F32)+(E31*F31))</f>
        <v>0</v>
      </c>
      <c r="I46" s="939"/>
      <c r="J46" s="96"/>
      <c r="K46" s="939"/>
      <c r="L46" s="939"/>
      <c r="AA46" s="127"/>
    </row>
    <row r="47" spans="1:27" ht="15" customHeight="1">
      <c r="A47" s="941" t="s">
        <v>831</v>
      </c>
      <c r="B47" s="273"/>
      <c r="C47" s="936" t="s">
        <v>670</v>
      </c>
      <c r="D47" s="940">
        <v>1</v>
      </c>
      <c r="E47" s="942" t="s">
        <v>670</v>
      </c>
      <c r="F47" s="940">
        <v>0.95</v>
      </c>
      <c r="G47" s="942" t="s">
        <v>670</v>
      </c>
      <c r="H47" s="940">
        <v>0.85</v>
      </c>
      <c r="I47" s="939"/>
      <c r="J47" s="96"/>
      <c r="K47" s="939"/>
      <c r="L47" s="939"/>
      <c r="AA47" s="127"/>
    </row>
    <row r="48" spans="1:27" ht="15" customHeight="1">
      <c r="A48" s="941" t="s">
        <v>832</v>
      </c>
      <c r="B48" s="273"/>
      <c r="C48" s="936" t="s">
        <v>668</v>
      </c>
      <c r="D48" s="940">
        <f>(((C7*F7)+(C8*F8)+(C9*F9)+C17*F17)+(C18*F18)+(C19*F19)+(C20*F20)+(C21*F21)+(C22*F22)+(C23*F23)+(C24*F24)+(C25*F25)+(C26*F26)+(C27*F27)+(C28*F28)+(C29*F29)+(C30*F30)+(C32*F32)+(C31*F31))*D47</f>
        <v>1378.1985</v>
      </c>
      <c r="E48" s="942" t="s">
        <v>668</v>
      </c>
      <c r="F48" s="940">
        <f>(((D7*F7)+(D8*F8)+(D9*F9)+(D17*F17)+(D18*F18)+(D19*F19)+(D20*F20)+(D21*F21)+(D22*F22)+(D23*F23)+(D24*F24)+(D25*F25)+(D26*F26)+(D27*F27)+(D28*F28)+(D29*F29)+(D30*F30)+(D32*F32)+(D31*F31)))*F47</f>
        <v>0</v>
      </c>
      <c r="G48" s="942" t="s">
        <v>668</v>
      </c>
      <c r="H48" s="940">
        <f>(((E7*F7)+(E8*F8)+(E9*F9)+(E17*F17)+(E18*F18)+(E19*F19)+(E20*F20)+(E21*F21)+(E22*F22)+(E23*F23)+(E24*F24)+(E25*F25)+(E26*F26)+(E27*F27)+(E28*F28)+(E29*F29)+(E30*F30)+(E32*F32)+(E31*F31)))*H47</f>
        <v>0</v>
      </c>
      <c r="I48" s="939"/>
      <c r="J48" s="96"/>
      <c r="K48" s="939"/>
      <c r="L48" s="939"/>
      <c r="AA48" s="127"/>
    </row>
    <row r="49" spans="1:27" s="146" customFormat="1" ht="7.5" customHeight="1" thickBot="1">
      <c r="A49" s="943"/>
      <c r="B49" s="902"/>
      <c r="C49" s="944"/>
      <c r="D49" s="945"/>
      <c r="E49" s="946"/>
      <c r="F49" s="945"/>
      <c r="G49" s="946"/>
      <c r="H49" s="945"/>
      <c r="I49" s="947"/>
      <c r="J49" s="874"/>
      <c r="K49" s="947"/>
      <c r="L49" s="947"/>
      <c r="M49" s="948"/>
      <c r="AA49" s="949"/>
    </row>
    <row r="50" spans="1:27" s="146" customFormat="1" ht="7.5" customHeight="1">
      <c r="A50" s="941"/>
      <c r="B50" s="307"/>
      <c r="C50" s="936"/>
      <c r="D50" s="937"/>
      <c r="E50" s="942"/>
      <c r="F50" s="937"/>
      <c r="G50" s="942"/>
      <c r="H50" s="937"/>
      <c r="I50" s="939"/>
      <c r="J50" s="209"/>
      <c r="K50" s="939"/>
      <c r="L50" s="939"/>
      <c r="M50" s="949"/>
      <c r="AA50" s="949"/>
    </row>
    <row r="51" spans="1:27" ht="15" customHeight="1">
      <c r="A51" s="950" t="s">
        <v>833</v>
      </c>
      <c r="B51" s="951"/>
      <c r="C51" s="307"/>
      <c r="D51" s="683"/>
      <c r="E51" s="683"/>
      <c r="F51" s="683"/>
      <c r="G51" s="683"/>
      <c r="H51" s="952">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f>
        <v>1378.198482</v>
      </c>
      <c r="I51" s="96"/>
      <c r="J51" s="96"/>
      <c r="K51" s="96"/>
      <c r="L51" s="96"/>
      <c r="AA51" s="127"/>
    </row>
    <row r="52" spans="1:27" ht="15" customHeight="1" thickBot="1">
      <c r="A52" s="1227" t="s">
        <v>1226</v>
      </c>
      <c r="B52" s="951"/>
      <c r="C52" s="273"/>
      <c r="D52" s="273"/>
      <c r="E52" s="953"/>
      <c r="F52" s="953"/>
      <c r="G52" s="953" t="s">
        <v>670</v>
      </c>
      <c r="H52" s="954">
        <f>IF(Checkbox200Days="X",BaseLevelAmount*1.05,BaseLevelAmount)</f>
        <v>5013</v>
      </c>
      <c r="I52" s="96"/>
      <c r="J52" s="955"/>
      <c r="K52" s="96"/>
      <c r="L52" s="96"/>
      <c r="AA52" s="127"/>
    </row>
    <row r="53" spans="1:27" ht="15" customHeight="1">
      <c r="A53" s="951" t="s">
        <v>834</v>
      </c>
      <c r="B53" s="951"/>
      <c r="C53" s="273"/>
      <c r="D53" s="273"/>
      <c r="E53" s="273"/>
      <c r="F53" s="273"/>
      <c r="G53" s="273"/>
      <c r="H53" s="956">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H52</f>
        <v>6908908.9900000002</v>
      </c>
      <c r="I53" s="96"/>
      <c r="J53" s="96"/>
      <c r="K53" s="96"/>
      <c r="L53" s="96"/>
      <c r="AA53" s="127"/>
    </row>
    <row r="54" spans="1:27" ht="15" customHeight="1">
      <c r="A54" s="1916" t="s">
        <v>1227</v>
      </c>
      <c r="B54" s="1916"/>
      <c r="C54" s="909">
        <f>TEI</f>
        <v>1</v>
      </c>
      <c r="D54" s="273"/>
      <c r="E54" s="273"/>
      <c r="F54" s="273"/>
      <c r="G54" s="273"/>
      <c r="H54" s="898"/>
      <c r="I54" s="96"/>
      <c r="J54" s="96"/>
      <c r="K54" s="96"/>
      <c r="L54" s="96"/>
      <c r="AA54" s="127"/>
    </row>
    <row r="55" spans="1:27" ht="15" customHeight="1" thickBot="1">
      <c r="A55" s="1227" t="s">
        <v>1228</v>
      </c>
      <c r="B55" s="951"/>
      <c r="C55" s="273"/>
      <c r="D55" s="273"/>
      <c r="E55" s="273"/>
      <c r="F55" s="273"/>
      <c r="G55" s="608" t="s">
        <v>670</v>
      </c>
      <c r="H55" s="957">
        <f>IF(TEI&gt;1,TEI,1)</f>
        <v>1</v>
      </c>
      <c r="I55" s="96"/>
      <c r="J55" s="96"/>
      <c r="K55" s="96"/>
      <c r="L55" s="96"/>
      <c r="AA55" s="127"/>
    </row>
    <row r="56" spans="1:27" ht="15" customHeight="1">
      <c r="A56" s="958" t="s">
        <v>835</v>
      </c>
      <c r="B56" s="273"/>
      <c r="C56" s="959"/>
      <c r="D56" s="273"/>
      <c r="E56" s="273"/>
      <c r="F56" s="273"/>
      <c r="G56" s="273"/>
      <c r="H56" s="960"/>
      <c r="I56" s="96"/>
      <c r="J56" s="96"/>
      <c r="K56" s="96"/>
      <c r="L56" s="96"/>
      <c r="AA56" s="127"/>
    </row>
    <row r="57" spans="1:27" ht="15" customHeight="1">
      <c r="A57" s="1330" t="s">
        <v>836</v>
      </c>
      <c r="B57" s="273"/>
      <c r="C57" s="273"/>
      <c r="D57" s="273"/>
      <c r="E57" s="273"/>
      <c r="F57" s="273"/>
      <c r="G57" s="273"/>
      <c r="H57" s="956">
        <f>(((C7*F7)+(C8*F8)+(C9*F9)+C17*F17)+(C18*F18)+(C19*F19)+(C20*F20)+(C21*F21)+(C22*F22)+(C23*F23)+(C24*F24)+(C25*F25)+(C26*F26)+(C27*F27)+(C28*F28)+(C29*F29)+(C30*F30)+(C32*F32)+(C31*F31)+(((D7*F7)+(D8*F8)+(D9*F9)+(D17*F17)+(D18*F18)+(D19*F19)+(D20*F20)+(D21*F21)+(D22*F22)+(D23*F23)+(D24*F24)+(D25*F25)+(D26*F26)+(D27*F27)+(D28*F28)+(D29*F29)+(D30*F30)+(D32*F32)+(D31*F31))*0.95)+(((E7*F7)+(E8*F8)+(E9*F9)+(E17*F17)+(E18*F18)+(E19*F19)+(E20*F20)+(E21*F21)+(E22*F22)+(E23*F23)+(E24*F24)+(E25*F25)+(E26*F26)+(E27*F27)+(E28*F28)+(E29*F29)+(E30*F30)+(E32*F32)+(E31*F31))*0.85))*BSA55BLA*H55</f>
        <v>6908908.9900000002</v>
      </c>
      <c r="I57" s="96"/>
      <c r="J57" s="96"/>
      <c r="K57" s="96"/>
      <c r="L57" s="96"/>
      <c r="AA57" s="127"/>
    </row>
    <row r="58" spans="1:27" ht="15" customHeight="1">
      <c r="A58" s="1330"/>
      <c r="B58" s="273"/>
      <c r="C58" s="273"/>
      <c r="D58" s="273"/>
      <c r="E58" s="273"/>
      <c r="F58" s="273"/>
      <c r="G58" s="273"/>
      <c r="H58" s="961"/>
      <c r="I58" s="96"/>
      <c r="J58" s="96"/>
      <c r="K58" s="96"/>
      <c r="L58" s="96"/>
      <c r="AA58" s="127"/>
    </row>
    <row r="59" spans="1:27" ht="15" customHeight="1">
      <c r="A59" s="962" t="s">
        <v>837</v>
      </c>
      <c r="B59" s="273"/>
      <c r="C59" s="963"/>
      <c r="D59" s="963"/>
      <c r="E59" s="963"/>
      <c r="F59" s="963"/>
      <c r="G59" s="963"/>
      <c r="H59" s="964"/>
      <c r="I59" s="96"/>
      <c r="J59" s="96"/>
      <c r="K59" s="96"/>
      <c r="L59" s="96"/>
      <c r="AA59" s="127"/>
    </row>
    <row r="60" spans="1:27" ht="15" customHeight="1">
      <c r="A60" s="1277" t="s">
        <v>838</v>
      </c>
      <c r="B60" s="898" t="s">
        <v>672</v>
      </c>
      <c r="C60" s="965">
        <f>NonFedAuditExp</f>
        <v>41400</v>
      </c>
      <c r="D60" s="1300"/>
      <c r="E60" s="1300"/>
      <c r="F60" s="1300"/>
      <c r="G60" s="1300"/>
      <c r="H60" s="966"/>
      <c r="I60" s="967"/>
      <c r="J60" s="96"/>
      <c r="K60" s="96"/>
      <c r="L60" s="96"/>
      <c r="AA60" s="127"/>
    </row>
    <row r="61" spans="1:27" ht="15" customHeight="1">
      <c r="A61" s="273" t="s">
        <v>839</v>
      </c>
      <c r="B61" s="898" t="s">
        <v>672</v>
      </c>
      <c r="C61" s="968">
        <f>IncreaseTuitionLossAdj</f>
        <v>0</v>
      </c>
      <c r="D61" s="1300"/>
      <c r="E61" s="1300"/>
      <c r="F61" s="1300"/>
      <c r="G61" s="1300"/>
      <c r="H61" s="966"/>
      <c r="I61" s="967"/>
      <c r="J61" s="96"/>
      <c r="K61" s="96"/>
      <c r="L61" s="96"/>
      <c r="AA61" s="127"/>
    </row>
    <row r="62" spans="1:27" ht="15" customHeight="1">
      <c r="A62" s="273" t="s">
        <v>840</v>
      </c>
      <c r="B62" s="898" t="s">
        <v>672</v>
      </c>
      <c r="C62" s="968">
        <f>IF(AND(Cover!E3='Data Entry'!L127+1,(Calculations!R219+Calculations!R225)&gt;0),Calculations!R219+Calculations!R225,IF(AND(Cover!E3='Data Entry'!L127+2,(Calculations!R220+Calculations!R226)&gt;0),Calculations!R220+Calculations!R226,IF(AND(Cover!E3='Data Entry'!L127+3,(Calculations!R221+Calculations!R227)&gt;0),Calculations!R221+Calculations!R227,IF(AND(Cover!E3='Data Entry'!L127+4,(Calculations!R222+Calculations!R228)&gt;0),Calculations!R222+Calculations!R228,IF(AND(Cover!E3='Data Entry'!L127+5,(Calculations!R223+Calculations!R229)&gt;0),Calculations!R223+Calculations!R229,0)))))</f>
        <v>0</v>
      </c>
      <c r="D62" s="1300"/>
      <c r="E62" s="1300"/>
      <c r="F62" s="1300"/>
      <c r="G62" s="1300"/>
      <c r="H62" s="966"/>
      <c r="I62" s="967"/>
      <c r="J62" s="96"/>
      <c r="K62" s="96"/>
      <c r="L62" s="96"/>
      <c r="AA62" s="127"/>
    </row>
    <row r="63" spans="1:27" ht="15" customHeight="1">
      <c r="A63" s="1277" t="s">
        <v>841</v>
      </c>
      <c r="B63" s="898" t="s">
        <v>672</v>
      </c>
      <c r="C63" s="968">
        <f>RemoteInstructionDecre</f>
        <v>0</v>
      </c>
      <c r="D63" s="1300"/>
      <c r="E63" s="1300"/>
      <c r="F63" s="1300"/>
      <c r="G63" s="1300"/>
      <c r="H63" s="966"/>
      <c r="I63" s="967"/>
      <c r="J63" s="96"/>
      <c r="K63" s="96"/>
      <c r="L63" s="96"/>
      <c r="AA63" s="127"/>
    </row>
    <row r="64" spans="1:27" ht="15.6">
      <c r="A64" s="1277" t="s">
        <v>842</v>
      </c>
      <c r="B64" s="898" t="s">
        <v>672</v>
      </c>
      <c r="C64" s="965">
        <f>'Data Entry'!L88</f>
        <v>0</v>
      </c>
      <c r="D64" s="1300"/>
      <c r="E64" s="1300"/>
      <c r="F64" s="1300"/>
      <c r="G64" s="1300"/>
      <c r="H64" s="966"/>
      <c r="I64" s="967"/>
      <c r="J64" s="96"/>
      <c r="K64" s="96"/>
      <c r="L64" s="96"/>
      <c r="AA64" s="127"/>
    </row>
    <row r="65" spans="1:27" ht="15.6">
      <c r="A65" s="1277" t="s">
        <v>843</v>
      </c>
      <c r="B65" s="898" t="s">
        <v>672</v>
      </c>
      <c r="C65" s="965">
        <f>'Data Entry'!L89</f>
        <v>0</v>
      </c>
      <c r="D65" s="1300"/>
      <c r="E65" s="1300"/>
      <c r="F65" s="1300"/>
      <c r="G65" s="1300"/>
      <c r="H65" s="966"/>
      <c r="I65" s="967"/>
      <c r="J65" s="96"/>
      <c r="K65" s="96"/>
      <c r="L65" s="96"/>
      <c r="AA65" s="127"/>
    </row>
    <row r="66" spans="1:27" ht="15.6">
      <c r="A66" s="273" t="str">
        <f>IF('Data Entry'!C90&lt;&gt;"Other BSL Adjustment 1",'Data Entry'!C90,"")</f>
        <v/>
      </c>
      <c r="B66" s="898" t="str">
        <f>IF('Data Entry'!L90,"+","")</f>
        <v/>
      </c>
      <c r="C66" s="965" t="str">
        <f>IF(ISBLANK('Data Entry'!L90),"",'Data Entry'!L90)</f>
        <v/>
      </c>
      <c r="D66" s="1300"/>
      <c r="E66" s="1300"/>
      <c r="F66" s="1300"/>
      <c r="G66" s="1300"/>
      <c r="H66" s="966"/>
      <c r="I66" s="967"/>
      <c r="J66" s="96"/>
      <c r="K66" s="96"/>
      <c r="L66" s="96"/>
      <c r="AA66" s="127"/>
    </row>
    <row r="67" spans="1:27" ht="15.6">
      <c r="A67" s="273" t="str">
        <f>IF('Data Entry'!C91&lt;&gt;"Other BSL Adjustment 2",'Data Entry'!C91,"")</f>
        <v/>
      </c>
      <c r="B67" s="898" t="str">
        <f>IF('Data Entry'!L91,"+","")</f>
        <v/>
      </c>
      <c r="C67" s="965" t="str">
        <f>IF(ISBLANK('Data Entry'!L91),"",'Data Entry'!L91)</f>
        <v/>
      </c>
      <c r="D67" s="1300"/>
      <c r="E67" s="1300"/>
      <c r="F67" s="1300"/>
      <c r="G67" s="1300"/>
      <c r="H67" s="966"/>
      <c r="I67" s="967"/>
      <c r="J67" s="96"/>
      <c r="K67" s="96"/>
      <c r="L67" s="96"/>
      <c r="AA67" s="127"/>
    </row>
    <row r="68" spans="1:27" ht="15" customHeight="1">
      <c r="A68" s="657" t="s">
        <v>844</v>
      </c>
      <c r="B68" s="273"/>
      <c r="C68" s="273"/>
      <c r="D68" s="273"/>
      <c r="E68" s="273"/>
      <c r="F68" s="273"/>
      <c r="G68" s="273"/>
      <c r="H68" s="969">
        <f>SUM(C60:C67)</f>
        <v>41400</v>
      </c>
      <c r="I68" s="970"/>
      <c r="J68" s="96"/>
      <c r="K68" s="96"/>
      <c r="L68" s="96"/>
      <c r="AA68" s="127"/>
    </row>
    <row r="69" spans="1:27" ht="15" customHeight="1">
      <c r="A69" s="971" t="s">
        <v>845</v>
      </c>
      <c r="B69" s="273"/>
      <c r="C69" s="971"/>
      <c r="D69" s="971"/>
      <c r="E69" s="971"/>
      <c r="F69" s="971"/>
      <c r="G69" s="971"/>
      <c r="H69" s="972">
        <f>H68+H57</f>
        <v>6950308.9900000002</v>
      </c>
      <c r="I69" s="973"/>
      <c r="J69" s="96"/>
      <c r="K69" s="96"/>
      <c r="L69" s="96"/>
      <c r="AA69" s="127"/>
    </row>
    <row r="70" spans="1:27" ht="15" customHeight="1">
      <c r="AA70" s="127"/>
    </row>
    <row r="71" spans="1:27" ht="15" customHeight="1">
      <c r="AA71" s="127"/>
    </row>
    <row r="72" spans="1:27" ht="15" customHeight="1">
      <c r="AA72" s="127"/>
    </row>
    <row r="73" spans="1:27" ht="15" customHeight="1">
      <c r="A73" s="899"/>
      <c r="B73" s="899"/>
      <c r="C73" s="899"/>
      <c r="D73" s="1830" t="str">
        <f>IF(DistrictName&lt;&gt;0,DistrictName,"")</f>
        <v>Murphy Elementary School District #21</v>
      </c>
      <c r="E73" s="1830"/>
      <c r="F73" s="1830"/>
      <c r="G73" s="1830"/>
      <c r="H73" s="1830"/>
      <c r="I73" s="899"/>
      <c r="J73" s="899"/>
      <c r="K73" s="899"/>
      <c r="L73" s="899"/>
      <c r="M73" s="899"/>
      <c r="AA73" s="127"/>
    </row>
    <row r="74" spans="1:27" ht="34.5" customHeight="1">
      <c r="A74" s="314"/>
      <c r="B74" s="314"/>
      <c r="C74" s="314"/>
      <c r="D74" s="1904" t="s">
        <v>802</v>
      </c>
      <c r="E74" s="1904"/>
      <c r="F74" s="1904"/>
      <c r="G74" s="1904"/>
      <c r="H74" s="1904"/>
      <c r="I74" s="314"/>
      <c r="J74" s="314"/>
      <c r="K74" s="314"/>
      <c r="L74" s="314"/>
      <c r="M74" s="314"/>
      <c r="AA74" s="97"/>
    </row>
    <row r="75" spans="1:27" ht="15" customHeight="1" thickBot="1">
      <c r="A75" s="902"/>
      <c r="B75" s="902"/>
      <c r="C75" s="902"/>
      <c r="D75" s="902"/>
      <c r="E75" s="902"/>
      <c r="F75" s="901" t="s">
        <v>803</v>
      </c>
      <c r="G75" s="902" t="str">
        <f>IF(AND(SmallIsolatedPSD8Checkbox="X",SmallIsolated912Checkbox="X"),"Elementary and High School",IF(SmallIsolatedPSD8Checkbox="X","Elementary",IF(SmallIsolated912Checkbox="X","High School","Not Isolated")))</f>
        <v>Not Isolated</v>
      </c>
      <c r="H75" s="902"/>
      <c r="I75" s="902"/>
      <c r="J75" s="902"/>
      <c r="K75" s="902"/>
      <c r="L75" s="903" t="s">
        <v>804</v>
      </c>
      <c r="M75" s="903" t="s">
        <v>846</v>
      </c>
      <c r="AA75" s="127"/>
    </row>
    <row r="76" spans="1:27" ht="15" customHeight="1">
      <c r="A76" s="273"/>
      <c r="B76" s="273"/>
      <c r="C76" s="273"/>
      <c r="D76" s="273"/>
      <c r="E76" s="974"/>
      <c r="F76" s="975"/>
      <c r="G76" s="273"/>
      <c r="H76" s="273"/>
      <c r="I76" s="273"/>
      <c r="J76" s="273"/>
      <c r="K76" s="273"/>
      <c r="L76" s="273"/>
      <c r="M76" s="976"/>
      <c r="AA76" s="127"/>
    </row>
    <row r="77" spans="1:27" ht="15" customHeight="1">
      <c r="A77" s="977" t="s">
        <v>847</v>
      </c>
      <c r="B77" s="978"/>
      <c r="C77" s="979"/>
      <c r="D77" s="273"/>
      <c r="E77" s="980"/>
      <c r="F77" s="981" t="s">
        <v>848</v>
      </c>
      <c r="G77" s="273"/>
      <c r="H77" s="273"/>
      <c r="I77" s="273"/>
      <c r="J77" s="273"/>
      <c r="K77" s="273"/>
      <c r="L77" s="273"/>
      <c r="M77" s="976"/>
      <c r="AA77" s="127"/>
    </row>
    <row r="78" spans="1:27" ht="15" customHeight="1">
      <c r="A78" s="1914" t="s">
        <v>849</v>
      </c>
      <c r="B78" s="1914"/>
      <c r="C78" s="979"/>
      <c r="D78" s="273"/>
      <c r="E78" s="980"/>
      <c r="F78" s="1228" t="s">
        <v>1229</v>
      </c>
      <c r="G78" s="273"/>
      <c r="H78" s="273"/>
      <c r="I78" s="273"/>
      <c r="J78" s="982">
        <f>AdjBaseSuppLvl</f>
        <v>6950308.9900000002</v>
      </c>
      <c r="K78" s="273"/>
      <c r="L78" s="273"/>
      <c r="M78" s="976"/>
      <c r="AA78" s="127"/>
    </row>
    <row r="79" spans="1:27" ht="15" customHeight="1">
      <c r="A79" s="983" t="s">
        <v>850</v>
      </c>
      <c r="B79" s="983"/>
      <c r="C79" s="273"/>
      <c r="D79" s="273"/>
      <c r="E79" s="984"/>
      <c r="F79" s="1228" t="s">
        <v>1230</v>
      </c>
      <c r="G79" s="273"/>
      <c r="H79" s="273"/>
      <c r="I79" s="608" t="s">
        <v>672</v>
      </c>
      <c r="J79" s="985">
        <f>ConsolUnifTransCosts</f>
        <v>0</v>
      </c>
      <c r="K79" s="273"/>
      <c r="L79" s="273"/>
      <c r="M79" s="976"/>
      <c r="AA79" s="97"/>
    </row>
    <row r="80" spans="1:27" ht="15" customHeight="1" thickBot="1">
      <c r="A80" s="983" t="s">
        <v>1231</v>
      </c>
      <c r="B80" s="983"/>
      <c r="C80" s="273"/>
      <c r="D80" s="273"/>
      <c r="E80" s="986">
        <f>EligibleStudTrans</f>
        <v>298</v>
      </c>
      <c r="F80" s="1228" t="s">
        <v>1232</v>
      </c>
      <c r="G80" s="273"/>
      <c r="H80" s="273"/>
      <c r="I80" s="608" t="s">
        <v>672</v>
      </c>
      <c r="J80" s="987">
        <f>TSL</f>
        <v>204583.67999999999</v>
      </c>
      <c r="K80" s="273"/>
      <c r="L80" s="273"/>
      <c r="M80" s="273"/>
      <c r="AA80" s="127"/>
    </row>
    <row r="81" spans="1:27" ht="15" customHeight="1">
      <c r="A81" s="983" t="s">
        <v>1233</v>
      </c>
      <c r="B81" s="983"/>
      <c r="C81" s="273"/>
      <c r="D81" s="273"/>
      <c r="E81" s="988">
        <f>IF(ApprDRMiles&gt;0,ApprDRMiles/EligibleStudTrans,0)</f>
        <v>1.1544000000000001</v>
      </c>
      <c r="F81" s="1229" t="s">
        <v>1234</v>
      </c>
      <c r="G81" s="307"/>
      <c r="H81" s="307"/>
      <c r="I81" s="307"/>
      <c r="J81" s="989">
        <f>SUM(J78:J80)</f>
        <v>7154892.6699999999</v>
      </c>
      <c r="K81" s="307"/>
      <c r="L81" s="307"/>
      <c r="M81" s="990"/>
      <c r="AA81" s="127"/>
    </row>
    <row r="82" spans="1:27" ht="15" customHeight="1" thickBot="1">
      <c r="A82" s="983" t="s">
        <v>851</v>
      </c>
      <c r="B82" s="983"/>
      <c r="C82" s="273"/>
      <c r="D82" s="991"/>
      <c r="E82" s="992">
        <f>ApprDRMiles</f>
        <v>344</v>
      </c>
      <c r="F82" s="1230"/>
      <c r="G82" s="902"/>
      <c r="H82" s="902"/>
      <c r="I82" s="902"/>
      <c r="J82" s="902"/>
      <c r="K82" s="902"/>
      <c r="L82" s="902"/>
      <c r="M82" s="993"/>
      <c r="AA82" s="127"/>
    </row>
    <row r="83" spans="1:27" ht="15" customHeight="1">
      <c r="A83" s="983" t="s">
        <v>852</v>
      </c>
      <c r="B83" s="983"/>
      <c r="C83" s="273"/>
      <c r="D83" s="608" t="s">
        <v>670</v>
      </c>
      <c r="E83" s="994">
        <f>IF(DailyRteMilesPerElgStud=0,0,IF(AND(DailyRteMilesPerElgStud&gt;0.5,DailyRteMilesPerElgStud&lt;=1),StateSupportLevelRouteMile2,StateSupportLevelRouteMile1))</f>
        <v>2.95</v>
      </c>
      <c r="AA83" s="127"/>
    </row>
    <row r="84" spans="1:27" ht="15" customHeight="1" thickBot="1">
      <c r="A84" s="983" t="s">
        <v>853</v>
      </c>
      <c r="B84" s="983"/>
      <c r="C84" s="273"/>
      <c r="D84" s="608" t="s">
        <v>670</v>
      </c>
      <c r="E84" s="995">
        <f>IF(Checkbox200Days="X",200,180)</f>
        <v>180</v>
      </c>
      <c r="F84" s="981" t="s">
        <v>854</v>
      </c>
      <c r="G84" s="273"/>
      <c r="H84" s="273"/>
      <c r="I84" s="273"/>
      <c r="J84" s="273"/>
      <c r="K84" s="273"/>
      <c r="L84" s="273"/>
      <c r="M84" s="976"/>
      <c r="AA84" s="127"/>
    </row>
    <row r="85" spans="1:27" ht="15" customHeight="1">
      <c r="A85" s="983" t="s">
        <v>855</v>
      </c>
      <c r="B85" s="983"/>
      <c r="C85" s="273"/>
      <c r="D85" s="608"/>
      <c r="E85" s="994">
        <f>E82*E83*E84</f>
        <v>182664</v>
      </c>
      <c r="F85" s="1228" t="s">
        <v>1229</v>
      </c>
      <c r="G85" s="273"/>
      <c r="H85" s="273"/>
      <c r="I85" s="273"/>
      <c r="J85" s="982">
        <f>AdjBaseSuppLvl</f>
        <v>6950308.9900000002</v>
      </c>
      <c r="K85" s="273"/>
      <c r="L85" s="273"/>
      <c r="M85" s="976"/>
      <c r="AA85" s="127"/>
    </row>
    <row r="86" spans="1:27" ht="15" customHeight="1" thickBot="1">
      <c r="A86" s="996" t="s">
        <v>856</v>
      </c>
      <c r="B86" s="983"/>
      <c r="C86" s="273"/>
      <c r="D86" s="608" t="s">
        <v>670</v>
      </c>
      <c r="E86" s="997">
        <f>IF(VALUE(LEFT(RIGHT(L1,7),2))=3,Type03TranspFactor,IF(VALUE(LEFT(RIGHT(L1,7),2))=2,Type02TranspFactor,IF(VALUE(LEFT(RIGHT(L1,7),2))=4,Type04TranspFactor,IF(VALUE(LEFT(RIGHT(L1,7),2))=5,Type05TranspFactor,IF(VALUE(LEFT(RIGHT(L1,7),2))=1,Type01TranspFactor,0)))))</f>
        <v>0.12</v>
      </c>
      <c r="F86" s="1228" t="s">
        <v>1230</v>
      </c>
      <c r="G86" s="273"/>
      <c r="H86" s="273"/>
      <c r="I86" s="608" t="s">
        <v>672</v>
      </c>
      <c r="J86" s="985">
        <f>ConsolUnifTransCosts</f>
        <v>0</v>
      </c>
      <c r="K86" s="273"/>
      <c r="L86" s="273"/>
      <c r="M86" s="976"/>
      <c r="AA86" s="127"/>
    </row>
    <row r="87" spans="1:27" ht="15" customHeight="1" thickBot="1">
      <c r="A87" s="998" t="s">
        <v>857</v>
      </c>
      <c r="B87" s="983"/>
      <c r="C87" s="273"/>
      <c r="D87" s="608"/>
      <c r="E87" s="994">
        <f>ROUND((E84*E82)*E83*E86,2)</f>
        <v>21919.68</v>
      </c>
      <c r="F87" s="1228" t="s">
        <v>1235</v>
      </c>
      <c r="G87" s="273"/>
      <c r="H87" s="273"/>
      <c r="I87" s="608" t="s">
        <v>672</v>
      </c>
      <c r="J87" s="987">
        <f>CYTRCL</f>
        <v>368235.53</v>
      </c>
      <c r="K87" s="273"/>
      <c r="L87" s="273"/>
      <c r="M87" s="976"/>
      <c r="AA87" s="127"/>
    </row>
    <row r="88" spans="1:27" ht="15" customHeight="1">
      <c r="A88" s="983" t="s">
        <v>1236</v>
      </c>
      <c r="B88" s="983"/>
      <c r="C88" s="273"/>
      <c r="D88" s="608"/>
      <c r="E88" s="986">
        <f>ActDisabilityRM+EstDisabilityRM</f>
        <v>0</v>
      </c>
      <c r="F88" s="1229" t="s">
        <v>1237</v>
      </c>
      <c r="G88" s="273"/>
      <c r="H88" s="273"/>
      <c r="I88" s="273"/>
      <c r="J88" s="969">
        <f>SUM(J85:J87)</f>
        <v>7318544.5199999996</v>
      </c>
      <c r="K88" s="273"/>
      <c r="L88" s="273"/>
      <c r="M88" s="976"/>
      <c r="AA88" s="127"/>
    </row>
    <row r="89" spans="1:27" ht="15" customHeight="1" thickBot="1">
      <c r="A89" s="983" t="s">
        <v>852</v>
      </c>
      <c r="B89" s="983"/>
      <c r="C89" s="273"/>
      <c r="D89" s="608" t="s">
        <v>670</v>
      </c>
      <c r="E89" s="997">
        <f>E83</f>
        <v>2.95</v>
      </c>
      <c r="F89" s="1230"/>
      <c r="G89" s="902"/>
      <c r="H89" s="902"/>
      <c r="I89" s="902"/>
      <c r="J89" s="902"/>
      <c r="K89" s="273"/>
      <c r="L89" s="273"/>
      <c r="M89" s="976"/>
      <c r="AA89" s="127"/>
    </row>
    <row r="90" spans="1:27" ht="15" customHeight="1" thickBot="1">
      <c r="A90" s="983" t="s">
        <v>858</v>
      </c>
      <c r="B90" s="273"/>
      <c r="C90" s="273"/>
      <c r="D90" s="273"/>
      <c r="E90" s="994">
        <f>ROUND(E88*E89,2)</f>
        <v>0</v>
      </c>
      <c r="F90" s="1231" t="s">
        <v>1238</v>
      </c>
      <c r="G90" s="999"/>
      <c r="H90" s="999"/>
      <c r="I90" s="1000"/>
      <c r="J90" s="1001">
        <f>IF(J81&gt;J88,J88,J81)</f>
        <v>7154892.6699999999</v>
      </c>
      <c r="K90" s="307"/>
      <c r="L90" s="273"/>
      <c r="M90" s="976"/>
      <c r="AA90" s="127"/>
    </row>
    <row r="91" spans="1:27" ht="15" customHeight="1">
      <c r="A91" s="273" t="s">
        <v>859</v>
      </c>
      <c r="B91" s="273"/>
      <c r="C91" s="288" t="s">
        <v>860</v>
      </c>
      <c r="D91" s="288" t="s">
        <v>861</v>
      </c>
      <c r="E91" s="1002"/>
      <c r="AA91" s="127"/>
    </row>
    <row r="92" spans="1:27" ht="15" customHeight="1">
      <c r="A92" s="273" t="s">
        <v>1239</v>
      </c>
      <c r="B92" s="273"/>
      <c r="C92" s="1003">
        <f>AnnualExpforBusPass</f>
        <v>0</v>
      </c>
      <c r="D92" s="1003">
        <f>AnnualExpforBusToken</f>
        <v>0</v>
      </c>
      <c r="E92" s="1004">
        <f>C92+D92</f>
        <v>0</v>
      </c>
      <c r="AA92" s="127"/>
    </row>
    <row r="93" spans="1:27" ht="15" customHeight="1">
      <c r="A93" s="1330" t="s">
        <v>1232</v>
      </c>
      <c r="B93" s="273"/>
      <c r="C93" s="273"/>
      <c r="D93" s="273"/>
      <c r="E93" s="994">
        <f>E85+E87+E90+E92</f>
        <v>204583.67999999999</v>
      </c>
      <c r="F93" s="1005"/>
      <c r="G93" s="273"/>
      <c r="H93" s="273"/>
      <c r="I93" s="273"/>
      <c r="J93" s="273"/>
      <c r="K93" s="273"/>
      <c r="L93" s="273"/>
      <c r="M93" s="976"/>
      <c r="AA93" s="127"/>
    </row>
    <row r="94" spans="1:27" ht="15" customHeight="1" thickBot="1">
      <c r="A94" s="1006"/>
      <c r="B94" s="902"/>
      <c r="C94" s="902"/>
      <c r="D94" s="902"/>
      <c r="E94" s="1007"/>
      <c r="F94" s="1005"/>
      <c r="G94" s="273"/>
      <c r="H94" s="273"/>
      <c r="I94" s="273"/>
      <c r="J94" s="273"/>
      <c r="K94" s="273"/>
      <c r="L94" s="273"/>
      <c r="M94" s="976"/>
      <c r="AA94" s="127"/>
    </row>
    <row r="95" spans="1:27" ht="15" customHeight="1">
      <c r="A95" s="273"/>
      <c r="B95" s="273"/>
      <c r="C95" s="273"/>
      <c r="D95" s="273"/>
      <c r="E95" s="1008"/>
      <c r="F95" s="1005"/>
      <c r="G95" s="307"/>
      <c r="H95" s="273"/>
      <c r="I95" s="273"/>
      <c r="J95" s="273"/>
      <c r="K95" s="273"/>
      <c r="L95" s="273"/>
      <c r="M95" s="976"/>
      <c r="AA95" s="127"/>
    </row>
    <row r="96" spans="1:27" ht="15" customHeight="1">
      <c r="A96" s="977" t="s">
        <v>862</v>
      </c>
      <c r="B96" s="307"/>
      <c r="C96" s="307"/>
      <c r="D96" s="307"/>
      <c r="E96" s="984"/>
      <c r="F96" s="1005"/>
      <c r="G96" s="273"/>
      <c r="H96" s="273"/>
      <c r="I96" s="273"/>
      <c r="J96" s="273"/>
      <c r="K96" s="273"/>
      <c r="L96" s="273"/>
      <c r="M96" s="976"/>
      <c r="AA96" s="127"/>
    </row>
    <row r="97" spans="1:27" ht="15" customHeight="1">
      <c r="A97" s="273" t="s">
        <v>1240</v>
      </c>
      <c r="B97" s="273"/>
      <c r="C97" s="273"/>
      <c r="D97" s="608"/>
      <c r="E97" s="1009">
        <f t="array" ref="E97">[1]!CYTRCL</f>
        <v>368235.53</v>
      </c>
      <c r="F97" s="1005"/>
      <c r="G97" s="273"/>
      <c r="H97" s="273"/>
      <c r="I97" s="273"/>
      <c r="J97" s="273"/>
      <c r="K97" s="273"/>
      <c r="L97" s="273"/>
      <c r="M97" s="976"/>
      <c r="AA97" s="127"/>
    </row>
    <row r="98" spans="1:27" ht="15" customHeight="1">
      <c r="A98" s="1010"/>
      <c r="B98" s="1010"/>
      <c r="C98" s="1010"/>
      <c r="D98" s="1010"/>
      <c r="E98" s="984"/>
      <c r="F98" s="1005"/>
      <c r="G98" s="273"/>
      <c r="H98" s="273"/>
      <c r="I98" s="273"/>
      <c r="J98" s="273"/>
      <c r="K98" s="273"/>
      <c r="L98" s="273"/>
      <c r="M98" s="976"/>
      <c r="AA98" s="127"/>
    </row>
    <row r="99" spans="1:27" ht="15" customHeight="1">
      <c r="A99" s="1235" t="s">
        <v>863</v>
      </c>
      <c r="B99" s="273" t="s">
        <v>1241</v>
      </c>
      <c r="C99" s="1011">
        <f>TSL</f>
        <v>204583.67999999999</v>
      </c>
      <c r="D99" s="273"/>
      <c r="E99" s="984"/>
      <c r="F99" s="1005"/>
      <c r="G99" s="273"/>
      <c r="H99" s="273"/>
      <c r="I99" s="273"/>
      <c r="J99" s="273"/>
      <c r="K99" s="273"/>
      <c r="L99" s="273"/>
      <c r="M99" s="976"/>
      <c r="AA99" s="127"/>
    </row>
    <row r="100" spans="1:27" ht="15" customHeight="1" thickBot="1">
      <c r="A100" s="273"/>
      <c r="B100" s="273" t="s">
        <v>1242</v>
      </c>
      <c r="C100" s="1012">
        <f t="array" ref="C100">[1]!TSL</f>
        <v>97901.97</v>
      </c>
      <c r="D100" s="273"/>
      <c r="E100" s="984"/>
      <c r="F100" s="1005"/>
      <c r="G100" s="273"/>
      <c r="H100" s="273"/>
      <c r="I100" s="273"/>
      <c r="J100" s="273"/>
      <c r="K100" s="273"/>
      <c r="L100" s="273"/>
      <c r="M100" s="976"/>
      <c r="AA100" s="127"/>
    </row>
    <row r="101" spans="1:27" ht="15" customHeight="1" thickBot="1">
      <c r="A101" s="273"/>
      <c r="B101" s="273" t="s">
        <v>864</v>
      </c>
      <c r="C101" s="1013">
        <f>IF(C99-C100&gt;0,C99-C100,0)</f>
        <v>106681.71</v>
      </c>
      <c r="D101" s="273"/>
      <c r="E101" s="984"/>
      <c r="F101" s="1005"/>
      <c r="G101" s="273"/>
      <c r="H101" s="273"/>
      <c r="I101" s="273"/>
      <c r="J101" s="273"/>
      <c r="K101" s="273"/>
      <c r="L101" s="273"/>
      <c r="M101" s="976"/>
      <c r="AA101" s="127"/>
    </row>
    <row r="102" spans="1:27" ht="15" customHeight="1">
      <c r="A102" s="273"/>
      <c r="B102" s="273"/>
      <c r="C102" s="273"/>
      <c r="D102" s="273"/>
      <c r="E102" s="984"/>
      <c r="F102" s="1005"/>
      <c r="G102" s="273"/>
      <c r="H102" s="273"/>
      <c r="I102" s="273"/>
      <c r="J102" s="273"/>
      <c r="K102" s="273"/>
      <c r="L102" s="273"/>
      <c r="M102" s="976"/>
      <c r="AA102" s="127"/>
    </row>
    <row r="103" spans="1:27" ht="15" customHeight="1">
      <c r="A103" s="273" t="s">
        <v>1243</v>
      </c>
      <c r="B103" s="273"/>
      <c r="C103" s="273"/>
      <c r="D103" s="608"/>
      <c r="E103" s="1009">
        <f>C101+E97</f>
        <v>474917.24</v>
      </c>
      <c r="F103" s="1005"/>
      <c r="G103" s="273"/>
      <c r="H103" s="273"/>
      <c r="I103" s="273"/>
      <c r="J103" s="273"/>
      <c r="K103" s="273"/>
      <c r="L103" s="273"/>
      <c r="M103" s="976"/>
      <c r="AA103" s="127"/>
    </row>
    <row r="104" spans="1:27" ht="15" customHeight="1">
      <c r="A104" s="1235" t="s">
        <v>1244</v>
      </c>
      <c r="B104" s="608"/>
      <c r="C104" s="1011">
        <f>E93*1.2</f>
        <v>245500.42</v>
      </c>
      <c r="D104" s="273"/>
      <c r="E104" s="984"/>
      <c r="F104" s="1005"/>
      <c r="G104" s="273"/>
      <c r="H104" s="273"/>
      <c r="I104" s="273"/>
      <c r="J104" s="273"/>
      <c r="K104" s="273"/>
      <c r="L104" s="273"/>
      <c r="M104" s="976"/>
      <c r="AA104" s="127"/>
    </row>
    <row r="105" spans="1:27" ht="15" customHeight="1">
      <c r="A105" s="657" t="s">
        <v>1235</v>
      </c>
      <c r="B105" s="273"/>
      <c r="C105" s="273"/>
      <c r="D105" s="608"/>
      <c r="E105" s="1014">
        <f>MAX(TSL,IF(PremFYTRCL&gt;AdjFYTRCL,TRCLBudgPY,PremFYTRCL))</f>
        <v>368235.53</v>
      </c>
      <c r="F105" s="1005"/>
      <c r="G105" s="273"/>
      <c r="H105" s="273"/>
      <c r="I105" s="273"/>
      <c r="J105" s="273"/>
      <c r="K105" s="273"/>
      <c r="L105" s="273"/>
      <c r="M105" s="976"/>
      <c r="AA105" s="127"/>
    </row>
    <row r="106" spans="1:27" ht="15" customHeight="1">
      <c r="A106" s="273"/>
      <c r="B106" s="273"/>
      <c r="C106" s="273"/>
      <c r="D106" s="273"/>
      <c r="E106" s="273"/>
      <c r="F106" s="273"/>
      <c r="G106" s="273"/>
      <c r="H106" s="273"/>
      <c r="I106" s="273"/>
      <c r="J106" s="273"/>
      <c r="K106" s="273"/>
      <c r="L106" s="273"/>
      <c r="M106" s="976"/>
      <c r="AA106" s="127"/>
    </row>
    <row r="107" spans="1:27" ht="15" customHeight="1">
      <c r="M107" s="97"/>
      <c r="AA107" s="127"/>
    </row>
    <row r="108" spans="1:27" ht="15" customHeight="1">
      <c r="A108" s="315"/>
      <c r="B108" s="315"/>
      <c r="C108" s="315"/>
      <c r="D108" s="1830" t="str">
        <f>IF(DistrictName&lt;&gt;0,DistrictName,"")</f>
        <v>Murphy Elementary School District #21</v>
      </c>
      <c r="E108" s="1830"/>
      <c r="F108" s="1830"/>
      <c r="G108" s="1830"/>
      <c r="H108" s="1830"/>
      <c r="I108" s="315"/>
      <c r="J108" s="315"/>
      <c r="K108" s="315"/>
      <c r="L108" s="315"/>
      <c r="M108" s="315"/>
      <c r="AA108" s="127"/>
    </row>
    <row r="109" spans="1:27" ht="34.5" customHeight="1">
      <c r="A109" s="314"/>
      <c r="B109" s="314"/>
      <c r="C109" s="314"/>
      <c r="D109" s="1904" t="s">
        <v>802</v>
      </c>
      <c r="E109" s="1904"/>
      <c r="F109" s="1904"/>
      <c r="G109" s="1904"/>
      <c r="H109" s="1904"/>
      <c r="I109" s="314"/>
      <c r="J109" s="314"/>
      <c r="K109" s="314"/>
      <c r="L109" s="314"/>
      <c r="M109" s="314"/>
      <c r="AA109" s="127"/>
    </row>
    <row r="110" spans="1:27" ht="15" customHeight="1" thickBot="1">
      <c r="A110" s="902"/>
      <c r="B110" s="902"/>
      <c r="C110" s="902"/>
      <c r="D110" s="902"/>
      <c r="E110" s="902"/>
      <c r="F110" s="901" t="s">
        <v>803</v>
      </c>
      <c r="G110" s="902" t="str">
        <f>IF(AND(SmallIsolatedPSD8Checkbox="X",SmallIsolated912Checkbox="X"),"Elementary and High School",IF(SmallIsolatedPSD8Checkbox="X","Elementary",IF(SmallIsolated912Checkbox="X","High School","Not Isolated")))</f>
        <v>Not Isolated</v>
      </c>
      <c r="H110" s="902"/>
      <c r="I110" s="902"/>
      <c r="J110" s="902"/>
      <c r="K110" s="902"/>
      <c r="L110" s="903" t="s">
        <v>804</v>
      </c>
      <c r="M110" s="903" t="s">
        <v>865</v>
      </c>
      <c r="AA110" s="97"/>
    </row>
    <row r="111" spans="1:27" ht="15" customHeight="1">
      <c r="A111" s="273"/>
      <c r="B111" s="273"/>
      <c r="C111" s="273"/>
      <c r="D111" s="273"/>
      <c r="E111" s="273"/>
      <c r="F111" s="273"/>
      <c r="G111" s="273"/>
      <c r="H111" s="273"/>
      <c r="I111" s="273"/>
      <c r="J111" s="273"/>
      <c r="K111" s="273"/>
      <c r="L111" s="273"/>
      <c r="M111" s="976"/>
      <c r="AA111" s="127"/>
    </row>
    <row r="112" spans="1:27" ht="20.399999999999999">
      <c r="A112" s="1015" t="s">
        <v>866</v>
      </c>
      <c r="B112" s="1016"/>
      <c r="C112" s="1016"/>
      <c r="D112" s="1016"/>
      <c r="E112" s="1017" t="s">
        <v>590</v>
      </c>
      <c r="F112" s="1018"/>
      <c r="G112" s="1017" t="s">
        <v>591</v>
      </c>
      <c r="H112" s="1018"/>
      <c r="I112" s="1019" t="s">
        <v>592</v>
      </c>
      <c r="J112" s="1018"/>
      <c r="K112" s="1020" t="s">
        <v>867</v>
      </c>
      <c r="L112" s="1021"/>
      <c r="M112" s="1017" t="s">
        <v>510</v>
      </c>
      <c r="O112" s="96"/>
      <c r="AA112" s="127"/>
    </row>
    <row r="113" spans="1:27" ht="15" customHeight="1">
      <c r="A113" s="273" t="s">
        <v>1245</v>
      </c>
      <c r="B113" s="273"/>
      <c r="C113" s="273"/>
      <c r="D113" s="273"/>
      <c r="E113" s="911">
        <f>UnweightedStudCntPSDPY</f>
        <v>7.65</v>
      </c>
      <c r="F113" s="1022"/>
      <c r="G113" s="911">
        <f>UnweightedStudCntK8PY</f>
        <v>953.59050000000002</v>
      </c>
      <c r="H113" s="1023"/>
      <c r="I113" s="911">
        <f>UnweightedStudCnt912PY</f>
        <v>0</v>
      </c>
      <c r="J113" s="1023"/>
      <c r="K113" s="937">
        <f>IF(VALUE(LEFT(RIGHT(L1,7),2))=3,(HSCountDORtoDOA),0)</f>
        <v>0</v>
      </c>
      <c r="L113" s="1024"/>
      <c r="M113" s="1025"/>
      <c r="O113" s="96"/>
      <c r="AA113" s="127"/>
    </row>
    <row r="114" spans="1:27" ht="15" customHeight="1" thickBot="1">
      <c r="A114" s="273" t="s">
        <v>868</v>
      </c>
      <c r="B114" s="273"/>
      <c r="C114" s="273"/>
      <c r="D114" s="608" t="s">
        <v>670</v>
      </c>
      <c r="E114" s="1026">
        <f>IF(E113=0,0,Calculations!L77)</f>
        <v>549.45000000000005</v>
      </c>
      <c r="F114" s="608" t="s">
        <v>670</v>
      </c>
      <c r="G114" s="1012">
        <f>IF(VALUE(LEFT(RIGHT(L1,7),2))=8,0,IF(AND(UnweightedStudCntK8PY&gt;0,UnweightedStudCntK8PY&lt;100),Calculations!L52,IF(AND(Calculations!L56&gt;0),Calculations!L63,IF(AND(Calculations!L67&gt;0),Calculations!L74,IF(UnweightedStudCntK8PY&gt;=600,Calculations!L77,0)))))</f>
        <v>549.45000000000005</v>
      </c>
      <c r="H114" s="608" t="s">
        <v>670</v>
      </c>
      <c r="I114" s="1012">
        <f>IF(I113=0,0,IF(VALUE(LEFT(RIGHT(L1,7),2))=3,AA168/2,AA168))</f>
        <v>0</v>
      </c>
      <c r="J114" s="608" t="s">
        <v>670</v>
      </c>
      <c r="K114" s="1027">
        <f>IF(K113=0,0,IF(VALUE(LEFT(RIGHT(L1,7),2))=3,AA168/2,AA168))</f>
        <v>0</v>
      </c>
      <c r="L114" s="1028"/>
      <c r="M114" s="1029"/>
      <c r="O114" s="96"/>
      <c r="AA114" s="127"/>
    </row>
    <row r="115" spans="1:27" ht="15" customHeight="1">
      <c r="A115" s="1330" t="s">
        <v>869</v>
      </c>
      <c r="B115" s="273"/>
      <c r="C115" s="273"/>
      <c r="D115" s="608" t="s">
        <v>668</v>
      </c>
      <c r="E115" s="1011">
        <f>IF(E113&gt;0,ROUND(E113*E114,2),0)</f>
        <v>4203.29</v>
      </c>
      <c r="F115" s="608" t="s">
        <v>668</v>
      </c>
      <c r="G115" s="1011">
        <f>IF(G113&gt;0,ROUND(G113*G114,2),0)</f>
        <v>523950.3</v>
      </c>
      <c r="H115" s="608" t="s">
        <v>668</v>
      </c>
      <c r="I115" s="1011">
        <f>IF(OR(I113&gt;0),I113*I114,0)</f>
        <v>0</v>
      </c>
      <c r="J115" s="608" t="s">
        <v>668</v>
      </c>
      <c r="K115" s="1030">
        <f>IF(OR(K113&gt;0),K113*K114,0)</f>
        <v>0</v>
      </c>
      <c r="L115" s="1031"/>
      <c r="M115" s="1032">
        <f>(E113*E114)+(G113*G114)+(I113*I114)+(K113*K114)</f>
        <v>528153.59</v>
      </c>
      <c r="O115" s="96"/>
      <c r="AA115" s="97"/>
    </row>
    <row r="116" spans="1:27" ht="15" customHeight="1">
      <c r="A116" s="1033" t="s">
        <v>870</v>
      </c>
      <c r="B116" s="273"/>
      <c r="C116" s="273"/>
      <c r="D116" s="273"/>
      <c r="E116" s="608"/>
      <c r="F116" s="273"/>
      <c r="G116" s="608"/>
      <c r="H116" s="273"/>
      <c r="I116" s="608"/>
      <c r="J116" s="273"/>
      <c r="K116" s="608"/>
      <c r="L116" s="273"/>
      <c r="M116" s="1025"/>
      <c r="N116" s="96"/>
      <c r="O116" s="96"/>
      <c r="AA116" s="127"/>
    </row>
    <row r="117" spans="1:27" ht="15" customHeight="1">
      <c r="A117" s="977" t="s">
        <v>871</v>
      </c>
      <c r="B117" s="273"/>
      <c r="C117" s="273"/>
      <c r="D117" s="273"/>
      <c r="E117" s="608"/>
      <c r="F117" s="273"/>
      <c r="G117" s="608"/>
      <c r="H117" s="273"/>
      <c r="I117" s="608"/>
      <c r="J117" s="273"/>
      <c r="K117" s="608"/>
      <c r="L117" s="273"/>
      <c r="M117" s="1025"/>
      <c r="N117" s="96"/>
      <c r="O117" s="96"/>
      <c r="AA117" s="127"/>
    </row>
    <row r="118" spans="1:27" ht="15" customHeight="1">
      <c r="A118" s="273" t="s">
        <v>1245</v>
      </c>
      <c r="B118" s="273"/>
      <c r="C118" s="908">
        <f>IF(VALUE(LEFT(RIGHT(L1,7),2))=3,'Data Entry'!G29+UnweightedStudCntK8PY+UnweightedStudCnt912PY+HSCountDORtoDOA,'Data Entry'!G29+UnweightedStudCntK8PY+UnweightedStudCnt912PY)</f>
        <v>961.2405</v>
      </c>
      <c r="D118" s="273"/>
      <c r="E118" s="608"/>
      <c r="F118" s="273"/>
      <c r="G118" s="608"/>
      <c r="H118" s="273"/>
      <c r="I118" s="608"/>
      <c r="J118" s="273"/>
      <c r="K118" s="608"/>
      <c r="L118" s="273"/>
      <c r="M118" s="1025"/>
      <c r="N118" s="96"/>
      <c r="O118" s="96"/>
      <c r="AA118" s="127"/>
    </row>
    <row r="119" spans="1:27" ht="15" customHeight="1" thickBot="1">
      <c r="A119" s="273" t="s">
        <v>1246</v>
      </c>
      <c r="B119" s="608" t="s">
        <v>872</v>
      </c>
      <c r="C119" s="1034">
        <f>PY100DayADM</f>
        <v>1030.0064</v>
      </c>
      <c r="D119" s="273"/>
      <c r="E119" s="608"/>
      <c r="F119" s="273"/>
      <c r="G119" s="608"/>
      <c r="H119" s="273"/>
      <c r="I119" s="608"/>
      <c r="J119" s="273"/>
      <c r="K119" s="608"/>
      <c r="L119" s="273"/>
      <c r="M119" s="1025"/>
      <c r="N119" s="96"/>
      <c r="O119" s="96"/>
      <c r="AA119" s="127"/>
    </row>
    <row r="120" spans="1:27" ht="15" customHeight="1">
      <c r="A120" s="273" t="s">
        <v>1247</v>
      </c>
      <c r="B120" s="608" t="s">
        <v>668</v>
      </c>
      <c r="C120" s="908">
        <f>IF(C119&gt;0,ROUND(+C118/C119,10),0)</f>
        <v>0.93320000000000003</v>
      </c>
      <c r="E120" s="1241"/>
      <c r="G120" s="1241"/>
      <c r="I120" s="1241"/>
      <c r="K120" s="1241"/>
      <c r="L120" s="273"/>
      <c r="M120" s="1025"/>
      <c r="N120" s="96"/>
      <c r="O120" s="96"/>
      <c r="AA120" s="127"/>
    </row>
    <row r="121" spans="1:27" ht="15" customHeight="1" thickBot="1">
      <c r="A121" s="273" t="s">
        <v>1248</v>
      </c>
      <c r="B121" s="273"/>
      <c r="C121" s="273"/>
      <c r="D121" s="608" t="s">
        <v>670</v>
      </c>
      <c r="E121" s="1035">
        <f>IF(IF(C119&gt;0,ROUND(+C118/C119,10),0)&gt;0,IF(IF(C119&gt;0,ROUND(+C118/C119,10),0)&gt;1.05,+(IF(C119&gt;0,ROUND(+C118/C119,10),0)-1)/2+1,1),0)</f>
        <v>1</v>
      </c>
      <c r="F121" s="608" t="s">
        <v>670</v>
      </c>
      <c r="G121" s="1035">
        <f>IF(IF(C119&gt;0,ROUND(+C118/C119,10),0)&gt;0,IF(IF(C119&gt;0,ROUND(+C118/C119,10),0)&gt;1.05,+(IF(C119&gt;0,ROUND(+C118/C119,10),0)-1)/2+1,1),0)</f>
        <v>1</v>
      </c>
      <c r="H121" s="608" t="s">
        <v>670</v>
      </c>
      <c r="I121" s="1035">
        <f>IF(IF(C119&gt;0,ROUND(+C118/C119,10),0)&gt;0,IF(IF(C119&gt;0,ROUND(+C118/C119,10),0)&gt;1.05,+(IF(C119&gt;0,ROUND(+C118/C119,10),0)-1)/2+1,1),0)</f>
        <v>1</v>
      </c>
      <c r="J121" s="608" t="s">
        <v>670</v>
      </c>
      <c r="K121" s="1035">
        <f>IF(IF(C119&gt;0,ROUND(+C118/C119,10),0)&gt;0,IF(IF(C119&gt;0,ROUND(+C118/C119,10),0)&gt;1.05,+(IF(C119&gt;0,ROUND(+C118/C119,10),0)-1)/2+1,1),0)</f>
        <v>1</v>
      </c>
      <c r="L121" s="273"/>
      <c r="M121" s="1025"/>
      <c r="N121" s="96"/>
      <c r="O121" s="96"/>
      <c r="AA121" s="127"/>
    </row>
    <row r="122" spans="1:27" ht="15" customHeight="1">
      <c r="A122" s="1915" t="s">
        <v>873</v>
      </c>
      <c r="B122" s="1915"/>
      <c r="C122" s="1915"/>
      <c r="D122" s="1036"/>
      <c r="E122" s="273"/>
      <c r="F122" s="273"/>
      <c r="G122" s="273"/>
      <c r="H122" s="273"/>
      <c r="I122" s="273"/>
      <c r="J122" s="273"/>
      <c r="K122" s="608"/>
      <c r="L122" s="273"/>
      <c r="M122" s="608"/>
      <c r="N122" s="96"/>
      <c r="O122" s="96"/>
      <c r="AA122" s="127"/>
    </row>
    <row r="123" spans="1:27" ht="15" customHeight="1">
      <c r="A123" s="1915"/>
      <c r="B123" s="1915"/>
      <c r="C123" s="1915"/>
      <c r="D123" s="1036"/>
      <c r="E123" s="273"/>
      <c r="F123" s="273"/>
      <c r="G123" s="273"/>
      <c r="H123" s="273"/>
      <c r="I123" s="273"/>
      <c r="J123" s="273"/>
      <c r="K123" s="608"/>
      <c r="L123" s="273"/>
      <c r="M123" s="1025"/>
      <c r="N123" s="96"/>
      <c r="O123" s="96"/>
      <c r="AA123" s="127"/>
    </row>
    <row r="124" spans="1:27" ht="15" customHeight="1">
      <c r="A124" s="1330" t="s">
        <v>874</v>
      </c>
      <c r="B124" s="273"/>
      <c r="C124" s="273"/>
      <c r="D124" s="273"/>
      <c r="E124" s="956">
        <f>IF(E121&gt;0,ROUND(E115*E121,2),0)</f>
        <v>4203.29</v>
      </c>
      <c r="F124" s="898"/>
      <c r="G124" s="1032">
        <f>IF(G121&gt;0,ROUND(G115*G121,2),0)</f>
        <v>523950.3</v>
      </c>
      <c r="H124" s="898"/>
      <c r="I124" s="1032">
        <f>IF(I121&gt;0,ROUND(I115*I121,2),0)</f>
        <v>0</v>
      </c>
      <c r="J124" s="898"/>
      <c r="K124" s="1032">
        <f>IF(K121&gt;0,ROUND(K115*K121,2),0)</f>
        <v>0</v>
      </c>
      <c r="L124" s="1330"/>
      <c r="M124" s="1032">
        <f>(IF(E121&gt;0,(E113*E114)*E121,0))+(IF(G121&gt;0,(G113*G114)*G121,0))+(IF(K121&gt;0,(K113*K114)*I121,0))+(IF(I121&gt;0,(I113*I114)*I121,0))</f>
        <v>528153.59</v>
      </c>
      <c r="N124" s="96"/>
      <c r="O124" s="96"/>
      <c r="AA124" s="127"/>
    </row>
    <row r="125" spans="1:27" ht="15" customHeight="1">
      <c r="A125" s="273"/>
      <c r="B125" s="273"/>
      <c r="C125" s="273"/>
      <c r="D125" s="273"/>
      <c r="E125" s="273"/>
      <c r="F125" s="273"/>
      <c r="G125" s="273"/>
      <c r="H125" s="273"/>
      <c r="I125" s="273"/>
      <c r="J125" s="273"/>
      <c r="K125" s="273"/>
      <c r="L125" s="273"/>
      <c r="M125" s="1025"/>
      <c r="N125" s="96"/>
      <c r="O125" s="96"/>
      <c r="AA125" s="127"/>
    </row>
    <row r="126" spans="1:27" ht="15" customHeight="1" thickBot="1">
      <c r="A126" s="1037" t="s">
        <v>875</v>
      </c>
      <c r="B126" s="273"/>
      <c r="C126" s="273"/>
      <c r="D126" s="273"/>
      <c r="E126" s="273"/>
      <c r="F126" s="273"/>
      <c r="G126" s="273"/>
      <c r="H126" s="273"/>
      <c r="I126" s="273"/>
      <c r="J126" s="273"/>
      <c r="K126" s="273"/>
      <c r="L126" s="273"/>
      <c r="M126" s="1025"/>
      <c r="N126" s="96"/>
      <c r="O126" s="96"/>
      <c r="AA126" s="127"/>
    </row>
    <row r="127" spans="1:27" ht="15" customHeight="1">
      <c r="A127" s="273" t="s">
        <v>1249</v>
      </c>
      <c r="B127" s="273"/>
      <c r="C127" s="273"/>
      <c r="D127" s="273"/>
      <c r="E127" s="273"/>
      <c r="F127" s="273"/>
      <c r="G127" s="273"/>
      <c r="H127" s="273"/>
      <c r="I127" s="908">
        <f>UnweightedStudCnt912PY</f>
        <v>0</v>
      </c>
      <c r="J127" s="273"/>
      <c r="K127" s="273"/>
      <c r="L127" s="273"/>
      <c r="M127" s="608"/>
      <c r="N127" s="96"/>
      <c r="O127" s="96"/>
      <c r="AA127" s="127"/>
    </row>
    <row r="128" spans="1:27" ht="15" customHeight="1">
      <c r="A128" s="273" t="s">
        <v>876</v>
      </c>
      <c r="B128" s="273"/>
      <c r="C128" s="273"/>
      <c r="D128" s="273"/>
      <c r="E128" s="273"/>
      <c r="F128" s="273"/>
      <c r="G128" s="273"/>
      <c r="H128" s="608" t="s">
        <v>670</v>
      </c>
      <c r="I128" s="1038">
        <v>84.93</v>
      </c>
      <c r="J128" s="273"/>
      <c r="K128" s="273"/>
      <c r="L128" s="273"/>
      <c r="M128" s="1025"/>
      <c r="N128" s="96"/>
      <c r="O128" s="96"/>
      <c r="AA128" s="127"/>
    </row>
    <row r="129" spans="1:28" ht="15" customHeight="1">
      <c r="A129" s="914" t="s">
        <v>875</v>
      </c>
      <c r="B129" s="273"/>
      <c r="C129" s="273"/>
      <c r="D129" s="273"/>
      <c r="E129" s="273"/>
      <c r="F129" s="273"/>
      <c r="G129" s="273"/>
      <c r="H129" s="273"/>
      <c r="I129" s="608"/>
      <c r="J129" s="273"/>
      <c r="K129" s="273"/>
      <c r="L129" s="273"/>
      <c r="M129" s="1032">
        <f>IF(I127&gt;0,ROUND(+I127*I128,2),0)</f>
        <v>0</v>
      </c>
      <c r="N129" s="96"/>
      <c r="O129" s="96"/>
      <c r="AA129" s="127"/>
    </row>
    <row r="130" spans="1:28" ht="15" customHeight="1">
      <c r="A130" s="273"/>
      <c r="B130" s="273"/>
      <c r="C130" s="273"/>
      <c r="D130" s="273"/>
      <c r="E130" s="273"/>
      <c r="F130" s="273"/>
      <c r="G130" s="273"/>
      <c r="H130" s="273"/>
      <c r="I130" s="273"/>
      <c r="J130" s="273"/>
      <c r="K130" s="273"/>
      <c r="L130" s="273"/>
      <c r="M130" s="1039"/>
      <c r="N130" s="96"/>
      <c r="O130" s="96"/>
      <c r="AA130" s="127"/>
    </row>
    <row r="131" spans="1:28" ht="15" customHeight="1" thickBot="1">
      <c r="A131" s="273"/>
      <c r="B131" s="273"/>
      <c r="C131" s="273"/>
      <c r="D131" s="273"/>
      <c r="E131" s="1040" t="s">
        <v>877</v>
      </c>
      <c r="F131" s="273"/>
      <c r="G131" s="1040" t="s">
        <v>592</v>
      </c>
      <c r="H131" s="273"/>
      <c r="I131" s="273"/>
      <c r="J131" s="273"/>
      <c r="K131" s="273"/>
      <c r="L131" s="273"/>
      <c r="M131" s="1039"/>
      <c r="N131" s="96"/>
      <c r="O131" s="96"/>
      <c r="AA131" s="127"/>
    </row>
    <row r="132" spans="1:28" ht="15" customHeight="1">
      <c r="A132" s="1330" t="s">
        <v>878</v>
      </c>
      <c r="B132" s="273"/>
      <c r="C132" s="273"/>
      <c r="D132" s="273"/>
      <c r="E132" s="1011">
        <f>E124+G124</f>
        <v>528153.59</v>
      </c>
      <c r="F132" s="1041"/>
      <c r="G132" s="1011">
        <f>I124+M129</f>
        <v>0</v>
      </c>
      <c r="H132" s="273"/>
      <c r="I132" s="273"/>
      <c r="J132" s="273"/>
      <c r="K132" s="273"/>
      <c r="L132" s="273"/>
      <c r="M132" s="1032">
        <f>E132+G132+G133</f>
        <v>528153.59</v>
      </c>
      <c r="N132" s="96"/>
      <c r="O132" s="96"/>
      <c r="AA132" s="127"/>
    </row>
    <row r="133" spans="1:28" ht="15" customHeight="1">
      <c r="A133" s="657" t="s">
        <v>867</v>
      </c>
      <c r="B133" s="273"/>
      <c r="C133" s="273"/>
      <c r="D133" s="310"/>
      <c r="E133" s="1011"/>
      <c r="F133" s="1041"/>
      <c r="G133" s="1011">
        <f>K124</f>
        <v>0</v>
      </c>
      <c r="H133" s="273"/>
      <c r="I133" s="273"/>
      <c r="J133" s="273"/>
      <c r="K133" s="273"/>
      <c r="L133" s="273"/>
      <c r="M133" s="1042"/>
      <c r="N133" s="96"/>
      <c r="O133" s="96"/>
      <c r="AA133" s="127"/>
    </row>
    <row r="134" spans="1:28" ht="15" customHeight="1" thickBot="1">
      <c r="A134" s="273"/>
      <c r="B134" s="273"/>
      <c r="C134" s="273"/>
      <c r="D134" s="273"/>
      <c r="E134" s="1026">
        <f>CapTransportAdjPSD+CapTransportAdjK8</f>
        <v>0</v>
      </c>
      <c r="F134" s="1041"/>
      <c r="G134" s="1026">
        <f>CapTransportAdj912</f>
        <v>0</v>
      </c>
      <c r="H134" s="273"/>
      <c r="I134" s="273"/>
      <c r="J134" s="273"/>
      <c r="K134" s="273"/>
      <c r="L134" s="273"/>
      <c r="M134" s="1043">
        <f>E134+G134</f>
        <v>0</v>
      </c>
      <c r="N134" s="96"/>
      <c r="O134" s="96"/>
      <c r="AA134" s="127"/>
    </row>
    <row r="135" spans="1:28" ht="15" customHeight="1">
      <c r="A135" s="1330" t="s">
        <v>879</v>
      </c>
      <c r="B135" s="273"/>
      <c r="C135" s="273"/>
      <c r="D135" s="273"/>
      <c r="E135" s="1011">
        <f>SUM(E134)</f>
        <v>0</v>
      </c>
      <c r="F135" s="1041"/>
      <c r="G135" s="1011">
        <f>G134</f>
        <v>0</v>
      </c>
      <c r="H135" s="273"/>
      <c r="I135" s="273"/>
      <c r="J135" s="273"/>
      <c r="K135" s="273"/>
      <c r="L135" s="273"/>
      <c r="M135" s="1032">
        <f>E135+G135</f>
        <v>0</v>
      </c>
      <c r="N135" s="96"/>
      <c r="O135" s="96"/>
      <c r="AA135" s="127"/>
    </row>
    <row r="136" spans="1:28" ht="15" customHeight="1">
      <c r="A136" s="1330" t="s">
        <v>1250</v>
      </c>
      <c r="B136" s="273"/>
      <c r="C136" s="273"/>
      <c r="D136" s="273"/>
      <c r="E136" s="1011">
        <f>E132+E135</f>
        <v>528153.59</v>
      </c>
      <c r="F136" s="1041"/>
      <c r="G136" s="1011">
        <f>G135+G132+G133</f>
        <v>0</v>
      </c>
      <c r="H136" s="273"/>
      <c r="I136" s="273"/>
      <c r="J136" s="273"/>
      <c r="K136" s="273"/>
      <c r="L136" s="273"/>
      <c r="M136" s="956">
        <f>E136+G136</f>
        <v>528153.59</v>
      </c>
      <c r="N136" s="96"/>
      <c r="O136" s="96"/>
      <c r="AA136" s="127"/>
    </row>
    <row r="137" spans="1:28" ht="15" customHeight="1">
      <c r="E137" s="211"/>
      <c r="AA137" s="127"/>
    </row>
    <row r="138" spans="1:28" ht="15" customHeight="1">
      <c r="AA138" s="127"/>
    </row>
    <row r="139" spans="1:28" ht="15" customHeight="1">
      <c r="A139" s="315"/>
      <c r="B139" s="315"/>
      <c r="C139" s="315"/>
      <c r="D139" s="1830" t="str">
        <f>IF(DistrictName&lt;&gt;0,DistrictName,"")</f>
        <v>Murphy Elementary School District #21</v>
      </c>
      <c r="E139" s="1830"/>
      <c r="F139" s="1830"/>
      <c r="G139" s="1830"/>
      <c r="H139" s="1830"/>
      <c r="I139" s="315"/>
      <c r="J139" s="315"/>
      <c r="K139" s="315"/>
      <c r="L139" s="315"/>
      <c r="M139" s="315"/>
    </row>
    <row r="140" spans="1:28" ht="34.5" customHeight="1">
      <c r="A140" s="314"/>
      <c r="B140" s="314"/>
      <c r="C140" s="314"/>
      <c r="D140" s="1904" t="s">
        <v>802</v>
      </c>
      <c r="E140" s="1904"/>
      <c r="F140" s="1904"/>
      <c r="G140" s="1904"/>
      <c r="H140" s="1904"/>
      <c r="I140" s="314"/>
      <c r="J140" s="314"/>
      <c r="K140" s="314"/>
      <c r="L140" s="314"/>
      <c r="M140" s="314"/>
      <c r="AA140" s="1044" t="str">
        <f>IF(AND(VALUE(LEFT(RIGHT(L1,7),2))=3,DailyRteMilesPerElgStud&gt;1),0.18,IF(AND(VALUE(LEFT(RIGHT(L1,7),2))=3,DailyRteMilesPerElgStud&lt;=1),0.15," "))</f>
        <v xml:space="preserve"> </v>
      </c>
    </row>
    <row r="141" spans="1:28" ht="15" customHeight="1" thickBot="1">
      <c r="A141" s="902"/>
      <c r="B141" s="902"/>
      <c r="C141" s="902"/>
      <c r="D141" s="902"/>
      <c r="E141" s="902"/>
      <c r="F141" s="901" t="s">
        <v>803</v>
      </c>
      <c r="G141" s="902" t="str">
        <f>IF(AND(SmallIsolatedPSD8Checkbox="X",SmallIsolated912Checkbox="X"),"Elementary and High School",IF(SmallIsolatedPSD8Checkbox="X","Elementary",IF(SmallIsolated912Checkbox="X","High School","Not Isolated")))</f>
        <v>Not Isolated</v>
      </c>
      <c r="H141" s="902"/>
      <c r="I141" s="902"/>
      <c r="J141" s="902"/>
      <c r="K141" s="902"/>
      <c r="L141" s="903" t="s">
        <v>804</v>
      </c>
      <c r="M141" s="903" t="s">
        <v>880</v>
      </c>
      <c r="AA141" s="1044" t="str">
        <f>IF(AND(VALUE(LEFT(RIGHT(L1,7),2))=2,DailyRteMilesPerElgStud&gt;1),0.18,IF(AND(VALUE(LEFT(RIGHT(L1,7),2))=2,DailyRteMilesPerElgStud&lt;=1),0.15," "))</f>
        <v xml:space="preserve"> </v>
      </c>
      <c r="AB141" s="253"/>
    </row>
    <row r="142" spans="1:28" ht="15" customHeight="1">
      <c r="A142" s="1045" t="s">
        <v>881</v>
      </c>
      <c r="B142" s="273"/>
      <c r="C142" s="273"/>
      <c r="D142" s="273"/>
      <c r="E142" s="307"/>
      <c r="F142" s="273"/>
      <c r="G142" s="307"/>
      <c r="H142" s="273"/>
      <c r="I142" s="1909" t="s">
        <v>882</v>
      </c>
      <c r="J142" s="307"/>
      <c r="K142" s="273"/>
      <c r="L142" s="307"/>
      <c r="M142" s="976"/>
      <c r="N142" s="96"/>
      <c r="AA142" s="1044">
        <f>IF(AND(VALUE(LEFT(RIGHT(L1,7),2))=4,DailyRteMilesPerElgStud&gt;1),0.12,IF(AND(VALUE(LEFT(RIGHT(L1,7),2))=4,DailyRteMilesPerElgStud&lt;=1),0.1," "))</f>
        <v>0.12</v>
      </c>
    </row>
    <row r="143" spans="1:28" ht="15" customHeight="1" thickBot="1">
      <c r="A143" s="273"/>
      <c r="B143" s="273"/>
      <c r="C143" s="273"/>
      <c r="D143" s="273"/>
      <c r="E143" s="1046" t="s">
        <v>883</v>
      </c>
      <c r="F143" s="273"/>
      <c r="G143" s="1040" t="s">
        <v>884</v>
      </c>
      <c r="H143" s="273"/>
      <c r="I143" s="1910"/>
      <c r="J143" s="307"/>
      <c r="K143" s="273"/>
      <c r="L143" s="1040" t="s">
        <v>1251</v>
      </c>
      <c r="M143" s="976"/>
      <c r="N143" s="96"/>
      <c r="AA143" s="1044" t="str">
        <f>IF(AND(VALUE(LEFT(RIGHT(L1,7),2))=5,DailyRteMilesPerElgStud&gt;1),0.3,IF(AND(VALUE(LEFT(RIGHT(L1,7),2))=5,DailyRteMilesPerElgStud&lt;=1),0.25," "))</f>
        <v xml:space="preserve"> </v>
      </c>
    </row>
    <row r="144" spans="1:28" ht="15" customHeight="1">
      <c r="A144" s="273" t="s">
        <v>877</v>
      </c>
      <c r="B144" s="273"/>
      <c r="C144" s="273"/>
      <c r="D144" s="273"/>
      <c r="E144" s="908">
        <f>((C7*F7)+(D7*F7)+(E7*F7)+(C8*F8)+(D8*F8)+(E8*F8))</f>
        <v>1079.1738</v>
      </c>
      <c r="F144" s="273"/>
      <c r="G144" s="1047">
        <f>ROUND(IF(E146&gt;0,(((C7*F7)+(D7*F7)+(E7*F7)+(C8*F8)+(D8*F8)+(E8*F8))/(((C7*F7)+(D7*F7)+(E7*F7)+(C8*F8)+(D8*F8)+(E8*F8))+((C9*F9)+(D9*F9)+(E9*F9)))),0),10)</f>
        <v>1</v>
      </c>
      <c r="H144" s="608" t="s">
        <v>670</v>
      </c>
      <c r="I144" s="1048">
        <f>IF(VALUE(LEFT(RIGHT(L1,7),2))=3,G144*J90,MIN(DSL,RCL))</f>
        <v>7154892.6699999999</v>
      </c>
      <c r="J144" s="1049"/>
      <c r="K144" s="273"/>
      <c r="L144" s="1050">
        <f>G144*I144</f>
        <v>7154892.6699999999</v>
      </c>
      <c r="M144" s="976"/>
      <c r="N144" s="96"/>
      <c r="AA144" s="1044"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294" t="s">
        <v>592</v>
      </c>
      <c r="B145" s="273"/>
      <c r="C145" s="273"/>
      <c r="D145" s="273"/>
      <c r="E145" s="908">
        <f>((C9*F9)+(D9*F9)+(E9*F9))</f>
        <v>0</v>
      </c>
      <c r="F145" s="273"/>
      <c r="G145" s="1047">
        <f>ROUND(IF(E146&gt;0,(((C9*F9)+(D9*F9)+(E9*F9))/(((C7*F7)+(D7*F7)+(E7*F7)+(C8*F8)+(D8*F8)+(E8*F8))+((C9*F9)+(D9*F9)+(E9*F9)))),0),10)</f>
        <v>0</v>
      </c>
      <c r="H145" s="608" t="s">
        <v>670</v>
      </c>
      <c r="I145" s="1048">
        <f>IF(VALUE(LEFT(RIGHT(L1,7),2))=3,G144*J90,MIN(DSL,RCL))</f>
        <v>7154892.6699999999</v>
      </c>
      <c r="J145" s="1049"/>
      <c r="K145" s="608" t="s">
        <v>672</v>
      </c>
      <c r="L145" s="1041">
        <f>G145*I145</f>
        <v>0</v>
      </c>
      <c r="M145" s="976"/>
      <c r="N145" s="96"/>
      <c r="AA145" s="127"/>
    </row>
    <row r="146" spans="1:27" ht="15" customHeight="1" thickBot="1">
      <c r="A146" s="1046" t="s">
        <v>510</v>
      </c>
      <c r="B146" s="902"/>
      <c r="C146" s="902"/>
      <c r="D146" s="902"/>
      <c r="E146" s="1051">
        <f>E144+E145</f>
        <v>1079.1738</v>
      </c>
      <c r="F146" s="902"/>
      <c r="G146" s="902"/>
      <c r="H146" s="902"/>
      <c r="I146" s="902"/>
      <c r="J146" s="902"/>
      <c r="K146" s="902"/>
      <c r="L146" s="1052">
        <f>SUM(L144:L145)</f>
        <v>7154892.6699999999</v>
      </c>
      <c r="M146" s="993"/>
      <c r="N146" s="96"/>
      <c r="AA146" s="127"/>
    </row>
    <row r="147" spans="1:27" ht="15" customHeight="1">
      <c r="A147" s="273"/>
      <c r="B147" s="273"/>
      <c r="C147" s="273"/>
      <c r="D147" s="273"/>
      <c r="E147" s="273"/>
      <c r="F147" s="273"/>
      <c r="G147" s="273"/>
      <c r="H147" s="273"/>
      <c r="I147" s="273"/>
      <c r="J147" s="273"/>
      <c r="K147" s="273"/>
      <c r="L147" s="273"/>
      <c r="M147" s="976"/>
      <c r="N147" s="96"/>
      <c r="AA147" s="127"/>
    </row>
    <row r="148" spans="1:27" ht="15" customHeight="1" thickBot="1">
      <c r="A148" s="1045" t="s">
        <v>885</v>
      </c>
      <c r="B148" s="273"/>
      <c r="C148" s="273"/>
      <c r="D148" s="273"/>
      <c r="E148" s="1040" t="s">
        <v>877</v>
      </c>
      <c r="F148" s="273"/>
      <c r="G148" s="1040" t="s">
        <v>886</v>
      </c>
      <c r="H148" s="273"/>
      <c r="I148" s="273"/>
      <c r="J148" s="273"/>
      <c r="K148" s="273"/>
      <c r="L148" s="1040" t="s">
        <v>510</v>
      </c>
      <c r="M148" s="976"/>
      <c r="N148" s="96"/>
      <c r="AA148" s="127"/>
    </row>
    <row r="149" spans="1:27" ht="15" customHeight="1">
      <c r="A149" s="273" t="s">
        <v>887</v>
      </c>
      <c r="B149" s="273"/>
      <c r="C149" s="273"/>
      <c r="D149" s="273"/>
      <c r="E149" s="1011">
        <f>PAV</f>
        <v>136112534</v>
      </c>
      <c r="F149" s="1041"/>
      <c r="G149" s="1011">
        <f>PAV</f>
        <v>136112534</v>
      </c>
      <c r="H149" s="273"/>
      <c r="I149" s="273"/>
      <c r="J149" s="273"/>
      <c r="K149" s="273"/>
      <c r="L149" s="273"/>
      <c r="M149" s="976"/>
      <c r="N149" s="96"/>
      <c r="AA149" s="127"/>
    </row>
    <row r="150" spans="1:27" ht="15" customHeight="1">
      <c r="A150" s="273" t="s">
        <v>888</v>
      </c>
      <c r="B150" s="273"/>
      <c r="C150" s="273"/>
      <c r="D150" s="273"/>
      <c r="E150" s="1011">
        <f>_PAV2</f>
        <v>0</v>
      </c>
      <c r="F150" s="1041"/>
      <c r="G150" s="1011">
        <f>_PAV2</f>
        <v>0</v>
      </c>
      <c r="H150" s="273"/>
      <c r="I150" s="273"/>
      <c r="J150" s="273"/>
      <c r="K150" s="273"/>
      <c r="L150" s="273"/>
      <c r="M150" s="976"/>
      <c r="N150" s="96"/>
      <c r="AA150" s="127"/>
    </row>
    <row r="151" spans="1:27" ht="15" customHeight="1">
      <c r="A151" s="273" t="s">
        <v>889</v>
      </c>
      <c r="B151" s="273"/>
      <c r="C151" s="273"/>
      <c r="D151" s="273"/>
      <c r="E151" s="1011">
        <f>SRPV</f>
        <v>159000</v>
      </c>
      <c r="F151" s="1041"/>
      <c r="G151" s="1011">
        <f>SRPV</f>
        <v>159000</v>
      </c>
      <c r="H151" s="273"/>
      <c r="I151" s="273"/>
      <c r="J151" s="273"/>
      <c r="K151" s="273"/>
      <c r="L151" s="273"/>
      <c r="M151" s="976"/>
      <c r="N151" s="96"/>
      <c r="AA151" s="127"/>
    </row>
    <row r="152" spans="1:27" ht="15" customHeight="1" thickBot="1">
      <c r="A152" s="273" t="s">
        <v>890</v>
      </c>
      <c r="B152" s="273"/>
      <c r="C152" s="273"/>
      <c r="D152" s="273"/>
      <c r="E152" s="1012">
        <f>GPLETV</f>
        <v>0</v>
      </c>
      <c r="F152" s="1041"/>
      <c r="G152" s="1012">
        <f>GPLETV</f>
        <v>0</v>
      </c>
      <c r="H152" s="273"/>
      <c r="I152" s="273"/>
      <c r="J152" s="273"/>
      <c r="K152" s="273"/>
      <c r="L152" s="273"/>
      <c r="M152" s="976"/>
      <c r="N152" s="96"/>
      <c r="AA152" s="127"/>
    </row>
    <row r="153" spans="1:27" ht="15" customHeight="1">
      <c r="A153" s="1330" t="s">
        <v>891</v>
      </c>
      <c r="B153" s="273"/>
      <c r="C153" s="273"/>
      <c r="D153" s="273"/>
      <c r="E153" s="1011">
        <f>SUM(E149:E152)</f>
        <v>136271534</v>
      </c>
      <c r="F153" s="1041"/>
      <c r="G153" s="1011">
        <f>SUM(G149:G152)</f>
        <v>136271534</v>
      </c>
      <c r="H153" s="273"/>
      <c r="I153" s="273"/>
      <c r="J153" s="273"/>
      <c r="K153" s="273"/>
      <c r="L153" s="273"/>
      <c r="M153" s="976"/>
      <c r="N153" s="96"/>
      <c r="AA153" s="127"/>
    </row>
    <row r="154" spans="1:27" ht="15" customHeight="1" thickBot="1">
      <c r="A154" s="273"/>
      <c r="B154" s="273"/>
      <c r="C154" s="273"/>
      <c r="D154" s="608" t="s">
        <v>872</v>
      </c>
      <c r="E154" s="901">
        <v>100</v>
      </c>
      <c r="F154" s="608" t="s">
        <v>872</v>
      </c>
      <c r="G154" s="901">
        <v>100</v>
      </c>
      <c r="H154" s="273"/>
      <c r="I154" s="273"/>
      <c r="J154" s="273"/>
      <c r="K154" s="273"/>
      <c r="L154" s="273"/>
      <c r="M154" s="976"/>
      <c r="N154" s="96"/>
      <c r="AA154" s="127"/>
    </row>
    <row r="155" spans="1:27" ht="15" customHeight="1">
      <c r="A155" s="273"/>
      <c r="B155" s="273"/>
      <c r="C155" s="273"/>
      <c r="D155" s="273"/>
      <c r="E155" s="1011">
        <f>E153/E154</f>
        <v>1362715.34</v>
      </c>
      <c r="F155" s="1041"/>
      <c r="G155" s="1011">
        <f>G153/G154</f>
        <v>1362715.34</v>
      </c>
      <c r="H155" s="273"/>
      <c r="I155" s="273"/>
      <c r="J155" s="273"/>
      <c r="K155" s="273"/>
      <c r="L155" s="273"/>
      <c r="M155" s="976"/>
      <c r="N155" s="96"/>
      <c r="AA155" s="127"/>
    </row>
    <row r="156" spans="1:27" ht="15" customHeight="1" thickBot="1">
      <c r="A156" s="273" t="s">
        <v>892</v>
      </c>
      <c r="B156" s="273"/>
      <c r="C156" s="273"/>
      <c r="D156" s="608" t="s">
        <v>670</v>
      </c>
      <c r="E156" s="1035">
        <f>IF(VALUE(LEFT(RIGHT(L1,7),2))=8,0.05,QTR)</f>
        <v>1.5606</v>
      </c>
      <c r="F156" s="608" t="s">
        <v>670</v>
      </c>
      <c r="G156" s="1035">
        <f>IF(VALUE(LEFT(RIGHT(L1,7),2))=8,0.05,QTR)</f>
        <v>1.5606</v>
      </c>
      <c r="H156" s="273"/>
      <c r="I156" s="273"/>
      <c r="J156" s="273"/>
      <c r="K156" s="273"/>
      <c r="L156" s="273"/>
      <c r="M156" s="976"/>
      <c r="N156" s="96"/>
      <c r="AA156" s="127"/>
    </row>
    <row r="157" spans="1:27" ht="15" customHeight="1">
      <c r="A157" s="1330" t="s">
        <v>1252</v>
      </c>
      <c r="B157" s="273"/>
      <c r="C157" s="273"/>
      <c r="D157" s="273"/>
      <c r="E157" s="1011">
        <f>E155*E156</f>
        <v>2126653.56</v>
      </c>
      <c r="F157" s="1041"/>
      <c r="G157" s="1011">
        <f>G155*G156</f>
        <v>2126653.56</v>
      </c>
      <c r="H157" s="1041"/>
      <c r="I157" s="1041"/>
      <c r="J157" s="1041"/>
      <c r="K157" s="1041"/>
      <c r="L157" s="1011">
        <f>E157+G157</f>
        <v>4253307.12</v>
      </c>
      <c r="M157" s="976"/>
      <c r="N157" s="96"/>
      <c r="AA157" s="127"/>
    </row>
    <row r="158" spans="1:27" ht="15" customHeight="1" thickBot="1">
      <c r="A158" s="902"/>
      <c r="B158" s="902"/>
      <c r="C158" s="902"/>
      <c r="D158" s="902"/>
      <c r="E158" s="902"/>
      <c r="F158" s="902"/>
      <c r="G158" s="902"/>
      <c r="H158" s="902"/>
      <c r="I158" s="902"/>
      <c r="J158" s="902"/>
      <c r="K158" s="902"/>
      <c r="L158" s="902"/>
      <c r="M158" s="993"/>
      <c r="N158" s="96"/>
      <c r="AA158" s="127"/>
    </row>
    <row r="159" spans="1:27" ht="15" customHeight="1">
      <c r="A159" s="307"/>
      <c r="B159" s="273"/>
      <c r="C159" s="273"/>
      <c r="D159" s="273"/>
      <c r="E159" s="273"/>
      <c r="F159" s="273"/>
      <c r="G159" s="273"/>
      <c r="H159" s="273"/>
      <c r="I159" s="273"/>
      <c r="J159" s="273"/>
      <c r="K159" s="273"/>
      <c r="L159" s="273"/>
      <c r="M159" s="976"/>
      <c r="N159" s="96"/>
      <c r="AA159" s="127"/>
    </row>
    <row r="160" spans="1:27" ht="15" customHeight="1">
      <c r="A160" s="977" t="s">
        <v>893</v>
      </c>
      <c r="B160" s="273"/>
      <c r="C160" s="273"/>
      <c r="D160" s="273"/>
      <c r="E160" s="273"/>
      <c r="F160" s="273"/>
      <c r="G160" s="273"/>
      <c r="H160" s="273"/>
      <c r="I160" s="273"/>
      <c r="J160" s="273"/>
      <c r="K160" s="273"/>
      <c r="L160" s="273"/>
      <c r="M160" s="976"/>
      <c r="N160" s="96"/>
      <c r="AA160" s="127"/>
    </row>
    <row r="161" spans="1:27" ht="15" customHeight="1" thickBot="1">
      <c r="A161" s="273"/>
      <c r="B161" s="273"/>
      <c r="C161" s="273"/>
      <c r="D161" s="273"/>
      <c r="E161" s="1040" t="s">
        <v>877</v>
      </c>
      <c r="F161" s="273"/>
      <c r="G161" s="1040" t="s">
        <v>592</v>
      </c>
      <c r="H161" s="273"/>
      <c r="I161" s="273"/>
      <c r="J161" s="273"/>
      <c r="K161" s="273"/>
      <c r="L161" s="1040" t="s">
        <v>510</v>
      </c>
      <c r="M161" s="976"/>
      <c r="N161" s="96"/>
      <c r="AA161" s="127"/>
    </row>
    <row r="162" spans="1:27" ht="15" customHeight="1">
      <c r="A162" s="273" t="s">
        <v>894</v>
      </c>
      <c r="B162" s="273"/>
      <c r="C162" s="273"/>
      <c r="D162" s="273"/>
      <c r="E162" s="1011">
        <f>L144</f>
        <v>7154892.6699999999</v>
      </c>
      <c r="F162" s="273"/>
      <c r="G162" s="1011">
        <f>L145</f>
        <v>0</v>
      </c>
      <c r="H162" s="273"/>
      <c r="I162" s="273"/>
      <c r="J162" s="273"/>
      <c r="K162" s="273"/>
      <c r="L162" s="1011">
        <f>E162+G162</f>
        <v>7154892.6699999999</v>
      </c>
      <c r="M162" s="976"/>
      <c r="N162" s="96"/>
      <c r="AA162" s="127"/>
    </row>
    <row r="163" spans="1:27" ht="15" customHeight="1">
      <c r="A163" s="273" t="s">
        <v>895</v>
      </c>
      <c r="B163" s="273"/>
      <c r="C163" s="273"/>
      <c r="D163" s="608" t="s">
        <v>672</v>
      </c>
      <c r="E163" s="1011">
        <f>E136</f>
        <v>528153.59</v>
      </c>
      <c r="F163" s="608" t="s">
        <v>672</v>
      </c>
      <c r="G163" s="1011">
        <f>G136</f>
        <v>0</v>
      </c>
      <c r="H163" s="273"/>
      <c r="I163" s="273"/>
      <c r="J163" s="273"/>
      <c r="K163" s="608" t="s">
        <v>672</v>
      </c>
      <c r="L163" s="1011">
        <f>E163+G163</f>
        <v>528153.59</v>
      </c>
      <c r="M163" s="976"/>
      <c r="N163" s="96"/>
      <c r="AA163" s="127"/>
    </row>
    <row r="164" spans="1:27" ht="15" customHeight="1">
      <c r="A164" s="1330" t="s">
        <v>1253</v>
      </c>
      <c r="B164" s="273"/>
      <c r="C164" s="273"/>
      <c r="D164" s="608"/>
      <c r="E164" s="1011">
        <f>SUM(E162:E163)</f>
        <v>7683046.2599999998</v>
      </c>
      <c r="F164" s="273"/>
      <c r="G164" s="1030">
        <f>SUM(G162:G163)</f>
        <v>0</v>
      </c>
      <c r="H164" s="273"/>
      <c r="I164" s="273"/>
      <c r="J164" s="273"/>
      <c r="K164" s="608"/>
      <c r="L164" s="1030">
        <f>EqualBasePSD8+EqualBase912</f>
        <v>7683046.2599999998</v>
      </c>
      <c r="M164" s="976"/>
      <c r="N164" s="96"/>
      <c r="AA164" s="127"/>
    </row>
    <row r="165" spans="1:27" ht="15" customHeight="1" thickBot="1">
      <c r="A165" s="1330" t="s">
        <v>1254</v>
      </c>
      <c r="B165" s="273"/>
      <c r="C165" s="273"/>
      <c r="D165" s="608" t="s">
        <v>666</v>
      </c>
      <c r="E165" s="1012">
        <f>MIN(IF(VALUE(LEFT(RIGHT(L1,7),2))=8,0,IF(E150&gt;0,(E149+E151+E152)*E156/100,E153*E156/100)),EqualBasePSD8)</f>
        <v>2126653.56</v>
      </c>
      <c r="F165" s="608" t="s">
        <v>666</v>
      </c>
      <c r="G165" s="1012">
        <f>MIN(IF(G150&gt;0,(G150+G151+G152)*G156/100,G153*G156/100),EqualBase912)</f>
        <v>0</v>
      </c>
      <c r="H165" s="273"/>
      <c r="I165" s="273"/>
      <c r="J165" s="273"/>
      <c r="K165" s="608" t="s">
        <v>666</v>
      </c>
      <c r="L165" s="1012">
        <f>QLPSD8+_QL912</f>
        <v>2126653.56</v>
      </c>
      <c r="M165" s="976"/>
      <c r="N165" s="96"/>
      <c r="AA165" s="127"/>
    </row>
    <row r="166" spans="1:27" ht="15" customHeight="1">
      <c r="A166" s="1330" t="s">
        <v>1255</v>
      </c>
      <c r="B166" s="273"/>
      <c r="C166" s="273"/>
      <c r="D166" s="273"/>
      <c r="E166" s="1030">
        <f>IF(E164-E165&lt;0,0,E164-E165)</f>
        <v>5556392.7000000002</v>
      </c>
      <c r="F166" s="273"/>
      <c r="G166" s="1030">
        <f>IF(G164-G165&lt;0,0,G164-G165)</f>
        <v>0</v>
      </c>
      <c r="H166" s="273"/>
      <c r="I166" s="273"/>
      <c r="J166" s="273"/>
      <c r="K166" s="273"/>
      <c r="L166" s="1030">
        <f>E166+G166</f>
        <v>5556392.7000000002</v>
      </c>
      <c r="M166" s="976"/>
      <c r="AA166" s="127"/>
    </row>
    <row r="167" spans="1:27" ht="15" customHeight="1">
      <c r="AA167" s="127"/>
    </row>
    <row r="168" spans="1:27" ht="15" customHeight="1">
      <c r="AA168" s="127">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27"/>
    </row>
    <row r="170" spans="1:27" ht="15" customHeight="1">
      <c r="AA170" s="127"/>
    </row>
    <row r="171" spans="1:27" ht="15" customHeight="1">
      <c r="AA171" s="127"/>
    </row>
    <row r="172" spans="1:27" ht="15" customHeight="1">
      <c r="AA172" s="127"/>
    </row>
    <row r="173" spans="1:27" ht="15" customHeight="1">
      <c r="AA173" s="127"/>
    </row>
    <row r="174" spans="1:27" ht="15" customHeight="1">
      <c r="AA174" s="127"/>
    </row>
    <row r="175" spans="1:27" ht="15" customHeight="1">
      <c r="AA175" s="127"/>
    </row>
    <row r="176" spans="1:27" ht="15" customHeight="1">
      <c r="AA176" s="127"/>
    </row>
    <row r="177" spans="27:27" ht="15" customHeight="1">
      <c r="AA177" s="127"/>
    </row>
    <row r="178" spans="27:27" ht="15" customHeight="1">
      <c r="AA178" s="127"/>
    </row>
    <row r="179" spans="27:27" ht="15" customHeight="1">
      <c r="AA179" s="127"/>
    </row>
    <row r="180" spans="27:27" ht="15" customHeight="1">
      <c r="AA180" s="127"/>
    </row>
    <row r="181" spans="27:27" ht="15" customHeight="1">
      <c r="AA181" s="127"/>
    </row>
    <row r="182" spans="27:27" ht="15" customHeight="1">
      <c r="AA182" s="127"/>
    </row>
    <row r="183" spans="27:27" ht="15" customHeight="1">
      <c r="AA183" s="127"/>
    </row>
    <row r="184" spans="27:27" ht="15" customHeight="1">
      <c r="AA184" s="127"/>
    </row>
    <row r="185" spans="27:27" ht="15" customHeight="1">
      <c r="AA185" s="127"/>
    </row>
    <row r="186" spans="27:27" ht="15" customHeight="1">
      <c r="AA186" s="127"/>
    </row>
    <row r="187" spans="27:27" ht="15" customHeight="1">
      <c r="AA187" s="127"/>
    </row>
    <row r="188" spans="27:27" ht="15" customHeight="1">
      <c r="AA188" s="127"/>
    </row>
    <row r="189" spans="27:27" ht="15" customHeight="1">
      <c r="AA189" s="127"/>
    </row>
    <row r="190" spans="27:27" ht="15" customHeight="1">
      <c r="AA190" s="127"/>
    </row>
    <row r="191" spans="27:27" ht="15" customHeight="1">
      <c r="AA191" s="127"/>
    </row>
    <row r="192" spans="27:27" ht="15" customHeight="1">
      <c r="AA192" s="127"/>
    </row>
    <row r="193" spans="27:27" ht="15" customHeight="1">
      <c r="AA193" s="127"/>
    </row>
    <row r="194" spans="27:27" ht="15" customHeight="1">
      <c r="AA194" s="127"/>
    </row>
    <row r="195" spans="27:27" ht="15" customHeight="1">
      <c r="AA195" s="127"/>
    </row>
    <row r="196" spans="27:27" ht="15" customHeight="1">
      <c r="AA196" s="127"/>
    </row>
    <row r="197" spans="27:27" ht="15" customHeight="1">
      <c r="AA197" s="127"/>
    </row>
    <row r="198" spans="27:27" ht="15" customHeight="1">
      <c r="AA198" s="127"/>
    </row>
    <row r="199" spans="27:27" ht="15" customHeight="1">
      <c r="AA199" s="127"/>
    </row>
    <row r="200" spans="27:27" ht="15" customHeight="1">
      <c r="AA200" s="127"/>
    </row>
    <row r="201" spans="27:27" ht="15" customHeight="1">
      <c r="AA201" s="127"/>
    </row>
    <row r="202" spans="27:27" ht="15" customHeight="1">
      <c r="AA202" s="127"/>
    </row>
    <row r="203" spans="27:27" ht="15" customHeight="1">
      <c r="AA203" s="127"/>
    </row>
    <row r="204" spans="27:27" ht="15" customHeight="1">
      <c r="AA204" s="127"/>
    </row>
    <row r="205" spans="27:27" ht="15" customHeight="1">
      <c r="AA205" s="127"/>
    </row>
    <row r="206" spans="27:27" ht="15" customHeight="1">
      <c r="AA206" s="127"/>
    </row>
    <row r="207" spans="27:27" ht="15" customHeight="1">
      <c r="AA207" s="127"/>
    </row>
    <row r="208" spans="27:27" ht="15" customHeight="1">
      <c r="AA208" s="127"/>
    </row>
    <row r="209" spans="27:27" ht="15" customHeight="1">
      <c r="AA209" s="127"/>
    </row>
    <row r="210" spans="27:27" ht="15" customHeight="1">
      <c r="AA210" s="127"/>
    </row>
    <row r="211" spans="27:27" ht="15" customHeight="1">
      <c r="AA211" s="127"/>
    </row>
    <row r="212" spans="27:27" ht="15" customHeight="1">
      <c r="AA212" s="127"/>
    </row>
    <row r="213" spans="27:27" ht="15" customHeight="1">
      <c r="AA213" s="127"/>
    </row>
    <row r="214" spans="27:27" ht="15" customHeight="1">
      <c r="AA214" s="127"/>
    </row>
    <row r="215" spans="27:27" ht="15" customHeight="1">
      <c r="AA215" s="127"/>
    </row>
    <row r="216" spans="27:27" ht="15" customHeight="1">
      <c r="AA216" s="127"/>
    </row>
    <row r="217" spans="27:27" ht="15" customHeight="1">
      <c r="AA217" s="127"/>
    </row>
    <row r="218" spans="27:27" ht="15" customHeight="1">
      <c r="AA218" s="127"/>
    </row>
    <row r="219" spans="27:27" ht="15" customHeight="1">
      <c r="AA219" s="127"/>
    </row>
    <row r="220" spans="27:27" ht="15" customHeight="1">
      <c r="AA220" s="127"/>
    </row>
    <row r="221" spans="27:27" ht="15" customHeight="1">
      <c r="AA221" s="127"/>
    </row>
    <row r="222" spans="27:27" ht="15" customHeight="1">
      <c r="AA222" s="127"/>
    </row>
    <row r="223" spans="27:27" ht="15" customHeight="1">
      <c r="AA223" s="127"/>
    </row>
    <row r="224" spans="27:27" ht="15" customHeight="1">
      <c r="AA224" s="127"/>
    </row>
    <row r="225" spans="27:27" ht="15" customHeight="1">
      <c r="AA225" s="127"/>
    </row>
    <row r="226" spans="27:27" ht="15" customHeight="1">
      <c r="AA226" s="127"/>
    </row>
    <row r="227" spans="27:27" ht="15" customHeight="1">
      <c r="AA227" s="127"/>
    </row>
    <row r="228" spans="27:27" ht="15" customHeight="1">
      <c r="AA228" s="127"/>
    </row>
    <row r="229" spans="27:27" ht="15" customHeight="1">
      <c r="AA229" s="127"/>
    </row>
    <row r="230" spans="27:27" ht="15" customHeight="1">
      <c r="AA230" s="127"/>
    </row>
    <row r="231" spans="27:27" ht="15" customHeight="1">
      <c r="AA231" s="127"/>
    </row>
    <row r="232" spans="27:27" ht="15" customHeight="1">
      <c r="AA232" s="127"/>
    </row>
    <row r="233" spans="27:27" ht="15" customHeight="1">
      <c r="AA233" s="127"/>
    </row>
    <row r="234" spans="27:27" ht="15" customHeight="1">
      <c r="AA234" s="127"/>
    </row>
    <row r="235" spans="27:27" ht="15" customHeight="1">
      <c r="AA235" s="127"/>
    </row>
    <row r="236" spans="27:27" ht="15" customHeight="1">
      <c r="AA236" s="127"/>
    </row>
    <row r="237" spans="27:27" ht="15" customHeight="1">
      <c r="AA237" s="127"/>
    </row>
    <row r="238" spans="27:27" ht="15" customHeight="1">
      <c r="AA238" s="127"/>
    </row>
    <row r="239" spans="27:27" ht="15" customHeight="1">
      <c r="AA239" s="127"/>
    </row>
    <row r="240" spans="27:27" ht="15" customHeight="1">
      <c r="AA240" s="127"/>
    </row>
    <row r="241" spans="27:27" ht="15" customHeight="1">
      <c r="AA241" s="127"/>
    </row>
    <row r="242" spans="27:27" ht="15" customHeight="1">
      <c r="AA242" s="127"/>
    </row>
    <row r="243" spans="27:27" ht="15" customHeight="1">
      <c r="AA243" s="127"/>
    </row>
    <row r="244" spans="27:27" ht="15" customHeight="1">
      <c r="AA244" s="127"/>
    </row>
    <row r="245" spans="27:27" ht="15" customHeight="1">
      <c r="AA245" s="127"/>
    </row>
    <row r="246" spans="27:27" ht="15" customHeight="1">
      <c r="AA246" s="127"/>
    </row>
    <row r="247" spans="27:27" ht="15" customHeight="1">
      <c r="AA247" s="127"/>
    </row>
    <row r="248" spans="27:27" ht="15" customHeight="1">
      <c r="AA248" s="127"/>
    </row>
    <row r="249" spans="27:27" ht="15" customHeight="1">
      <c r="AA249" s="127"/>
    </row>
    <row r="250" spans="27:27" ht="15" customHeight="1">
      <c r="AA250" s="127"/>
    </row>
    <row r="251" spans="27:27" ht="15" customHeight="1">
      <c r="AA251" s="127"/>
    </row>
    <row r="252" spans="27:27" ht="15" customHeight="1">
      <c r="AA252" s="127"/>
    </row>
    <row r="253" spans="27:27" ht="15" customHeight="1">
      <c r="AA253" s="127"/>
    </row>
    <row r="254" spans="27:27" ht="15" customHeight="1">
      <c r="AA254" s="127"/>
    </row>
    <row r="255" spans="27:27" ht="15" customHeight="1">
      <c r="AA255" s="127"/>
    </row>
    <row r="256" spans="27:27" ht="15" customHeight="1">
      <c r="AA256" s="127"/>
    </row>
    <row r="257" spans="27:27" ht="15" customHeight="1">
      <c r="AA257" s="127"/>
    </row>
    <row r="258" spans="27:27" ht="15" customHeight="1">
      <c r="AA258" s="127"/>
    </row>
    <row r="259" spans="27:27" ht="15" customHeight="1">
      <c r="AA259" s="127"/>
    </row>
    <row r="260" spans="27:27" ht="15" customHeight="1">
      <c r="AA260" s="127"/>
    </row>
    <row r="261" spans="27:27" ht="15" customHeight="1">
      <c r="AA261" s="127"/>
    </row>
    <row r="262" spans="27:27" ht="15" customHeight="1">
      <c r="AA262" s="127"/>
    </row>
    <row r="263" spans="27:27" ht="15" customHeight="1">
      <c r="AA263" s="127"/>
    </row>
    <row r="264" spans="27:27" ht="15" customHeight="1">
      <c r="AA264" s="127"/>
    </row>
    <row r="265" spans="27:27" ht="15" customHeight="1">
      <c r="AA265" s="127"/>
    </row>
    <row r="266" spans="27:27" ht="15" customHeight="1">
      <c r="AA266" s="127"/>
    </row>
    <row r="267" spans="27:27" ht="15" customHeight="1">
      <c r="AA267" s="127"/>
    </row>
    <row r="268" spans="27:27" ht="15" customHeight="1">
      <c r="AA268" s="127"/>
    </row>
    <row r="269" spans="27:27" ht="15" customHeight="1">
      <c r="AA269" s="127"/>
    </row>
    <row r="270" spans="27:27" ht="15" customHeight="1">
      <c r="AA270" s="127"/>
    </row>
    <row r="271" spans="27:27" ht="15" customHeight="1">
      <c r="AA271" s="127"/>
    </row>
    <row r="272" spans="27:27" ht="15" customHeight="1">
      <c r="AA272" s="127"/>
    </row>
    <row r="273" spans="27:27" ht="15" customHeight="1">
      <c r="AA273" s="127"/>
    </row>
    <row r="274" spans="27:27" ht="15" customHeight="1">
      <c r="AA274" s="127"/>
    </row>
    <row r="275" spans="27:27" ht="15" customHeight="1">
      <c r="AA275" s="127"/>
    </row>
    <row r="276" spans="27:27" ht="15" customHeight="1">
      <c r="AA276" s="127"/>
    </row>
    <row r="277" spans="27:27" ht="15" customHeight="1">
      <c r="AA277" s="127"/>
    </row>
    <row r="278" spans="27:27" ht="15" customHeight="1">
      <c r="AA278" s="127"/>
    </row>
    <row r="279" spans="27:27" ht="15" customHeight="1">
      <c r="AA279" s="127"/>
    </row>
    <row r="280" spans="27:27" ht="15" customHeight="1">
      <c r="AA280" s="127"/>
    </row>
    <row r="281" spans="27:27" ht="15" customHeight="1">
      <c r="AA281" s="127"/>
    </row>
    <row r="282" spans="27:27" ht="15" customHeight="1">
      <c r="AA282" s="127"/>
    </row>
    <row r="283" spans="27:27" ht="15" customHeight="1">
      <c r="AA283" s="127"/>
    </row>
    <row r="284" spans="27:27" ht="15" customHeight="1">
      <c r="AA284" s="127"/>
    </row>
    <row r="285" spans="27:27" ht="15" customHeight="1">
      <c r="AA285" s="127"/>
    </row>
    <row r="286" spans="27:27" ht="15" customHeight="1">
      <c r="AA286" s="127"/>
    </row>
    <row r="287" spans="27:27" ht="15" customHeight="1">
      <c r="AA287" s="127"/>
    </row>
    <row r="288" spans="27:27" ht="15" customHeight="1">
      <c r="AA288" s="127"/>
    </row>
    <row r="289" spans="27:27" ht="15" customHeight="1">
      <c r="AA289" s="127"/>
    </row>
    <row r="290" spans="27:27" ht="15" customHeight="1">
      <c r="AA290" s="127"/>
    </row>
    <row r="291" spans="27:27" ht="15" customHeight="1">
      <c r="AA291" s="127"/>
    </row>
    <row r="292" spans="27:27" ht="15" customHeight="1">
      <c r="AA292" s="127"/>
    </row>
    <row r="293" spans="27:27" ht="15" customHeight="1">
      <c r="AA293" s="127"/>
    </row>
    <row r="294" spans="27:27" ht="15" customHeight="1">
      <c r="AA294" s="127"/>
    </row>
    <row r="295" spans="27:27" ht="15" customHeight="1">
      <c r="AA295" s="127"/>
    </row>
    <row r="296" spans="27:27" ht="15" customHeight="1">
      <c r="AA296" s="127"/>
    </row>
    <row r="297" spans="27:27" ht="15" customHeight="1">
      <c r="AA297" s="127"/>
    </row>
    <row r="298" spans="27:27" ht="15" customHeight="1">
      <c r="AA298" s="127"/>
    </row>
    <row r="299" spans="27:27" ht="15" customHeight="1">
      <c r="AA299" s="127"/>
    </row>
    <row r="300" spans="27:27" ht="15" customHeight="1">
      <c r="AA300" s="127"/>
    </row>
    <row r="301" spans="27:27" ht="15" customHeight="1">
      <c r="AA301" s="127"/>
    </row>
    <row r="302" spans="27:27" ht="15" customHeight="1">
      <c r="AA302" s="127"/>
    </row>
    <row r="303" spans="27:27" ht="15" customHeight="1">
      <c r="AA303" s="127"/>
    </row>
    <row r="304" spans="27:27" ht="15" customHeight="1">
      <c r="AA304" s="127"/>
    </row>
    <row r="305" spans="27:27" ht="15" customHeight="1">
      <c r="AA305" s="127"/>
    </row>
    <row r="306" spans="27:27" ht="15" customHeight="1">
      <c r="AA306" s="127"/>
    </row>
    <row r="307" spans="27:27" ht="15" customHeight="1">
      <c r="AA307" s="127"/>
    </row>
    <row r="308" spans="27:27" ht="15" customHeight="1">
      <c r="AA308" s="127"/>
    </row>
    <row r="309" spans="27:27" ht="15" customHeight="1">
      <c r="AA309" s="127"/>
    </row>
    <row r="310" spans="27:27" ht="15" customHeight="1">
      <c r="AA310" s="127"/>
    </row>
    <row r="311" spans="27:27" ht="15" customHeight="1">
      <c r="AA311" s="127"/>
    </row>
    <row r="312" spans="27:27" ht="15" customHeight="1">
      <c r="AA312" s="127"/>
    </row>
    <row r="313" spans="27:27" ht="15" customHeight="1">
      <c r="AA313" s="127"/>
    </row>
    <row r="314" spans="27:27" ht="15" customHeight="1">
      <c r="AA314" s="127"/>
    </row>
    <row r="315" spans="27:27" ht="15" customHeight="1">
      <c r="AA315" s="127"/>
    </row>
    <row r="316" spans="27:27" ht="15" customHeight="1">
      <c r="AA316" s="127"/>
    </row>
    <row r="317" spans="27:27" ht="15" customHeight="1">
      <c r="AA317" s="127"/>
    </row>
    <row r="318" spans="27:27" ht="15" customHeight="1">
      <c r="AA318" s="127"/>
    </row>
    <row r="319" spans="27:27" ht="15" customHeight="1">
      <c r="AA319" s="127"/>
    </row>
    <row r="320" spans="27:27" ht="15" customHeight="1">
      <c r="AA320" s="127"/>
    </row>
    <row r="321" spans="27:27" ht="15" customHeight="1">
      <c r="AA321" s="127"/>
    </row>
    <row r="322" spans="27:27" ht="15" customHeight="1">
      <c r="AA322" s="127"/>
    </row>
    <row r="323" spans="27:27" ht="15" customHeight="1">
      <c r="AA323" s="127"/>
    </row>
    <row r="324" spans="27:27" ht="15" customHeight="1">
      <c r="AA324" s="127"/>
    </row>
    <row r="325" spans="27:27" ht="15" customHeight="1">
      <c r="AA325" s="127"/>
    </row>
    <row r="326" spans="27:27" ht="15" customHeight="1">
      <c r="AA326" s="127"/>
    </row>
    <row r="327" spans="27:27" ht="15" customHeight="1">
      <c r="AA327" s="127"/>
    </row>
    <row r="328" spans="27:27" ht="15" customHeight="1">
      <c r="AA328" s="127"/>
    </row>
    <row r="329" spans="27:27" ht="15" customHeight="1">
      <c r="AA329" s="127"/>
    </row>
    <row r="330" spans="27:27" ht="15" customHeight="1">
      <c r="AA330" s="127"/>
    </row>
    <row r="331" spans="27:27" ht="15" customHeight="1">
      <c r="AA331" s="127"/>
    </row>
    <row r="332" spans="27:27" ht="15" customHeight="1">
      <c r="AA332" s="127"/>
    </row>
    <row r="333" spans="27:27" ht="15" customHeight="1">
      <c r="AA333" s="127"/>
    </row>
    <row r="334" spans="27:27" ht="15" customHeight="1">
      <c r="AA334" s="127"/>
    </row>
    <row r="335" spans="27:27" ht="15" customHeight="1">
      <c r="AA335" s="127"/>
    </row>
    <row r="336" spans="27:27" ht="15" customHeight="1">
      <c r="AA336" s="127"/>
    </row>
    <row r="337" spans="27:27" ht="15" customHeight="1">
      <c r="AA337" s="127"/>
    </row>
    <row r="338" spans="27:27" ht="15" customHeight="1">
      <c r="AA338" s="127"/>
    </row>
    <row r="339" spans="27:27" ht="15" customHeight="1">
      <c r="AA339" s="127"/>
    </row>
    <row r="340" spans="27:27" ht="15" customHeight="1">
      <c r="AA340" s="127"/>
    </row>
    <row r="341" spans="27:27" ht="15" customHeight="1">
      <c r="AA341" s="127"/>
    </row>
    <row r="342" spans="27:27" ht="15" customHeight="1">
      <c r="AA342" s="127"/>
    </row>
    <row r="343" spans="27:27" ht="15" customHeight="1">
      <c r="AA343" s="127"/>
    </row>
    <row r="344" spans="27:27" ht="15" customHeight="1">
      <c r="AA344" s="127"/>
    </row>
    <row r="345" spans="27:27" ht="15" customHeight="1">
      <c r="AA345" s="127"/>
    </row>
    <row r="346" spans="27:27" ht="15" customHeight="1">
      <c r="AA346" s="127"/>
    </row>
  </sheetData>
  <sheetProtection sheet="1" formatCells="0" formatColumns="0" formatRows="0"/>
  <mergeCells count="24">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 ref="J44:L44"/>
    <mergeCell ref="D40:H40"/>
    <mergeCell ref="D39:H39"/>
    <mergeCell ref="K38:L38"/>
    <mergeCell ref="G1:I1"/>
    <mergeCell ref="L1:M1"/>
    <mergeCell ref="L2:M2"/>
    <mergeCell ref="B1:E1"/>
    <mergeCell ref="D3:H3"/>
  </mergeCells>
  <hyperlinks>
    <hyperlink ref="A60" location="BSA55P4AuditServiceExpense" display="Audit Service Expense" xr:uid="{00000000-0004-0000-1000-000000000000}"/>
    <hyperlink ref="A86" location="BSA55P4ActivityTripFactors" display="          Activity Trip Level Factor" xr:uid="{00000000-0004-0000-1000-000001000000}"/>
    <hyperlink ref="A63" location="DataEntryOtherInfol2" display="Adjustment for Remote Instructional Time calculated by ADE" xr:uid="{00000000-0004-0000-1000-000002000000}"/>
    <hyperlink ref="A64" location="DataEntryOtherInfol4" display="CTED 9th Grade Funding Adjustment" xr:uid="{00000000-0004-0000-1000-000003000000}"/>
    <hyperlink ref="A65" location="DataEntryOtherInfol5" display="CTED Continuation 13th Grade Funding Adjustment" xr:uid="{00000000-0004-0000-1000-000004000000}"/>
  </hyperlinks>
  <printOptions horizontalCentered="1"/>
  <pageMargins left="0.25" right="0.25" top="0.25" bottom="0.25" header="0" footer="0.15"/>
  <pageSetup paperSize="5" scale="90" orientation="landscape" r:id="rId1"/>
  <headerFooter alignWithMargins="0">
    <oddFooter>&amp;L&amp;"Times New Roman,Bold"&amp;9Rev. 5/25&amp;K000000 Arizona Department of Education and Auditor General&amp;C&amp;"Times New Roman,Regular"&amp;9&amp;D  &amp;T</oddFooter>
  </headerFooter>
  <rowBreaks count="4" manualBreakCount="4">
    <brk id="38" max="12" man="1"/>
    <brk id="72" max="12" man="1"/>
    <brk id="107" max="12" man="1"/>
    <brk id="138" max="12"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80"/>
  <sheetViews>
    <sheetView showGridLines="0" topLeftCell="A8" workbookViewId="0">
      <selection activeCell="C8" sqref="C8"/>
    </sheetView>
  </sheetViews>
  <sheetFormatPr defaultColWidth="8.90625" defaultRowHeight="18"/>
  <cols>
    <col min="1" max="1" width="12" style="1078" customWidth="1"/>
    <col min="2" max="2" width="15" style="1069" customWidth="1"/>
    <col min="3" max="3" width="79" style="1078" customWidth="1"/>
    <col min="4" max="4" width="25.90625" style="1079" customWidth="1"/>
    <col min="5" max="5" width="32.90625" style="1055" customWidth="1"/>
    <col min="6" max="11" width="8.90625" style="1055" customWidth="1"/>
    <col min="12" max="12" width="10.08984375" style="1055" customWidth="1"/>
    <col min="13" max="14" width="8.90625" style="1055" customWidth="1"/>
    <col min="15" max="16384" width="8.90625" style="1055"/>
  </cols>
  <sheetData>
    <row r="1" spans="1:11" ht="40.5" customHeight="1">
      <c r="A1" s="1053" t="s">
        <v>896</v>
      </c>
      <c r="B1" s="1053" t="s">
        <v>897</v>
      </c>
      <c r="C1" s="1053" t="s">
        <v>898</v>
      </c>
      <c r="D1" s="1053" t="s">
        <v>899</v>
      </c>
      <c r="E1" s="1054" t="s">
        <v>900</v>
      </c>
    </row>
    <row r="2" spans="1:11" ht="259.5" customHeight="1">
      <c r="A2" s="1353"/>
      <c r="B2" s="1355" t="s">
        <v>554</v>
      </c>
      <c r="C2" s="1056" t="s">
        <v>1410</v>
      </c>
      <c r="D2" s="1357"/>
      <c r="E2" s="1057"/>
    </row>
    <row r="3" spans="1:11" ht="24" customHeight="1">
      <c r="A3" s="1354"/>
      <c r="B3" s="1356"/>
      <c r="C3" s="1058" t="s">
        <v>901</v>
      </c>
      <c r="D3" s="1358"/>
      <c r="E3" s="1354"/>
    </row>
    <row r="4" spans="1:11" ht="138" customHeight="1">
      <c r="A4" s="1059"/>
      <c r="B4" s="1060" t="s">
        <v>554</v>
      </c>
      <c r="C4" s="1056" t="s">
        <v>1256</v>
      </c>
      <c r="D4" s="1061"/>
      <c r="E4" s="1059"/>
      <c r="F4" s="452"/>
      <c r="K4" s="1521"/>
    </row>
    <row r="5" spans="1:11" ht="44.25" customHeight="1">
      <c r="A5" s="1059"/>
      <c r="B5" s="1060" t="s">
        <v>554</v>
      </c>
      <c r="C5" s="1056" t="s">
        <v>902</v>
      </c>
      <c r="D5" s="1061"/>
      <c r="E5" s="1059" t="s">
        <v>903</v>
      </c>
    </row>
    <row r="6" spans="1:11" ht="295.5" customHeight="1">
      <c r="A6" s="1059"/>
      <c r="B6" s="1060" t="s">
        <v>904</v>
      </c>
      <c r="C6" s="1056" t="s">
        <v>905</v>
      </c>
      <c r="D6" s="1533" t="s">
        <v>572</v>
      </c>
      <c r="E6" s="1059"/>
    </row>
    <row r="7" spans="1:11" ht="45.75" customHeight="1">
      <c r="A7" s="1059"/>
      <c r="B7" s="1060" t="s">
        <v>906</v>
      </c>
      <c r="C7" s="1056" t="s">
        <v>1257</v>
      </c>
      <c r="D7" s="1533" t="s">
        <v>572</v>
      </c>
      <c r="E7" s="1059"/>
    </row>
    <row r="8" spans="1:11" ht="154.5" customHeight="1">
      <c r="A8" s="1392" t="s">
        <v>907</v>
      </c>
      <c r="B8" s="1392" t="s">
        <v>1272</v>
      </c>
      <c r="C8" s="1393" t="s">
        <v>1348</v>
      </c>
      <c r="D8" s="1061"/>
      <c r="E8" s="1394" t="s">
        <v>1349</v>
      </c>
    </row>
    <row r="9" spans="1:11" ht="136.5" customHeight="1">
      <c r="A9" s="1060" t="s">
        <v>907</v>
      </c>
      <c r="B9" s="1060" t="s">
        <v>908</v>
      </c>
      <c r="C9" s="1056" t="s">
        <v>1345</v>
      </c>
      <c r="D9" s="1061"/>
      <c r="E9" s="1059"/>
      <c r="K9" s="1521"/>
    </row>
    <row r="10" spans="1:11" ht="221.25" customHeight="1">
      <c r="A10" s="1060" t="s">
        <v>907</v>
      </c>
      <c r="B10" s="1060" t="s">
        <v>909</v>
      </c>
      <c r="C10" s="1056" t="s">
        <v>910</v>
      </c>
      <c r="D10" s="1533" t="s">
        <v>572</v>
      </c>
      <c r="E10" s="1059"/>
    </row>
    <row r="11" spans="1:11" ht="76.5" customHeight="1">
      <c r="A11" s="1921">
        <v>1</v>
      </c>
      <c r="B11" s="1921" t="s">
        <v>911</v>
      </c>
      <c r="C11" s="1232" t="s">
        <v>1258</v>
      </c>
      <c r="D11" s="1923"/>
      <c r="E11" s="1917"/>
    </row>
    <row r="12" spans="1:11" ht="19.5" customHeight="1">
      <c r="A12" s="1922"/>
      <c r="B12" s="1922"/>
      <c r="C12" s="1062" t="s">
        <v>912</v>
      </c>
      <c r="D12" s="1924"/>
      <c r="E12" s="1918"/>
    </row>
    <row r="13" spans="1:11" ht="133.5" customHeight="1">
      <c r="A13" s="1060">
        <v>1</v>
      </c>
      <c r="B13" s="1060" t="s">
        <v>913</v>
      </c>
      <c r="C13" s="1056" t="s">
        <v>914</v>
      </c>
      <c r="D13" s="1533" t="s">
        <v>572</v>
      </c>
      <c r="E13" s="1059"/>
    </row>
    <row r="14" spans="1:11" ht="64.5" customHeight="1">
      <c r="A14" s="1060">
        <v>1</v>
      </c>
      <c r="B14" s="1060" t="s">
        <v>915</v>
      </c>
      <c r="C14" s="1056" t="s">
        <v>1370</v>
      </c>
      <c r="D14" s="1061"/>
      <c r="E14" s="1059"/>
    </row>
    <row r="15" spans="1:11" ht="151.5" customHeight="1">
      <c r="A15" s="1060">
        <v>1</v>
      </c>
      <c r="B15" s="1060" t="s">
        <v>916</v>
      </c>
      <c r="C15" s="1056" t="s">
        <v>917</v>
      </c>
      <c r="D15" s="1061"/>
      <c r="E15" s="1059"/>
    </row>
    <row r="16" spans="1:11" ht="135" customHeight="1">
      <c r="A16" s="1921">
        <v>1</v>
      </c>
      <c r="B16" s="1921" t="s">
        <v>918</v>
      </c>
      <c r="C16" s="1063" t="s">
        <v>919</v>
      </c>
      <c r="D16" s="1923"/>
      <c r="E16" s="1919"/>
    </row>
    <row r="17" spans="1:13" ht="21" customHeight="1">
      <c r="A17" s="1922"/>
      <c r="B17" s="1922"/>
      <c r="C17" s="1062" t="s">
        <v>920</v>
      </c>
      <c r="D17" s="1924"/>
      <c r="E17" s="1920"/>
    </row>
    <row r="18" spans="1:13" ht="81.900000000000006" customHeight="1">
      <c r="A18" s="1475">
        <v>1</v>
      </c>
      <c r="B18" s="1475" t="s">
        <v>1330</v>
      </c>
      <c r="C18" s="1476" t="s">
        <v>1360</v>
      </c>
      <c r="D18" s="1061"/>
      <c r="E18" s="1477" t="s">
        <v>1366</v>
      </c>
    </row>
    <row r="19" spans="1:13" ht="93.6" customHeight="1">
      <c r="A19" s="1475" t="s">
        <v>1275</v>
      </c>
      <c r="B19" s="1475" t="s">
        <v>1318</v>
      </c>
      <c r="C19" s="1476" t="s">
        <v>1361</v>
      </c>
      <c r="D19" s="1061"/>
      <c r="E19" s="1477" t="s">
        <v>1362</v>
      </c>
    </row>
    <row r="20" spans="1:13" ht="63" customHeight="1">
      <c r="A20" s="1356">
        <v>1</v>
      </c>
      <c r="B20" s="1356" t="s">
        <v>1329</v>
      </c>
      <c r="C20" s="1390" t="s">
        <v>1371</v>
      </c>
      <c r="D20" s="1358"/>
      <c r="E20" s="1524"/>
    </row>
    <row r="21" spans="1:13" ht="150.75" customHeight="1">
      <c r="A21" s="1060">
        <v>2</v>
      </c>
      <c r="B21" s="1060" t="s">
        <v>921</v>
      </c>
      <c r="C21" s="1056" t="s">
        <v>922</v>
      </c>
      <c r="D21" s="1061"/>
      <c r="E21" s="1064"/>
    </row>
    <row r="22" spans="1:13" ht="63" customHeight="1">
      <c r="A22" s="1060">
        <v>2</v>
      </c>
      <c r="B22" s="1060" t="s">
        <v>923</v>
      </c>
      <c r="C22" s="1065" t="s">
        <v>924</v>
      </c>
      <c r="D22" s="1061"/>
      <c r="E22" s="1059"/>
    </row>
    <row r="23" spans="1:13" ht="62.25" customHeight="1">
      <c r="A23" s="1060">
        <v>2</v>
      </c>
      <c r="B23" s="1060" t="s">
        <v>925</v>
      </c>
      <c r="C23" s="1056" t="s">
        <v>926</v>
      </c>
      <c r="D23" s="1061"/>
      <c r="E23" s="1059"/>
    </row>
    <row r="24" spans="1:13" ht="221.25" customHeight="1">
      <c r="A24" s="1060">
        <v>2</v>
      </c>
      <c r="B24" s="1060" t="s">
        <v>927</v>
      </c>
      <c r="C24" s="1056" t="s">
        <v>1372</v>
      </c>
      <c r="D24" s="1533" t="s">
        <v>572</v>
      </c>
      <c r="E24" s="1059"/>
      <c r="F24" s="452"/>
      <c r="K24" s="1521"/>
      <c r="L24" s="1521"/>
    </row>
    <row r="25" spans="1:13" ht="118.5" customHeight="1">
      <c r="A25" s="1060">
        <v>3</v>
      </c>
      <c r="B25" s="1060" t="s">
        <v>554</v>
      </c>
      <c r="C25" s="1056" t="s">
        <v>928</v>
      </c>
      <c r="D25" s="1061"/>
      <c r="E25" s="1064"/>
    </row>
    <row r="26" spans="1:13" ht="45" customHeight="1">
      <c r="A26" s="1060">
        <v>3</v>
      </c>
      <c r="B26" s="1060" t="s">
        <v>911</v>
      </c>
      <c r="C26" s="1066" t="s">
        <v>929</v>
      </c>
      <c r="D26" s="1061"/>
      <c r="E26" s="1064"/>
    </row>
    <row r="27" spans="1:13" ht="82.5" customHeight="1">
      <c r="A27" s="1475">
        <v>3</v>
      </c>
      <c r="B27" s="1475" t="s">
        <v>913</v>
      </c>
      <c r="C27" s="1476" t="s">
        <v>1364</v>
      </c>
      <c r="D27" s="1061"/>
      <c r="E27" s="1477" t="s">
        <v>1365</v>
      </c>
    </row>
    <row r="28" spans="1:13" ht="80.25" customHeight="1">
      <c r="A28" s="1356">
        <v>3</v>
      </c>
      <c r="B28" s="1356" t="s">
        <v>1368</v>
      </c>
      <c r="C28" s="1390" t="s">
        <v>1373</v>
      </c>
      <c r="D28" s="1358"/>
      <c r="E28" s="1524"/>
    </row>
    <row r="29" spans="1:13" ht="61.5" customHeight="1">
      <c r="A29" s="1060">
        <v>3</v>
      </c>
      <c r="B29" s="1060" t="s">
        <v>1314</v>
      </c>
      <c r="C29" s="1056" t="s">
        <v>1313</v>
      </c>
      <c r="D29" s="1533" t="s">
        <v>572</v>
      </c>
      <c r="E29" s="1064"/>
    </row>
    <row r="30" spans="1:13" ht="65.25" customHeight="1">
      <c r="A30" s="1060">
        <v>3</v>
      </c>
      <c r="B30" s="1060" t="s">
        <v>931</v>
      </c>
      <c r="C30" s="1056" t="s">
        <v>1295</v>
      </c>
      <c r="D30" s="1533" t="s">
        <v>572</v>
      </c>
      <c r="E30" s="1059"/>
    </row>
    <row r="31" spans="1:13" ht="204" customHeight="1">
      <c r="A31" s="1060">
        <v>3</v>
      </c>
      <c r="B31" s="1060" t="s">
        <v>1110</v>
      </c>
      <c r="C31" s="1059" t="s">
        <v>1374</v>
      </c>
      <c r="D31" s="1366"/>
      <c r="E31" s="1059"/>
      <c r="M31" s="1521"/>
    </row>
    <row r="32" spans="1:13" ht="19.5" customHeight="1">
      <c r="A32" s="1059"/>
      <c r="B32" s="1060"/>
      <c r="C32" s="1062" t="s">
        <v>930</v>
      </c>
      <c r="D32" s="1061"/>
      <c r="E32" s="1059"/>
    </row>
    <row r="33" spans="1:13" ht="60.75" customHeight="1">
      <c r="A33" s="1060">
        <v>3</v>
      </c>
      <c r="B33" s="1060" t="s">
        <v>1315</v>
      </c>
      <c r="C33" s="1056" t="s">
        <v>932</v>
      </c>
      <c r="D33" s="1061"/>
      <c r="E33" s="1059"/>
    </row>
    <row r="34" spans="1:13" ht="76.5" customHeight="1">
      <c r="A34" s="1475">
        <v>4</v>
      </c>
      <c r="B34" s="1475" t="s">
        <v>1331</v>
      </c>
      <c r="C34" s="1476" t="s">
        <v>1363</v>
      </c>
      <c r="D34" s="1061"/>
      <c r="E34" s="1477" t="s">
        <v>1367</v>
      </c>
    </row>
    <row r="35" spans="1:13" ht="102.75" customHeight="1">
      <c r="A35" s="1356">
        <v>4</v>
      </c>
      <c r="B35" s="1356" t="s">
        <v>1332</v>
      </c>
      <c r="C35" s="1390" t="s">
        <v>1375</v>
      </c>
      <c r="D35" s="1358"/>
      <c r="E35" s="1524"/>
    </row>
    <row r="36" spans="1:13" ht="208.5" customHeight="1">
      <c r="A36" s="1060">
        <v>4</v>
      </c>
      <c r="B36" s="1060" t="s">
        <v>934</v>
      </c>
      <c r="C36" s="1056" t="s">
        <v>1294</v>
      </c>
      <c r="D36" s="1533" t="s">
        <v>572</v>
      </c>
      <c r="E36" s="1059"/>
      <c r="K36" s="1521"/>
      <c r="L36" s="1521"/>
      <c r="M36" s="1521"/>
    </row>
    <row r="37" spans="1:13" ht="242.25" customHeight="1">
      <c r="A37" s="1060">
        <v>5</v>
      </c>
      <c r="B37" s="1060" t="s">
        <v>935</v>
      </c>
      <c r="C37" s="1056" t="s">
        <v>936</v>
      </c>
      <c r="D37" s="1061"/>
      <c r="E37" s="1056"/>
    </row>
    <row r="38" spans="1:13" ht="151.5" customHeight="1">
      <c r="A38" s="1060">
        <v>5</v>
      </c>
      <c r="B38" s="1060" t="s">
        <v>937</v>
      </c>
      <c r="C38" s="1056" t="s">
        <v>938</v>
      </c>
      <c r="D38" s="1061"/>
      <c r="E38" s="1059"/>
    </row>
    <row r="39" spans="1:13" ht="98.25" customHeight="1">
      <c r="A39" s="1060">
        <v>6</v>
      </c>
      <c r="B39" s="1060" t="s">
        <v>939</v>
      </c>
      <c r="C39" s="1056" t="s">
        <v>940</v>
      </c>
      <c r="D39" s="1061"/>
      <c r="E39" s="1059"/>
    </row>
    <row r="40" spans="1:13" ht="59.25" customHeight="1">
      <c r="A40" s="1060">
        <v>6</v>
      </c>
      <c r="B40" s="1060" t="s">
        <v>941</v>
      </c>
      <c r="C40" s="1056" t="s">
        <v>1292</v>
      </c>
      <c r="D40" s="1061"/>
      <c r="E40" s="1059"/>
      <c r="G40" s="1522"/>
    </row>
    <row r="41" spans="1:13" ht="206.25" customHeight="1">
      <c r="A41" s="1060">
        <v>6</v>
      </c>
      <c r="B41" s="1060" t="s">
        <v>942</v>
      </c>
      <c r="C41" s="1056" t="s">
        <v>943</v>
      </c>
      <c r="D41" s="1061"/>
      <c r="E41" s="1059"/>
    </row>
    <row r="42" spans="1:13" ht="63" customHeight="1">
      <c r="A42" s="1060">
        <v>6</v>
      </c>
      <c r="B42" s="1060" t="s">
        <v>944</v>
      </c>
      <c r="C42" s="1056" t="s">
        <v>945</v>
      </c>
      <c r="D42" s="1061"/>
      <c r="E42" s="1286"/>
    </row>
    <row r="43" spans="1:13" ht="45.75" customHeight="1">
      <c r="A43" s="1060">
        <v>6</v>
      </c>
      <c r="B43" s="1060" t="s">
        <v>1325</v>
      </c>
      <c r="C43" s="1056" t="s">
        <v>1326</v>
      </c>
      <c r="D43" s="1061"/>
      <c r="E43" s="1286"/>
    </row>
    <row r="44" spans="1:13" ht="43.5" customHeight="1">
      <c r="A44" s="1060">
        <v>6</v>
      </c>
      <c r="B44" s="1060" t="s">
        <v>946</v>
      </c>
      <c r="C44" s="1056" t="s">
        <v>947</v>
      </c>
      <c r="D44" s="1061"/>
      <c r="E44" s="1059"/>
    </row>
    <row r="45" spans="1:13" ht="115.5" customHeight="1">
      <c r="A45" s="1060">
        <v>6</v>
      </c>
      <c r="B45" s="1060" t="s">
        <v>948</v>
      </c>
      <c r="C45" s="1056" t="s">
        <v>949</v>
      </c>
      <c r="D45" s="1061"/>
      <c r="E45" s="1059"/>
    </row>
    <row r="46" spans="1:13" ht="292.5" customHeight="1">
      <c r="A46" s="1060">
        <v>6</v>
      </c>
      <c r="B46" s="1060" t="s">
        <v>950</v>
      </c>
      <c r="C46" s="1056" t="s">
        <v>951</v>
      </c>
      <c r="D46" s="1061"/>
      <c r="E46" s="1059"/>
    </row>
    <row r="47" spans="1:13" ht="97.5" customHeight="1">
      <c r="A47" s="1060">
        <v>6</v>
      </c>
      <c r="B47" s="1060" t="s">
        <v>952</v>
      </c>
      <c r="C47" s="1056" t="s">
        <v>953</v>
      </c>
      <c r="D47" s="1061"/>
      <c r="E47" s="1059"/>
    </row>
    <row r="48" spans="1:13" ht="61.5" customHeight="1">
      <c r="A48" s="1060">
        <v>6</v>
      </c>
      <c r="B48" s="1060" t="s">
        <v>954</v>
      </c>
      <c r="C48" s="1056" t="s">
        <v>955</v>
      </c>
      <c r="D48" s="1061"/>
      <c r="E48" s="1059"/>
    </row>
    <row r="49" spans="1:13" ht="42.75" customHeight="1">
      <c r="A49" s="1060">
        <v>6</v>
      </c>
      <c r="B49" s="1060" t="s">
        <v>956</v>
      </c>
      <c r="C49" s="1056" t="s">
        <v>1376</v>
      </c>
      <c r="D49" s="1061"/>
      <c r="E49" s="1059"/>
    </row>
    <row r="50" spans="1:13" ht="61.5" customHeight="1">
      <c r="A50" s="1060">
        <v>6</v>
      </c>
      <c r="B50" s="1060" t="s">
        <v>957</v>
      </c>
      <c r="C50" s="1056" t="s">
        <v>958</v>
      </c>
      <c r="D50" s="1061"/>
      <c r="E50" s="1059"/>
    </row>
    <row r="51" spans="1:13" ht="63" customHeight="1">
      <c r="A51" s="1060">
        <v>6</v>
      </c>
      <c r="B51" s="1060" t="s">
        <v>959</v>
      </c>
      <c r="C51" s="1056" t="s">
        <v>960</v>
      </c>
      <c r="D51" s="1061"/>
      <c r="E51" s="1059"/>
    </row>
    <row r="52" spans="1:13" ht="243" customHeight="1">
      <c r="A52" s="1060">
        <v>7</v>
      </c>
      <c r="B52" s="1060" t="s">
        <v>554</v>
      </c>
      <c r="C52" s="1056" t="s">
        <v>961</v>
      </c>
      <c r="D52" s="1533" t="s">
        <v>572</v>
      </c>
      <c r="E52" s="1059"/>
    </row>
    <row r="53" spans="1:13" ht="117" customHeight="1">
      <c r="A53" s="1060">
        <v>7</v>
      </c>
      <c r="B53" s="1060" t="s">
        <v>962</v>
      </c>
      <c r="C53" s="1056" t="s">
        <v>1296</v>
      </c>
      <c r="D53" s="1533" t="s">
        <v>572</v>
      </c>
      <c r="E53" s="1059"/>
    </row>
    <row r="54" spans="1:13" ht="101.25" customHeight="1">
      <c r="A54" s="1060">
        <v>7</v>
      </c>
      <c r="B54" s="1060" t="s">
        <v>963</v>
      </c>
      <c r="C54" s="1056" t="s">
        <v>1297</v>
      </c>
      <c r="D54" s="1533" t="s">
        <v>572</v>
      </c>
      <c r="E54" s="1059"/>
    </row>
    <row r="55" spans="1:13" ht="43.5" customHeight="1">
      <c r="A55" s="1060">
        <v>7</v>
      </c>
      <c r="B55" s="1060" t="s">
        <v>964</v>
      </c>
      <c r="C55" s="1056" t="s">
        <v>965</v>
      </c>
      <c r="D55" s="1061"/>
      <c r="E55" s="1064"/>
      <c r="F55" s="1523"/>
    </row>
    <row r="56" spans="1:13" ht="171" customHeight="1">
      <c r="A56" s="1060">
        <v>7</v>
      </c>
      <c r="B56" s="1060" t="s">
        <v>966</v>
      </c>
      <c r="C56" s="1233" t="s">
        <v>1377</v>
      </c>
      <c r="D56" s="1061"/>
      <c r="E56" s="1059"/>
      <c r="K56" s="1521"/>
      <c r="L56" s="1521"/>
    </row>
    <row r="57" spans="1:13" ht="36">
      <c r="A57" s="1059"/>
      <c r="B57" s="1060"/>
      <c r="C57" s="1067" t="s">
        <v>967</v>
      </c>
      <c r="D57" s="1061"/>
      <c r="E57" s="1059"/>
    </row>
    <row r="58" spans="1:13" ht="156" customHeight="1">
      <c r="A58" s="1060">
        <v>7</v>
      </c>
      <c r="B58" s="1060" t="s">
        <v>968</v>
      </c>
      <c r="C58" s="1056" t="s">
        <v>1378</v>
      </c>
      <c r="D58" s="1061"/>
      <c r="E58" s="1059"/>
      <c r="K58" s="1521"/>
      <c r="L58" s="1521"/>
    </row>
    <row r="59" spans="1:13" ht="79.5" customHeight="1">
      <c r="A59" s="1060">
        <v>7</v>
      </c>
      <c r="B59" s="1060" t="s">
        <v>969</v>
      </c>
      <c r="C59" s="1056" t="s">
        <v>970</v>
      </c>
      <c r="D59" s="1061"/>
      <c r="E59" s="1059"/>
    </row>
    <row r="60" spans="1:13" ht="210" customHeight="1">
      <c r="A60" s="1060">
        <v>7</v>
      </c>
      <c r="B60" s="1060" t="s">
        <v>971</v>
      </c>
      <c r="C60" s="1056" t="s">
        <v>1379</v>
      </c>
      <c r="D60" s="1061"/>
      <c r="E60" s="1059"/>
      <c r="K60" s="1521"/>
      <c r="L60" s="1521"/>
      <c r="M60" s="1521"/>
    </row>
    <row r="61" spans="1:13" ht="208.5" customHeight="1">
      <c r="A61" s="1060">
        <v>7</v>
      </c>
      <c r="B61" s="1060" t="s">
        <v>972</v>
      </c>
      <c r="C61" s="1056" t="s">
        <v>1380</v>
      </c>
      <c r="D61" s="1061"/>
      <c r="E61" s="1059"/>
      <c r="K61" s="1521"/>
      <c r="L61" s="1521"/>
      <c r="M61" s="1521"/>
    </row>
    <row r="62" spans="1:13" ht="151.5" customHeight="1">
      <c r="A62" s="1060">
        <v>7</v>
      </c>
      <c r="B62" s="1060" t="s">
        <v>973</v>
      </c>
      <c r="C62" s="1056" t="s">
        <v>974</v>
      </c>
      <c r="D62" s="1533" t="s">
        <v>572</v>
      </c>
      <c r="E62" s="1059"/>
    </row>
    <row r="63" spans="1:13" ht="264" customHeight="1">
      <c r="A63" s="1060">
        <v>7</v>
      </c>
      <c r="B63" s="1060" t="s">
        <v>911</v>
      </c>
      <c r="C63" s="1056" t="s">
        <v>1381</v>
      </c>
      <c r="D63" s="1533" t="s">
        <v>572</v>
      </c>
      <c r="E63" s="1059"/>
      <c r="K63" s="1521"/>
      <c r="L63" s="1521"/>
      <c r="M63" s="1521"/>
    </row>
    <row r="64" spans="1:13" ht="28.5" customHeight="1">
      <c r="A64" s="1060"/>
      <c r="B64" s="1060"/>
      <c r="C64" s="1058" t="s">
        <v>975</v>
      </c>
      <c r="D64" s="1534"/>
      <c r="E64" s="1059"/>
    </row>
    <row r="65" spans="1:14" ht="154.5" customHeight="1">
      <c r="A65" s="1060">
        <v>7</v>
      </c>
      <c r="B65" s="1060" t="s">
        <v>976</v>
      </c>
      <c r="C65" s="1056" t="s">
        <v>977</v>
      </c>
      <c r="D65" s="1533" t="s">
        <v>572</v>
      </c>
      <c r="E65" s="1059"/>
    </row>
    <row r="66" spans="1:14" ht="39" customHeight="1">
      <c r="A66" s="1060">
        <v>7</v>
      </c>
      <c r="B66" s="1060" t="s">
        <v>978</v>
      </c>
      <c r="C66" s="1056" t="s">
        <v>979</v>
      </c>
      <c r="D66" s="1061"/>
      <c r="E66" s="1059"/>
    </row>
    <row r="67" spans="1:14" ht="27.75" customHeight="1">
      <c r="A67" s="1060"/>
      <c r="B67" s="1060"/>
      <c r="C67" s="1068" t="s">
        <v>980</v>
      </c>
      <c r="D67" s="1061"/>
      <c r="E67" s="1059"/>
    </row>
    <row r="68" spans="1:14" ht="189.75" customHeight="1">
      <c r="A68" s="1060">
        <v>7</v>
      </c>
      <c r="B68" s="1060" t="s">
        <v>981</v>
      </c>
      <c r="C68" s="1056" t="s">
        <v>1382</v>
      </c>
      <c r="D68" s="1533" t="s">
        <v>572</v>
      </c>
      <c r="E68" s="1059"/>
      <c r="K68" s="1521"/>
      <c r="L68" s="1521"/>
    </row>
    <row r="69" spans="1:14" ht="30" customHeight="1">
      <c r="A69" s="1060"/>
      <c r="B69" s="1060"/>
      <c r="C69" s="1068" t="s">
        <v>980</v>
      </c>
      <c r="D69" s="1061"/>
      <c r="E69" s="1059"/>
    </row>
    <row r="70" spans="1:14" ht="387.75" customHeight="1">
      <c r="A70" s="1060">
        <v>7</v>
      </c>
      <c r="B70" s="1060" t="s">
        <v>982</v>
      </c>
      <c r="C70" s="1056" t="s">
        <v>1383</v>
      </c>
      <c r="D70" s="1533" t="s">
        <v>572</v>
      </c>
      <c r="E70" s="1059"/>
      <c r="K70" s="1521"/>
      <c r="L70" s="1521"/>
      <c r="M70" s="1521"/>
      <c r="N70" s="1521"/>
    </row>
    <row r="71" spans="1:14" ht="79.5" customHeight="1">
      <c r="A71" s="1060">
        <v>7</v>
      </c>
      <c r="B71" s="1060" t="s">
        <v>983</v>
      </c>
      <c r="C71" s="1056" t="s">
        <v>984</v>
      </c>
      <c r="D71" s="1061"/>
      <c r="E71" s="1059"/>
    </row>
    <row r="72" spans="1:14" ht="315.75" customHeight="1">
      <c r="A72" s="1060">
        <v>7</v>
      </c>
      <c r="B72" s="1060" t="s">
        <v>985</v>
      </c>
      <c r="C72" s="1056" t="s">
        <v>1384</v>
      </c>
      <c r="D72" s="1533" t="s">
        <v>572</v>
      </c>
      <c r="E72" s="1059"/>
      <c r="K72" s="1521"/>
      <c r="L72" s="1521"/>
      <c r="M72" s="1521"/>
      <c r="N72" s="1521"/>
    </row>
    <row r="73" spans="1:14" ht="102.75" customHeight="1">
      <c r="A73" s="1060">
        <v>7</v>
      </c>
      <c r="B73" s="1060" t="s">
        <v>986</v>
      </c>
      <c r="C73" s="1056" t="s">
        <v>1404</v>
      </c>
      <c r="D73" s="1061"/>
      <c r="E73" s="1059"/>
      <c r="K73" s="1521"/>
    </row>
    <row r="74" spans="1:14" ht="172.5" customHeight="1">
      <c r="A74" s="1060">
        <v>7</v>
      </c>
      <c r="B74" s="1060" t="s">
        <v>987</v>
      </c>
      <c r="C74" s="1056" t="s">
        <v>1385</v>
      </c>
      <c r="D74" s="1061"/>
      <c r="E74" s="1059"/>
      <c r="K74" s="1521"/>
      <c r="L74" s="1521"/>
    </row>
    <row r="75" spans="1:14" ht="153" customHeight="1">
      <c r="A75" s="1060">
        <v>7</v>
      </c>
      <c r="B75" s="1060" t="s">
        <v>988</v>
      </c>
      <c r="C75" s="1065" t="s">
        <v>989</v>
      </c>
      <c r="D75" s="1061"/>
      <c r="E75" s="1059"/>
    </row>
    <row r="76" spans="1:14" ht="117" customHeight="1">
      <c r="A76" s="1060">
        <v>7</v>
      </c>
      <c r="B76" s="1060" t="s">
        <v>990</v>
      </c>
      <c r="C76" s="1056" t="s">
        <v>1298</v>
      </c>
      <c r="D76" s="1533" t="s">
        <v>572</v>
      </c>
      <c r="E76" s="1059"/>
      <c r="K76" s="1521"/>
    </row>
    <row r="77" spans="1:14" ht="79.5" customHeight="1">
      <c r="A77" s="1060">
        <v>7</v>
      </c>
      <c r="B77" s="1060" t="s">
        <v>991</v>
      </c>
      <c r="C77" s="1056" t="s">
        <v>1386</v>
      </c>
      <c r="D77" s="1061"/>
      <c r="E77" s="1059"/>
    </row>
    <row r="78" spans="1:14">
      <c r="A78" s="1060"/>
      <c r="C78" s="1062" t="s">
        <v>992</v>
      </c>
      <c r="D78" s="1061"/>
      <c r="E78" s="1059"/>
    </row>
    <row r="79" spans="1:14" ht="135" customHeight="1">
      <c r="A79" s="1060">
        <v>7</v>
      </c>
      <c r="B79" s="1060" t="s">
        <v>993</v>
      </c>
      <c r="C79" s="1056" t="s">
        <v>994</v>
      </c>
      <c r="D79" s="1407" t="s">
        <v>572</v>
      </c>
      <c r="E79" s="1059"/>
    </row>
    <row r="80" spans="1:14" ht="189" customHeight="1">
      <c r="A80" s="1060">
        <v>7</v>
      </c>
      <c r="B80" s="1060" t="s">
        <v>913</v>
      </c>
      <c r="C80" s="1056" t="s">
        <v>1299</v>
      </c>
      <c r="D80" s="1407" t="s">
        <v>572</v>
      </c>
      <c r="E80" s="1059"/>
      <c r="K80" s="1521"/>
      <c r="L80" s="1521"/>
    </row>
    <row r="81" spans="1:12" ht="117" customHeight="1">
      <c r="A81" s="1060">
        <v>8</v>
      </c>
      <c r="B81" s="1060" t="s">
        <v>995</v>
      </c>
      <c r="C81" s="1056" t="s">
        <v>1387</v>
      </c>
      <c r="D81" s="1533" t="s">
        <v>572</v>
      </c>
      <c r="E81" s="1059"/>
      <c r="K81" s="1521"/>
    </row>
    <row r="82" spans="1:12">
      <c r="A82" s="1060"/>
      <c r="B82" s="1060"/>
      <c r="C82" s="1062" t="s">
        <v>996</v>
      </c>
      <c r="D82" s="1534"/>
      <c r="E82" s="1059"/>
    </row>
    <row r="83" spans="1:12" ht="80.25" customHeight="1">
      <c r="A83" s="1060">
        <v>8</v>
      </c>
      <c r="B83" s="1060" t="s">
        <v>997</v>
      </c>
      <c r="C83" s="1056" t="s">
        <v>1300</v>
      </c>
      <c r="D83" s="1533" t="s">
        <v>572</v>
      </c>
      <c r="E83" s="1059"/>
      <c r="K83" s="1521"/>
    </row>
    <row r="84" spans="1:12">
      <c r="A84" s="1060"/>
      <c r="B84" s="1060"/>
      <c r="C84" s="1062" t="s">
        <v>996</v>
      </c>
      <c r="D84" s="1534"/>
      <c r="E84" s="1059"/>
    </row>
    <row r="85" spans="1:12" ht="96.75" customHeight="1">
      <c r="A85" s="1060">
        <v>8</v>
      </c>
      <c r="B85" s="1060" t="s">
        <v>981</v>
      </c>
      <c r="C85" s="1056" t="s">
        <v>1388</v>
      </c>
      <c r="D85" s="1533" t="s">
        <v>572</v>
      </c>
      <c r="E85" s="1059"/>
      <c r="K85" s="1521"/>
    </row>
    <row r="86" spans="1:12" ht="64.5" customHeight="1">
      <c r="A86" s="1060">
        <v>8</v>
      </c>
      <c r="B86" s="1060" t="s">
        <v>998</v>
      </c>
      <c r="C86" s="1056" t="s">
        <v>1301</v>
      </c>
      <c r="D86" s="1533" t="s">
        <v>572</v>
      </c>
      <c r="E86" s="1059"/>
    </row>
    <row r="87" spans="1:12" ht="117" customHeight="1">
      <c r="A87" s="1060">
        <v>8</v>
      </c>
      <c r="B87" s="1060" t="s">
        <v>913</v>
      </c>
      <c r="C87" s="1056" t="s">
        <v>999</v>
      </c>
      <c r="D87" s="1533" t="s">
        <v>572</v>
      </c>
      <c r="E87" s="1059"/>
    </row>
    <row r="88" spans="1:12">
      <c r="A88" s="1060"/>
      <c r="B88" s="1060"/>
      <c r="C88" s="1062" t="s">
        <v>996</v>
      </c>
      <c r="D88" s="1534"/>
      <c r="E88" s="1059"/>
    </row>
    <row r="89" spans="1:12" ht="115.5" customHeight="1">
      <c r="A89" s="1060">
        <v>8</v>
      </c>
      <c r="B89" s="1060" t="s">
        <v>933</v>
      </c>
      <c r="C89" s="1056" t="s">
        <v>1000</v>
      </c>
      <c r="D89" s="1061"/>
      <c r="E89" s="1059"/>
    </row>
    <row r="90" spans="1:12">
      <c r="A90" s="1060"/>
      <c r="B90" s="1060"/>
      <c r="C90" s="1062" t="s">
        <v>996</v>
      </c>
      <c r="D90" s="1061"/>
      <c r="E90" s="1059"/>
    </row>
    <row r="91" spans="1:12" ht="81.75" customHeight="1">
      <c r="A91" s="1060">
        <v>8</v>
      </c>
      <c r="B91" s="1060" t="s">
        <v>1001</v>
      </c>
      <c r="C91" s="1056" t="s">
        <v>1302</v>
      </c>
      <c r="D91" s="1533" t="s">
        <v>572</v>
      </c>
      <c r="E91" s="1059"/>
    </row>
    <row r="92" spans="1:12" ht="277.5" customHeight="1">
      <c r="A92" s="1060" t="s">
        <v>1002</v>
      </c>
      <c r="B92" s="1060" t="s">
        <v>1003</v>
      </c>
      <c r="C92" s="1056" t="s">
        <v>1389</v>
      </c>
      <c r="D92" s="1061"/>
      <c r="E92" s="1059"/>
    </row>
    <row r="93" spans="1:12" ht="136.5" customHeight="1">
      <c r="A93" s="1060" t="s">
        <v>1004</v>
      </c>
      <c r="B93" s="1060" t="s">
        <v>1005</v>
      </c>
      <c r="C93" s="1056" t="s">
        <v>1390</v>
      </c>
      <c r="D93" s="1061"/>
      <c r="E93" s="1059"/>
      <c r="K93" s="1521"/>
      <c r="L93" s="1521"/>
    </row>
    <row r="94" spans="1:12" ht="172.5" customHeight="1">
      <c r="A94" s="1060" t="s">
        <v>1004</v>
      </c>
      <c r="B94" s="1060" t="s">
        <v>1005</v>
      </c>
      <c r="C94" s="1056" t="s">
        <v>1391</v>
      </c>
      <c r="D94" s="1061"/>
      <c r="E94" s="1059"/>
      <c r="K94" s="1521"/>
      <c r="L94" s="1521"/>
    </row>
    <row r="95" spans="1:12" ht="172.5" customHeight="1">
      <c r="A95" s="1060" t="s">
        <v>1004</v>
      </c>
      <c r="B95" s="1060" t="s">
        <v>1005</v>
      </c>
      <c r="C95" s="1056" t="s">
        <v>1006</v>
      </c>
      <c r="D95" s="1061"/>
      <c r="E95" s="1059"/>
    </row>
    <row r="96" spans="1:12" ht="118.5" customHeight="1">
      <c r="A96" s="1060" t="s">
        <v>1004</v>
      </c>
      <c r="B96" s="1060" t="s">
        <v>1005</v>
      </c>
      <c r="C96" s="1056" t="s">
        <v>1007</v>
      </c>
      <c r="D96" s="1061"/>
      <c r="E96" s="1059"/>
    </row>
    <row r="97" spans="1:12" ht="63" customHeight="1">
      <c r="A97" s="1060" t="s">
        <v>1008</v>
      </c>
      <c r="B97" s="1060" t="s">
        <v>1009</v>
      </c>
      <c r="C97" s="1056" t="s">
        <v>1259</v>
      </c>
      <c r="D97" s="1061"/>
      <c r="E97" s="1059"/>
    </row>
    <row r="98" spans="1:12" ht="100.5" customHeight="1">
      <c r="A98" s="1060" t="s">
        <v>1010</v>
      </c>
      <c r="B98" s="1060" t="s">
        <v>554</v>
      </c>
      <c r="C98" s="1056" t="s">
        <v>1011</v>
      </c>
      <c r="D98" s="1061"/>
      <c r="E98" s="1059"/>
    </row>
    <row r="99" spans="1:12" ht="246" customHeight="1">
      <c r="A99" s="1060" t="s">
        <v>1010</v>
      </c>
      <c r="B99" s="1060" t="s">
        <v>1012</v>
      </c>
      <c r="C99" s="1056" t="s">
        <v>1392</v>
      </c>
      <c r="D99" s="1061"/>
      <c r="E99" s="1059"/>
      <c r="K99" s="1521"/>
      <c r="L99" s="1521"/>
    </row>
    <row r="100" spans="1:12" ht="63.75" customHeight="1">
      <c r="A100" s="1060" t="s">
        <v>1010</v>
      </c>
      <c r="B100" s="1060" t="s">
        <v>1012</v>
      </c>
      <c r="C100" s="1056" t="s">
        <v>1013</v>
      </c>
      <c r="D100" s="1061"/>
      <c r="E100" s="1059"/>
    </row>
    <row r="101" spans="1:12" ht="114" customHeight="1">
      <c r="A101" s="1060" t="s">
        <v>1010</v>
      </c>
      <c r="B101" s="1060" t="s">
        <v>962</v>
      </c>
      <c r="C101" s="1056" t="s">
        <v>1260</v>
      </c>
      <c r="D101" s="1061"/>
      <c r="E101" s="1059"/>
      <c r="K101" s="1521"/>
    </row>
    <row r="102" spans="1:12" ht="99.75" customHeight="1">
      <c r="A102" s="1355" t="s">
        <v>1010</v>
      </c>
      <c r="B102" s="1355" t="s">
        <v>995</v>
      </c>
      <c r="C102" s="1056" t="s">
        <v>1014</v>
      </c>
      <c r="D102" s="1070"/>
      <c r="E102" s="1059"/>
    </row>
    <row r="103" spans="1:12" ht="54">
      <c r="A103" s="1060" t="s">
        <v>1010</v>
      </c>
      <c r="B103" s="1060" t="s">
        <v>1015</v>
      </c>
      <c r="C103" s="1059" t="s">
        <v>1261</v>
      </c>
      <c r="D103" s="1061"/>
      <c r="E103" s="1059"/>
    </row>
    <row r="104" spans="1:12" ht="114" customHeight="1">
      <c r="A104" s="1289" t="s">
        <v>1010</v>
      </c>
      <c r="B104" s="1289" t="s">
        <v>1016</v>
      </c>
      <c r="C104" s="1389" t="s">
        <v>1393</v>
      </c>
      <c r="D104" s="1061"/>
      <c r="E104" s="1059"/>
    </row>
    <row r="105" spans="1:12" ht="101.25" customHeight="1">
      <c r="A105" s="1289" t="s">
        <v>1017</v>
      </c>
      <c r="B105" s="1289" t="s">
        <v>554</v>
      </c>
      <c r="C105" s="1390" t="s">
        <v>1117</v>
      </c>
      <c r="D105" s="1061"/>
      <c r="E105" s="1059"/>
    </row>
    <row r="106" spans="1:12" ht="82.5" customHeight="1">
      <c r="A106" s="1289" t="s">
        <v>1017</v>
      </c>
      <c r="B106" s="1289" t="s">
        <v>1018</v>
      </c>
      <c r="C106" s="1390" t="s">
        <v>1276</v>
      </c>
      <c r="D106" s="1061"/>
      <c r="E106" s="1291"/>
    </row>
    <row r="107" spans="1:12" ht="67.5" customHeight="1">
      <c r="A107" s="1289" t="s">
        <v>1017</v>
      </c>
      <c r="B107" s="1289" t="s">
        <v>1019</v>
      </c>
      <c r="C107" s="1390" t="s">
        <v>1277</v>
      </c>
      <c r="D107" s="1061"/>
      <c r="E107" s="1291"/>
    </row>
    <row r="108" spans="1:12" ht="72" customHeight="1">
      <c r="A108" s="1289" t="s">
        <v>1017</v>
      </c>
      <c r="B108" s="1289" t="s">
        <v>1020</v>
      </c>
      <c r="C108" s="1390" t="s">
        <v>1278</v>
      </c>
      <c r="D108" s="1061"/>
      <c r="E108" s="1291"/>
    </row>
    <row r="109" spans="1:12" ht="67.5" customHeight="1">
      <c r="A109" s="1289" t="s">
        <v>1017</v>
      </c>
      <c r="B109" s="1289" t="s">
        <v>1021</v>
      </c>
      <c r="C109" s="1390" t="s">
        <v>1279</v>
      </c>
      <c r="D109" s="1061"/>
      <c r="E109" s="1291"/>
    </row>
    <row r="110" spans="1:12" ht="69" customHeight="1">
      <c r="A110" s="1289" t="s">
        <v>1017</v>
      </c>
      <c r="B110" s="1289" t="s">
        <v>1022</v>
      </c>
      <c r="C110" s="1390" t="s">
        <v>1280</v>
      </c>
      <c r="D110" s="1061"/>
      <c r="E110" s="1291"/>
    </row>
    <row r="111" spans="1:12" ht="67.5" customHeight="1">
      <c r="A111" s="1289" t="s">
        <v>1017</v>
      </c>
      <c r="B111" s="1289" t="s">
        <v>1023</v>
      </c>
      <c r="C111" s="1390" t="s">
        <v>1281</v>
      </c>
      <c r="D111" s="1061"/>
      <c r="E111" s="1291"/>
    </row>
    <row r="112" spans="1:12" ht="65.25" customHeight="1">
      <c r="A112" s="1289" t="s">
        <v>1017</v>
      </c>
      <c r="B112" s="1289" t="s">
        <v>1024</v>
      </c>
      <c r="C112" s="1390" t="s">
        <v>1282</v>
      </c>
      <c r="D112" s="1061"/>
      <c r="E112" s="1291"/>
    </row>
    <row r="113" spans="1:13" ht="66" customHeight="1">
      <c r="A113" s="1289" t="s">
        <v>1017</v>
      </c>
      <c r="B113" s="1289" t="s">
        <v>1025</v>
      </c>
      <c r="C113" s="1390" t="s">
        <v>1283</v>
      </c>
      <c r="D113" s="1061"/>
      <c r="E113" s="1291"/>
    </row>
    <row r="114" spans="1:13" ht="93" customHeight="1">
      <c r="A114" s="1289" t="s">
        <v>1017</v>
      </c>
      <c r="B114" s="1289" t="s">
        <v>1026</v>
      </c>
      <c r="C114" s="1390" t="s">
        <v>1284</v>
      </c>
      <c r="D114" s="1061"/>
      <c r="E114" s="1291"/>
    </row>
    <row r="115" spans="1:13" ht="155.25" customHeight="1">
      <c r="A115" s="1289" t="s">
        <v>1017</v>
      </c>
      <c r="B115" s="1289" t="s">
        <v>1027</v>
      </c>
      <c r="C115" s="1390" t="s">
        <v>1028</v>
      </c>
      <c r="D115" s="1061"/>
      <c r="E115" s="1291"/>
    </row>
    <row r="116" spans="1:13" ht="117.75" customHeight="1">
      <c r="A116" s="1289" t="s">
        <v>1017</v>
      </c>
      <c r="B116" s="1289" t="s">
        <v>1029</v>
      </c>
      <c r="C116" s="1390" t="s">
        <v>1285</v>
      </c>
      <c r="D116" s="1061"/>
      <c r="E116" s="1291"/>
    </row>
    <row r="117" spans="1:13" ht="112.5" customHeight="1">
      <c r="A117" s="1289" t="s">
        <v>1017</v>
      </c>
      <c r="B117" s="1289" t="s">
        <v>1030</v>
      </c>
      <c r="C117" s="1071" t="s">
        <v>1333</v>
      </c>
      <c r="D117" s="1061"/>
      <c r="E117" s="1291"/>
    </row>
    <row r="118" spans="1:13" ht="82.5" customHeight="1">
      <c r="A118" s="1289" t="s">
        <v>1017</v>
      </c>
      <c r="B118" s="1289" t="s">
        <v>1355</v>
      </c>
      <c r="C118" s="1390" t="s">
        <v>1356</v>
      </c>
      <c r="D118" s="1061"/>
      <c r="E118" s="1291"/>
    </row>
    <row r="119" spans="1:13" ht="84" customHeight="1">
      <c r="A119" s="1060" t="s">
        <v>1031</v>
      </c>
      <c r="B119" s="1060" t="s">
        <v>554</v>
      </c>
      <c r="C119" s="1071" t="s">
        <v>1032</v>
      </c>
      <c r="D119" s="1061"/>
      <c r="E119" s="1059"/>
    </row>
    <row r="120" spans="1:13" ht="83.25" customHeight="1">
      <c r="A120" s="1060" t="s">
        <v>1031</v>
      </c>
      <c r="B120" s="1060" t="s">
        <v>554</v>
      </c>
      <c r="C120" s="1071" t="s">
        <v>1033</v>
      </c>
      <c r="D120" s="1061"/>
      <c r="E120" s="1059"/>
    </row>
    <row r="121" spans="1:13" ht="72" customHeight="1">
      <c r="A121" s="1392" t="s">
        <v>1031</v>
      </c>
      <c r="B121" s="1392" t="s">
        <v>1273</v>
      </c>
      <c r="C121" s="1405" t="s">
        <v>1394</v>
      </c>
      <c r="D121" s="1061"/>
      <c r="E121" s="1394" t="s">
        <v>1310</v>
      </c>
    </row>
    <row r="122" spans="1:13" ht="111" customHeight="1">
      <c r="A122" s="1392" t="s">
        <v>1031</v>
      </c>
      <c r="B122" s="1392" t="s">
        <v>1274</v>
      </c>
      <c r="C122" s="1405" t="s">
        <v>1395</v>
      </c>
      <c r="D122" s="1061"/>
      <c r="E122" s="1406" t="s">
        <v>1346</v>
      </c>
    </row>
    <row r="123" spans="1:13" ht="101.25" customHeight="1">
      <c r="A123" s="1059" t="s">
        <v>1031</v>
      </c>
      <c r="B123" s="1060" t="s">
        <v>1034</v>
      </c>
      <c r="C123" s="1072" t="s">
        <v>1262</v>
      </c>
      <c r="D123" s="1073"/>
      <c r="E123" s="1059"/>
      <c r="F123" s="1523"/>
      <c r="K123" s="1521"/>
    </row>
    <row r="124" spans="1:13" ht="255" customHeight="1">
      <c r="A124" s="1059" t="s">
        <v>1031</v>
      </c>
      <c r="B124" s="1060" t="s">
        <v>1035</v>
      </c>
      <c r="C124" s="1072" t="s">
        <v>1303</v>
      </c>
      <c r="D124" s="1408" t="s">
        <v>572</v>
      </c>
      <c r="E124" s="1059"/>
      <c r="K124" s="1521"/>
      <c r="L124" s="1521"/>
    </row>
    <row r="125" spans="1:13" ht="346.5" customHeight="1">
      <c r="A125" s="1059" t="s">
        <v>1031</v>
      </c>
      <c r="B125" s="1060" t="s">
        <v>1036</v>
      </c>
      <c r="C125" s="1237" t="s">
        <v>1304</v>
      </c>
      <c r="D125" s="1408" t="s">
        <v>572</v>
      </c>
      <c r="E125" s="1291"/>
      <c r="K125" s="1521"/>
      <c r="L125" s="1521"/>
      <c r="M125" s="1521"/>
    </row>
    <row r="126" spans="1:13" ht="204" customHeight="1">
      <c r="A126" s="1059" t="s">
        <v>1031</v>
      </c>
      <c r="B126" s="1060" t="s">
        <v>1037</v>
      </c>
      <c r="C126" s="1072" t="s">
        <v>1305</v>
      </c>
      <c r="D126" s="1408" t="s">
        <v>572</v>
      </c>
      <c r="E126" s="1394" t="s">
        <v>1291</v>
      </c>
      <c r="K126" s="1521"/>
    </row>
    <row r="127" spans="1:13" ht="59.25" customHeight="1">
      <c r="A127" s="1059" t="s">
        <v>1031</v>
      </c>
      <c r="B127" s="1060" t="s">
        <v>1038</v>
      </c>
      <c r="C127" s="1075" t="s">
        <v>1040</v>
      </c>
      <c r="D127" s="1357"/>
      <c r="E127" s="1059"/>
    </row>
    <row r="128" spans="1:13" ht="385.5" customHeight="1">
      <c r="A128" s="1353" t="s">
        <v>1031</v>
      </c>
      <c r="B128" s="1485" t="s">
        <v>1286</v>
      </c>
      <c r="C128" s="1072" t="s">
        <v>1039</v>
      </c>
      <c r="D128" s="1357"/>
      <c r="E128" s="1059"/>
    </row>
    <row r="129" spans="1:12" ht="22.5" customHeight="1">
      <c r="A129" s="1353"/>
      <c r="B129" s="1355"/>
      <c r="C129" s="1074" t="s">
        <v>920</v>
      </c>
      <c r="D129" s="1357"/>
      <c r="E129" s="1059"/>
    </row>
    <row r="130" spans="1:12" ht="59.25" customHeight="1">
      <c r="A130" s="1059" t="s">
        <v>1031</v>
      </c>
      <c r="B130" s="1060" t="s">
        <v>1041</v>
      </c>
      <c r="C130" s="1075" t="s">
        <v>1042</v>
      </c>
      <c r="D130" s="1357"/>
      <c r="E130" s="1059"/>
    </row>
    <row r="131" spans="1:12" ht="60.75" customHeight="1">
      <c r="A131" s="1059" t="s">
        <v>1031</v>
      </c>
      <c r="B131" s="1060" t="s">
        <v>1043</v>
      </c>
      <c r="C131" s="1072" t="s">
        <v>1044</v>
      </c>
      <c r="D131" s="1061"/>
      <c r="E131" s="1059"/>
    </row>
    <row r="132" spans="1:12" ht="63.75" customHeight="1">
      <c r="A132" s="1059" t="s">
        <v>1031</v>
      </c>
      <c r="B132" s="1060" t="s">
        <v>1045</v>
      </c>
      <c r="C132" s="1072" t="s">
        <v>1046</v>
      </c>
      <c r="D132" s="1061"/>
      <c r="E132" s="1059"/>
    </row>
    <row r="133" spans="1:12" ht="58.5" customHeight="1">
      <c r="A133" s="1059" t="s">
        <v>1031</v>
      </c>
      <c r="B133" s="1060" t="s">
        <v>1047</v>
      </c>
      <c r="C133" s="1072" t="s">
        <v>1048</v>
      </c>
      <c r="D133" s="1061"/>
      <c r="E133" s="1059"/>
    </row>
    <row r="134" spans="1:12" ht="63" customHeight="1">
      <c r="A134" s="1059" t="s">
        <v>1031</v>
      </c>
      <c r="B134" s="1060" t="s">
        <v>1049</v>
      </c>
      <c r="C134" s="1072" t="s">
        <v>1050</v>
      </c>
      <c r="D134" s="1061"/>
      <c r="E134" s="1059"/>
    </row>
    <row r="135" spans="1:12" ht="61.5" customHeight="1">
      <c r="A135" s="1059" t="s">
        <v>1031</v>
      </c>
      <c r="B135" s="1060" t="s">
        <v>1051</v>
      </c>
      <c r="C135" s="1072" t="s">
        <v>1052</v>
      </c>
      <c r="D135" s="1061"/>
      <c r="E135" s="1059"/>
    </row>
    <row r="136" spans="1:12" ht="59.25" customHeight="1">
      <c r="A136" s="1059" t="s">
        <v>1031</v>
      </c>
      <c r="B136" s="1060" t="s">
        <v>1053</v>
      </c>
      <c r="C136" s="1072" t="s">
        <v>1054</v>
      </c>
      <c r="D136" s="1061"/>
      <c r="E136" s="1059"/>
    </row>
    <row r="137" spans="1:12" ht="63" customHeight="1">
      <c r="A137" s="1059" t="s">
        <v>1031</v>
      </c>
      <c r="B137" s="1060" t="s">
        <v>1055</v>
      </c>
      <c r="C137" s="1072" t="s">
        <v>1056</v>
      </c>
      <c r="D137" s="1061"/>
      <c r="E137" s="1059"/>
    </row>
    <row r="138" spans="1:12" ht="58.5" customHeight="1">
      <c r="A138" s="1059" t="s">
        <v>1031</v>
      </c>
      <c r="B138" s="1060" t="s">
        <v>1057</v>
      </c>
      <c r="C138" s="1072" t="s">
        <v>1058</v>
      </c>
      <c r="D138" s="1061"/>
      <c r="E138" s="1059"/>
    </row>
    <row r="139" spans="1:12" ht="59.25" customHeight="1">
      <c r="A139" s="1059" t="s">
        <v>1031</v>
      </c>
      <c r="B139" s="1060" t="s">
        <v>1059</v>
      </c>
      <c r="C139" s="1072" t="s">
        <v>1060</v>
      </c>
      <c r="D139" s="1061"/>
      <c r="E139" s="1059"/>
    </row>
    <row r="140" spans="1:12" ht="63.75" customHeight="1">
      <c r="A140" s="1059" t="s">
        <v>1031</v>
      </c>
      <c r="B140" s="1060" t="s">
        <v>1061</v>
      </c>
      <c r="C140" s="1072" t="s">
        <v>1062</v>
      </c>
      <c r="D140" s="1061"/>
      <c r="E140" s="1059"/>
    </row>
    <row r="141" spans="1:12" ht="99" customHeight="1">
      <c r="A141" s="1059" t="s">
        <v>1031</v>
      </c>
      <c r="B141" s="1060" t="s">
        <v>1063</v>
      </c>
      <c r="C141" s="1072" t="s">
        <v>1263</v>
      </c>
      <c r="D141" s="1061"/>
      <c r="E141" s="1059"/>
    </row>
    <row r="142" spans="1:12" ht="156" customHeight="1">
      <c r="A142" s="1059" t="s">
        <v>1031</v>
      </c>
      <c r="B142" s="1060" t="s">
        <v>1118</v>
      </c>
      <c r="C142" s="1072" t="s">
        <v>1309</v>
      </c>
      <c r="D142" s="1408" t="s">
        <v>572</v>
      </c>
      <c r="E142" s="1064"/>
    </row>
    <row r="143" spans="1:12" ht="103.5" customHeight="1">
      <c r="A143" s="1059" t="s">
        <v>1031</v>
      </c>
      <c r="B143" s="1060" t="s">
        <v>1064</v>
      </c>
      <c r="C143" s="1072" t="s">
        <v>1065</v>
      </c>
      <c r="D143" s="1061"/>
      <c r="E143" s="1059"/>
    </row>
    <row r="144" spans="1:12" ht="154.5" customHeight="1">
      <c r="A144" s="1059" t="s">
        <v>1031</v>
      </c>
      <c r="B144" s="1060" t="s">
        <v>1066</v>
      </c>
      <c r="C144" s="1059" t="s">
        <v>1396</v>
      </c>
      <c r="D144" s="1061"/>
      <c r="E144" s="1059"/>
      <c r="K144" s="1521"/>
      <c r="L144" s="1521"/>
    </row>
    <row r="145" spans="1:12" ht="18.75" customHeight="1">
      <c r="A145" s="1059"/>
      <c r="B145" s="1060"/>
      <c r="C145" s="1076" t="s">
        <v>1067</v>
      </c>
      <c r="D145" s="1061"/>
      <c r="E145" s="1059"/>
    </row>
    <row r="146" spans="1:12" ht="66.75" customHeight="1">
      <c r="A146" s="1059" t="s">
        <v>1031</v>
      </c>
      <c r="B146" s="1060" t="s">
        <v>1068</v>
      </c>
      <c r="C146" s="1059" t="s">
        <v>1264</v>
      </c>
      <c r="D146" s="1061"/>
      <c r="E146" s="1059"/>
    </row>
    <row r="147" spans="1:12" ht="61.5" customHeight="1">
      <c r="A147" s="1059" t="s">
        <v>1031</v>
      </c>
      <c r="B147" s="1060" t="s">
        <v>1069</v>
      </c>
      <c r="C147" s="1059" t="s">
        <v>1265</v>
      </c>
      <c r="D147" s="1061"/>
      <c r="E147" s="1059"/>
    </row>
    <row r="148" spans="1:12" ht="25.5" customHeight="1">
      <c r="A148" s="1059"/>
      <c r="B148" s="1060"/>
      <c r="C148" s="1076" t="s">
        <v>930</v>
      </c>
      <c r="D148" s="1061"/>
      <c r="E148" s="1059"/>
    </row>
    <row r="149" spans="1:12" ht="151.5" customHeight="1">
      <c r="A149" s="1059" t="s">
        <v>1031</v>
      </c>
      <c r="B149" s="1060" t="s">
        <v>1070</v>
      </c>
      <c r="C149" s="1238" t="s">
        <v>1397</v>
      </c>
      <c r="D149" s="1061"/>
      <c r="E149" s="1059"/>
      <c r="K149" s="1521"/>
      <c r="L149" s="1521"/>
    </row>
    <row r="150" spans="1:12" ht="117" customHeight="1">
      <c r="A150" s="1059" t="s">
        <v>1031</v>
      </c>
      <c r="B150" s="1060" t="s">
        <v>1071</v>
      </c>
      <c r="C150" s="1059" t="s">
        <v>1266</v>
      </c>
      <c r="D150" s="1061"/>
      <c r="E150" s="1059"/>
      <c r="K150" s="1521"/>
    </row>
    <row r="151" spans="1:12" ht="135" customHeight="1">
      <c r="A151" s="1059" t="s">
        <v>1031</v>
      </c>
      <c r="B151" s="1060" t="s">
        <v>1072</v>
      </c>
      <c r="C151" s="1059" t="s">
        <v>1073</v>
      </c>
      <c r="D151" s="1061"/>
      <c r="E151" s="1059"/>
    </row>
    <row r="152" spans="1:12">
      <c r="A152" s="1059"/>
      <c r="B152" s="1060"/>
      <c r="C152" s="1076" t="s">
        <v>930</v>
      </c>
      <c r="D152" s="1061"/>
      <c r="E152" s="1059"/>
    </row>
    <row r="153" spans="1:12" ht="86.25" customHeight="1">
      <c r="A153" s="1059" t="s">
        <v>1031</v>
      </c>
      <c r="B153" s="1060" t="s">
        <v>1074</v>
      </c>
      <c r="C153" s="1059" t="s">
        <v>1398</v>
      </c>
      <c r="D153" s="1061"/>
      <c r="E153" s="1059"/>
      <c r="K153" s="1521"/>
    </row>
    <row r="154" spans="1:12" ht="47.25" customHeight="1">
      <c r="A154" s="1059" t="s">
        <v>1031</v>
      </c>
      <c r="B154" s="1060" t="s">
        <v>1075</v>
      </c>
      <c r="C154" s="1059" t="s">
        <v>1076</v>
      </c>
      <c r="D154" s="1061"/>
      <c r="E154" s="1059"/>
    </row>
    <row r="155" spans="1:12" ht="261" customHeight="1">
      <c r="A155" s="1059" t="s">
        <v>1031</v>
      </c>
      <c r="B155" s="1060" t="s">
        <v>1077</v>
      </c>
      <c r="C155" s="1059" t="s">
        <v>1078</v>
      </c>
      <c r="D155" s="1061"/>
      <c r="E155" s="1059"/>
    </row>
    <row r="156" spans="1:12" ht="152.1" customHeight="1">
      <c r="A156" s="1059" t="s">
        <v>1031</v>
      </c>
      <c r="B156" s="1060" t="s">
        <v>1079</v>
      </c>
      <c r="C156" s="1072" t="s">
        <v>1399</v>
      </c>
      <c r="D156" s="1408" t="s">
        <v>572</v>
      </c>
      <c r="E156" s="1059"/>
    </row>
    <row r="157" spans="1:12" ht="135" customHeight="1">
      <c r="A157" s="1059" t="s">
        <v>1031</v>
      </c>
      <c r="B157" s="1060" t="s">
        <v>1080</v>
      </c>
      <c r="C157" s="1059" t="s">
        <v>1306</v>
      </c>
      <c r="D157" s="1408" t="s">
        <v>572</v>
      </c>
      <c r="E157" s="1064"/>
    </row>
    <row r="158" spans="1:12" ht="62.25" customHeight="1">
      <c r="A158" s="1100" t="s">
        <v>1031</v>
      </c>
      <c r="B158" s="1101" t="s">
        <v>1081</v>
      </c>
      <c r="C158" s="1100" t="s">
        <v>1082</v>
      </c>
      <c r="D158" s="1061"/>
      <c r="E158" s="1059"/>
    </row>
    <row r="159" spans="1:12" ht="168" customHeight="1">
      <c r="A159" s="1389" t="s">
        <v>1031</v>
      </c>
      <c r="B159" s="1289" t="s">
        <v>1083</v>
      </c>
      <c r="C159" s="1391" t="s">
        <v>1307</v>
      </c>
      <c r="D159" s="1535" t="s">
        <v>572</v>
      </c>
      <c r="E159" s="1059"/>
    </row>
    <row r="160" spans="1:12" ht="22.5" customHeight="1">
      <c r="A160" s="1060"/>
      <c r="B160" s="1060"/>
      <c r="C160" s="1062" t="s">
        <v>996</v>
      </c>
      <c r="D160" s="1061"/>
      <c r="E160" s="1291"/>
    </row>
    <row r="161" spans="1:14" ht="169.5" customHeight="1">
      <c r="A161" s="1389" t="s">
        <v>1031</v>
      </c>
      <c r="B161" s="1289" t="s">
        <v>1084</v>
      </c>
      <c r="C161" s="1391" t="s">
        <v>1308</v>
      </c>
      <c r="D161" s="1535" t="s">
        <v>572</v>
      </c>
      <c r="E161" s="1291"/>
    </row>
    <row r="162" spans="1:14">
      <c r="A162" s="1060"/>
      <c r="B162" s="1060"/>
      <c r="C162" s="1062" t="s">
        <v>996</v>
      </c>
      <c r="D162" s="1061"/>
      <c r="E162" s="1291"/>
    </row>
    <row r="163" spans="1:14" ht="90">
      <c r="A163" s="1394" t="s">
        <v>1031</v>
      </c>
      <c r="B163" s="1392" t="s">
        <v>1085</v>
      </c>
      <c r="C163" s="1423" t="s">
        <v>1293</v>
      </c>
      <c r="D163" s="1061"/>
      <c r="E163" s="1394" t="s">
        <v>1405</v>
      </c>
    </row>
    <row r="164" spans="1:14" ht="72">
      <c r="A164" s="1394" t="s">
        <v>1031</v>
      </c>
      <c r="B164" s="1392" t="s">
        <v>1086</v>
      </c>
      <c r="C164" s="1423" t="s">
        <v>1293</v>
      </c>
      <c r="D164" s="1061"/>
      <c r="E164" s="1394" t="s">
        <v>1406</v>
      </c>
    </row>
    <row r="165" spans="1:14" ht="63" customHeight="1">
      <c r="A165" s="1059" t="s">
        <v>1031</v>
      </c>
      <c r="B165" s="1289" t="s">
        <v>1087</v>
      </c>
      <c r="C165" s="1059" t="s">
        <v>1088</v>
      </c>
      <c r="D165" s="1139"/>
      <c r="E165" s="1059"/>
    </row>
    <row r="166" spans="1:14" s="1102" customFormat="1" ht="118.5" customHeight="1">
      <c r="A166" s="1100" t="s">
        <v>1031</v>
      </c>
      <c r="B166" s="1101" t="s">
        <v>1089</v>
      </c>
      <c r="C166" s="1100" t="s">
        <v>1400</v>
      </c>
      <c r="D166" s="1535" t="s">
        <v>572</v>
      </c>
      <c r="E166" s="1100"/>
      <c r="F166" s="1055"/>
      <c r="G166" s="1055"/>
      <c r="H166" s="1055"/>
      <c r="I166" s="1055"/>
      <c r="J166" s="1055"/>
      <c r="K166" s="1055"/>
      <c r="L166" s="1055"/>
      <c r="M166" s="1055"/>
      <c r="N166" s="1055"/>
    </row>
    <row r="167" spans="1:14" ht="121.5" customHeight="1">
      <c r="A167" s="1059" t="s">
        <v>1031</v>
      </c>
      <c r="B167" s="1060" t="s">
        <v>1090</v>
      </c>
      <c r="C167" s="1059" t="s">
        <v>1401</v>
      </c>
      <c r="D167" s="1533" t="s">
        <v>572</v>
      </c>
      <c r="E167" s="1059"/>
      <c r="K167" s="1521"/>
    </row>
    <row r="168" spans="1:14" ht="138" customHeight="1">
      <c r="A168" s="1059" t="s">
        <v>1031</v>
      </c>
      <c r="B168" s="1289" t="s">
        <v>1091</v>
      </c>
      <c r="C168" s="1059" t="s">
        <v>1402</v>
      </c>
      <c r="D168" s="1061"/>
      <c r="E168" s="1059"/>
      <c r="K168" s="1521"/>
      <c r="L168" s="1521"/>
    </row>
    <row r="169" spans="1:14" ht="133.5" customHeight="1">
      <c r="A169" s="1059" t="s">
        <v>1031</v>
      </c>
      <c r="B169" s="1060" t="s">
        <v>1092</v>
      </c>
      <c r="C169" s="1059" t="s">
        <v>1403</v>
      </c>
      <c r="D169" s="1061"/>
      <c r="E169" s="1059"/>
      <c r="K169" s="1521"/>
      <c r="L169" s="1521"/>
    </row>
    <row r="170" spans="1:14" ht="114.75" customHeight="1">
      <c r="A170" s="1059" t="s">
        <v>1031</v>
      </c>
      <c r="B170" s="1060" t="s">
        <v>1093</v>
      </c>
      <c r="C170" s="1059" t="s">
        <v>1094</v>
      </c>
      <c r="D170" s="1061"/>
      <c r="E170" s="1059"/>
    </row>
    <row r="171" spans="1:14" ht="62.25" customHeight="1">
      <c r="A171" s="1059" t="s">
        <v>1031</v>
      </c>
      <c r="B171" s="1060" t="s">
        <v>1095</v>
      </c>
      <c r="C171" s="1059" t="s">
        <v>1096</v>
      </c>
      <c r="D171" s="1061"/>
      <c r="E171" s="1059"/>
    </row>
    <row r="172" spans="1:14" ht="168" customHeight="1">
      <c r="A172" s="1059" t="s">
        <v>1031</v>
      </c>
      <c r="B172" s="1060" t="s">
        <v>1097</v>
      </c>
      <c r="C172" s="1059" t="s">
        <v>1407</v>
      </c>
      <c r="D172" s="1061"/>
      <c r="E172" s="1059"/>
      <c r="K172" s="1521"/>
      <c r="L172" s="1521"/>
    </row>
    <row r="173" spans="1:14" ht="81" customHeight="1">
      <c r="A173" s="1059" t="s">
        <v>1031</v>
      </c>
      <c r="B173" s="1060" t="s">
        <v>1098</v>
      </c>
      <c r="C173" s="1059" t="s">
        <v>1099</v>
      </c>
      <c r="D173" s="1061"/>
      <c r="E173" s="1059"/>
    </row>
    <row r="174" spans="1:14">
      <c r="A174" s="1059"/>
      <c r="B174" s="1060"/>
      <c r="C174" s="1077" t="s">
        <v>996</v>
      </c>
      <c r="D174" s="1061"/>
      <c r="E174" s="1059"/>
    </row>
    <row r="175" spans="1:14" ht="100.5" customHeight="1">
      <c r="A175" s="1059" t="s">
        <v>1031</v>
      </c>
      <c r="B175" s="1060" t="s">
        <v>1100</v>
      </c>
      <c r="C175" s="1059" t="s">
        <v>1101</v>
      </c>
      <c r="D175" s="1061"/>
      <c r="E175" s="1059"/>
    </row>
    <row r="176" spans="1:14" ht="150" customHeight="1">
      <c r="A176" s="1059" t="s">
        <v>1031</v>
      </c>
      <c r="B176" s="1060" t="s">
        <v>1102</v>
      </c>
      <c r="C176" s="1059" t="s">
        <v>1103</v>
      </c>
      <c r="D176" s="1061"/>
      <c r="E176" s="1059"/>
    </row>
    <row r="177" spans="1:5" ht="133.5" customHeight="1">
      <c r="A177" s="1059" t="s">
        <v>657</v>
      </c>
      <c r="B177" s="1060" t="s">
        <v>554</v>
      </c>
      <c r="C177" s="1059" t="s">
        <v>1104</v>
      </c>
      <c r="D177" s="1061"/>
      <c r="E177" s="1059"/>
    </row>
    <row r="178" spans="1:5" ht="64.5" customHeight="1">
      <c r="A178" s="1059" t="s">
        <v>1105</v>
      </c>
      <c r="B178" s="1060" t="s">
        <v>554</v>
      </c>
      <c r="C178" s="1059" t="s">
        <v>1106</v>
      </c>
      <c r="D178" s="1059"/>
      <c r="E178" s="1059"/>
    </row>
    <row r="179" spans="1:5" ht="43.5" customHeight="1">
      <c r="A179" s="1059" t="s">
        <v>1105</v>
      </c>
      <c r="B179" s="1060" t="s">
        <v>1107</v>
      </c>
      <c r="C179" s="1059" t="s">
        <v>1108</v>
      </c>
      <c r="D179" s="1061"/>
      <c r="E179" s="1059"/>
    </row>
    <row r="180" spans="1:5" ht="226.5" customHeight="1">
      <c r="A180" s="1059" t="s">
        <v>1105</v>
      </c>
      <c r="B180" s="1060" t="s">
        <v>1109</v>
      </c>
      <c r="C180" s="1059" t="s">
        <v>1311</v>
      </c>
      <c r="D180" s="1061"/>
      <c r="E180" s="1059"/>
    </row>
  </sheetData>
  <sheetProtection sheet="1" formatCells="0" formatColumns="0" formatRows="0" autoFilter="0"/>
  <autoFilter ref="D1:E180" xr:uid="{00000000-0009-0000-0000-000011000000}"/>
  <mergeCells count="8">
    <mergeCell ref="E11:E12"/>
    <mergeCell ref="E16:E17"/>
    <mergeCell ref="A11:A12"/>
    <mergeCell ref="B11:B12"/>
    <mergeCell ref="D11:D12"/>
    <mergeCell ref="A16:A17"/>
    <mergeCell ref="B16:B17"/>
    <mergeCell ref="D16:D17"/>
  </mergeCells>
  <hyperlinks>
    <hyperlink ref="C152" r:id="rId1" xr:uid="{340749AA-8288-48C6-AFD3-C9FDF31C496E}"/>
    <hyperlink ref="C160" r:id="rId2" display="mailto:SFBudgetTeam@azed.gov" xr:uid="{9EFA9A6B-49B9-4B31-8B79-AEB9E6917450}"/>
    <hyperlink ref="C162" r:id="rId3" display="mailto:SFBudgetTeam@azed.gov" xr:uid="{8AEE15D2-DCCD-4652-BCF0-7F7CC41FB6E7}"/>
    <hyperlink ref="C57" r:id="rId4" xr:uid="{26443FC0-6D30-46F6-95F7-EAF13DF352E9}"/>
    <hyperlink ref="C174" r:id="rId5" display="mailto:SFBudgetTeam@azed.gov" xr:uid="{1FA2D39E-44B3-43C4-BD32-40009DA6F043}"/>
    <hyperlink ref="C90" r:id="rId6" display="mailto:SFBudgetTeam@azed.gov" xr:uid="{E9BE82CC-4F53-463E-B746-5E0E586975FB}"/>
    <hyperlink ref="C88" r:id="rId7" display="mailto:SFBudgetTeam@azed.gov" xr:uid="{07E412EC-95A1-4C27-B7FB-48013EDCF323}"/>
    <hyperlink ref="C84" r:id="rId8" display="mailto:SFBudgetTeam@azed.gov" xr:uid="{EB058830-D12E-4BC6-98B2-304B61E41DC7}"/>
    <hyperlink ref="C82" r:id="rId9" display="mailto:SFBudgetTeam@azed.gov" xr:uid="{E741CB7F-6C49-44A1-A035-167AB8857D59}"/>
    <hyperlink ref="C78" r:id="rId10" display="mailto:SFPaymentTeam@azed.gov" xr:uid="{14A4D011-EC88-4580-8B17-82CA64C14F6F}"/>
    <hyperlink ref="C64" r:id="rId11" display="mailto:SFBudgetTeam@azed.gov" xr:uid="{DC3F5D39-E99A-4A33-A36B-71A258477523}"/>
    <hyperlink ref="C3" location="DataEntryGeneral" display="Data Entry instructions" xr:uid="{C0A00657-484D-4768-B774-B847B5A45DD9}"/>
    <hyperlink ref="C129" r:id="rId12" xr:uid="{4FFCF9C5-8578-40AE-B71F-8A4E4E9B7778}"/>
    <hyperlink ref="C69" r:id="rId13" xr:uid="{197395FD-57C3-44D5-9C5D-A19CF269821B}"/>
    <hyperlink ref="C32" r:id="rId14" xr:uid="{363BB29B-F058-4968-86BB-5C5F1CC42911}"/>
    <hyperlink ref="C145" r:id="rId15" display="mailto:SFAnalystTeam@azed.gov" xr:uid="{5E4E6156-58F5-49F7-B1F6-4BA7D29EC4B4}"/>
    <hyperlink ref="C148" r:id="rId16" xr:uid="{AD6E7B7F-0998-4CCE-B2A3-149F44415EF6}"/>
    <hyperlink ref="C67" r:id="rId17" xr:uid="{3925886A-302B-407C-A170-803CC682835B}"/>
    <hyperlink ref="C17" r:id="rId18" xr:uid="{2B4FD2C1-CA73-4E2C-AE9F-DEA8B1B7390F}"/>
    <hyperlink ref="C12" r:id="rId19" display="mailto:SFPaymentTeam@azed.gov" xr:uid="{A1478E36-4FE0-429E-901C-6322C755F2AD}"/>
  </hyperlinks>
  <printOptions horizontalCentered="1"/>
  <pageMargins left="0.25" right="0.25" top="0.25" bottom="0.25" header="0" footer="0.15"/>
  <pageSetup paperSize="5" scale="10" orientation="landscape" r:id="rId20"/>
  <headerFooter alignWithMargins="0">
    <oddFooter>&amp;L&amp;"Times New Roman,Bold"&amp;9Rev. 5/25&amp;K000000 Arizona Department of Education and Auditor General&amp;C&amp;"Times New Roman,Regular"&amp;9&amp;D  &amp;T</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2.xml><?xml version="1.0" encoding="utf-8"?>
<ds:datastoreItem xmlns:ds="http://schemas.openxmlformats.org/officeDocument/2006/customXml" ds:itemID="{E890438A-9AF8-4491-A541-6EF05EA2A8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B4F38B-0799-4886-B61C-8DBB46B47F73}">
  <ds:schemaRefs>
    <ds:schemaRef ds:uri="http://schemas.microsoft.com/office/2006/metadata/properties"/>
    <ds:schemaRef ds:uri="ffcdc2e4-c8f2-4bf7-ab1d-ea300bde3fd8"/>
    <ds:schemaRef ds:uri="http://purl.org/dc/elements/1.1/"/>
    <ds:schemaRef ds:uri="http://schemas.microsoft.com/office/2006/documentManagement/types"/>
    <ds:schemaRef ds:uri="30e8ffde-18ad-4221-a68d-976eb256fe4f"/>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18</vt:i4>
      </vt:variant>
      <vt:variant>
        <vt:lpstr>Named Ranges</vt:lpstr>
      </vt:variant>
      <vt:variant>
        <vt:i4>1045</vt:i4>
      </vt:variant>
    </vt:vector>
  </HeadingPairs>
  <TitlesOfParts>
    <vt:vector size="1063" baseType="lpstr">
      <vt:lpstr>Cover</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CSFAllocation</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DataEntryOtherInfol1</vt:lpstr>
      <vt:lpstr>DataEntryOtherInfol12</vt:lpstr>
      <vt:lpstr>DataEntryOtherInfol13</vt:lpstr>
      <vt:lpstr>DataEntryOtherInfol14e</vt:lpstr>
      <vt:lpstr>DataEntryOtherInfol16</vt:lpstr>
      <vt:lpstr>DataEntryOtherInfol18</vt:lpstr>
      <vt:lpstr>DataEntryOtherInfol19</vt:lpstr>
      <vt:lpstr>DataEntryOtherInfol1Continued</vt:lpstr>
      <vt:lpstr>DataEntryOtherInfol2</vt:lpstr>
      <vt:lpstr>DataEntryOtherInfol21</vt:lpstr>
      <vt:lpstr>DataEntryOtherInfol22</vt:lpstr>
      <vt:lpstr>DataEntryOtherInfol3</vt:lpstr>
      <vt:lpstr>DataEntryOtherInfol4</vt:lpstr>
      <vt:lpstr>DataEntryOtherInfol5</vt:lpstr>
      <vt:lpstr>DataEntryOtherInfol6</vt:lpstr>
      <vt:lpstr>DataEntryOtherInfol7</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DistrictName</vt:lpstr>
      <vt:lpstr>DistrictSystems</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F001Carryforward</vt:lpstr>
      <vt:lpstr>F001P100F1000</vt:lpstr>
      <vt:lpstr>F001P100F1000O6100</vt:lpstr>
      <vt:lpstr>F001P100F1000O6200</vt:lpstr>
      <vt:lpstr>F001P100F1000O630064006500</vt:lpstr>
      <vt:lpstr>F001P100F1000O6600</vt:lpstr>
      <vt:lpstr>F001P100F1000O6800</vt:lpstr>
      <vt:lpstr>F001P100F1000OthBudgFY</vt:lpstr>
      <vt:lpstr>F001P100F1000Personnel</vt:lpstr>
      <vt:lpstr>F001P100F1000SBBudgFY</vt:lpstr>
      <vt:lpstr>F001P100F1000TotBudgFY</vt:lpstr>
      <vt:lpstr>F001P100F2100</vt:lpstr>
      <vt:lpstr>F001P100F2100O6100</vt:lpstr>
      <vt:lpstr>F001P100F2100O6200</vt:lpstr>
      <vt:lpstr>F001P100F2100O630064006500</vt:lpstr>
      <vt:lpstr>F001P100F2100O6600</vt:lpstr>
      <vt:lpstr>F001P100F2100O6800</vt:lpstr>
      <vt:lpstr>F001P100F2100OthBudgFY</vt:lpstr>
      <vt:lpstr>F001P100F2100Personnel</vt:lpstr>
      <vt:lpstr>F001P100F2100SBBudgFY</vt:lpstr>
      <vt:lpstr>F001P100F2100TotBudgFY</vt:lpstr>
      <vt:lpstr>F001P100F2200</vt:lpstr>
      <vt:lpstr>F001P100F2200O6100</vt:lpstr>
      <vt:lpstr>F001P100F2200O6200</vt:lpstr>
      <vt:lpstr>F001P100F2200O630064006500</vt:lpstr>
      <vt:lpstr>F001P100F2200O6600</vt:lpstr>
      <vt:lpstr>F001P100F2200O6800</vt:lpstr>
      <vt:lpstr>F001P100F2200OthBudgFY</vt:lpstr>
      <vt:lpstr>F001P100F2200Personnel</vt:lpstr>
      <vt:lpstr>F001P100F2200SBBudgFY</vt:lpstr>
      <vt:lpstr>F001P100F2200TotBudgFY</vt:lpstr>
      <vt:lpstr>F001P100F2300</vt:lpstr>
      <vt:lpstr>F001P100F230024002500OthBudgFY</vt:lpstr>
      <vt:lpstr>F001P100F230024002500SBBudgFY</vt:lpstr>
      <vt:lpstr>F001P100F230024002500TotBudgFY</vt:lpstr>
      <vt:lpstr>F001P100F2300O6100</vt:lpstr>
      <vt:lpstr>F001P100F2300O6200</vt:lpstr>
      <vt:lpstr>F001P100F2300O630064006500</vt:lpstr>
      <vt:lpstr>F001P100F2300O6600</vt:lpstr>
      <vt:lpstr>F001P100F2300O6800</vt:lpstr>
      <vt:lpstr>F001P100F2300Personnel</vt:lpstr>
      <vt:lpstr>F001P100F2400</vt:lpstr>
      <vt:lpstr>F001P100F2400O6100</vt:lpstr>
      <vt:lpstr>F001P100F2400O6200</vt:lpstr>
      <vt:lpstr>F001P100F2400O630064006500</vt:lpstr>
      <vt:lpstr>F001P100F2400O6600</vt:lpstr>
      <vt:lpstr>F001P100F2400O6800</vt:lpstr>
      <vt:lpstr>F001P100F2400Personnel</vt:lpstr>
      <vt:lpstr>F001P100F2500</vt:lpstr>
      <vt:lpstr>F001P100F2500O6100</vt:lpstr>
      <vt:lpstr>F001P100F2500O6200</vt:lpstr>
      <vt:lpstr>F001P100F2500O630064006500</vt:lpstr>
      <vt:lpstr>F001P100F2500O6600</vt:lpstr>
      <vt:lpstr>F001P100F2500O6800</vt:lpstr>
      <vt:lpstr>F001P100F2500Personnel</vt:lpstr>
      <vt:lpstr>F001P100F2600</vt:lpstr>
      <vt:lpstr>F001P100F2600O6100</vt:lpstr>
      <vt:lpstr>F001P100F2600O6200</vt:lpstr>
      <vt:lpstr>F001P100F2600O630064006500</vt:lpstr>
      <vt:lpstr>F001P100F2600O6600</vt:lpstr>
      <vt:lpstr>F001P100F2600O6800</vt:lpstr>
      <vt:lpstr>F001P100F2600OthBudgFY</vt:lpstr>
      <vt:lpstr>F001P100F2600Personnel</vt:lpstr>
      <vt:lpstr>F001P100F2600SBBudgFY</vt:lpstr>
      <vt:lpstr>F001P100F2600TotBudgFY</vt:lpstr>
      <vt:lpstr>F001P100F2900</vt:lpstr>
      <vt:lpstr>F001P100F2900O6100</vt:lpstr>
      <vt:lpstr>F001P100F2900O6200</vt:lpstr>
      <vt:lpstr>F001P100F2900O630064006500</vt:lpstr>
      <vt:lpstr>F001P100F2900O6600</vt:lpstr>
      <vt:lpstr>F001P100F2900O6800</vt:lpstr>
      <vt:lpstr>F001P100F2900OthBudgFY</vt:lpstr>
      <vt:lpstr>F001P100F2900Personnel</vt:lpstr>
      <vt:lpstr>F001P100F2900SBBudgFY</vt:lpstr>
      <vt:lpstr>F001P100F2900TotBudgFY</vt:lpstr>
      <vt:lpstr>F001P100F3000</vt:lpstr>
      <vt:lpstr>F001P100F3000O6100</vt:lpstr>
      <vt:lpstr>F001P100F3000O6200</vt:lpstr>
      <vt:lpstr>F001P100F3000O630064006500</vt:lpstr>
      <vt:lpstr>F001P100F3000O6600</vt:lpstr>
      <vt:lpstr>F001P100F3000O6800</vt:lpstr>
      <vt:lpstr>F001P100F3000OthBudgFY</vt:lpstr>
      <vt:lpstr>F001P100F3000Personnel</vt:lpstr>
      <vt:lpstr>F001P100F3000SBBudgFY</vt:lpstr>
      <vt:lpstr>F001P100F3000TotBudgFY</vt:lpstr>
      <vt:lpstr>F001P200F1000</vt:lpstr>
      <vt:lpstr>F001P200F1000O6100</vt:lpstr>
      <vt:lpstr>F001P200F1000O6200</vt:lpstr>
      <vt:lpstr>F001P200F1000O630064006500</vt:lpstr>
      <vt:lpstr>F001P200F1000O6600</vt:lpstr>
      <vt:lpstr>F001P200F1000O6800</vt:lpstr>
      <vt:lpstr>F001P200F1000OthBudgFY</vt:lpstr>
      <vt:lpstr>F001P200F1000Personnel</vt:lpstr>
      <vt:lpstr>F001P200F1000SBBudgFY</vt:lpstr>
      <vt:lpstr>F001P200F1000TotBudgFY</vt:lpstr>
      <vt:lpstr>F001P200F2100</vt:lpstr>
      <vt:lpstr>F001P200F2100O6100</vt:lpstr>
      <vt:lpstr>F001P200F2100O6200</vt:lpstr>
      <vt:lpstr>F001P200F2100O630064006500</vt:lpstr>
      <vt:lpstr>F001P200F2100O6600</vt:lpstr>
      <vt:lpstr>F001P200F2100O6800</vt:lpstr>
      <vt:lpstr>F001P200F2100OthBudgFY</vt:lpstr>
      <vt:lpstr>F001P200F2100Personnel</vt:lpstr>
      <vt:lpstr>F001P200F2100SBBudgFY</vt:lpstr>
      <vt:lpstr>F001P200F2200</vt:lpstr>
      <vt:lpstr>F001P200F2200O6100</vt:lpstr>
      <vt:lpstr>F001P200F2200O6200</vt:lpstr>
      <vt:lpstr>F001P200F2200O630064006500</vt:lpstr>
      <vt:lpstr>F001P200F2200O6600</vt:lpstr>
      <vt:lpstr>F001P200F2200O6800</vt:lpstr>
      <vt:lpstr>F001P200F2200OthBudgFY</vt:lpstr>
      <vt:lpstr>F001P200F2200Personnel</vt:lpstr>
      <vt:lpstr>F001P200F2200SBBudgFY</vt:lpstr>
      <vt:lpstr>F001P200F2200TotBudgFy</vt:lpstr>
      <vt:lpstr>F001P200F2300</vt:lpstr>
      <vt:lpstr>F001P200F230024002500OthBudgFY</vt:lpstr>
      <vt:lpstr>F001P200F230024002500SBBudgFY</vt:lpstr>
      <vt:lpstr>F001P200F230024002500TotBudgFY</vt:lpstr>
      <vt:lpstr>F001P200F2300O6100</vt:lpstr>
      <vt:lpstr>F001P200F2300O6200</vt:lpstr>
      <vt:lpstr>F001P200F2300O630064006500</vt:lpstr>
      <vt:lpstr>F001P200F2300O6600</vt:lpstr>
      <vt:lpstr>F001P200F2300O6800</vt:lpstr>
      <vt:lpstr>F001P200F2300Personnel</vt:lpstr>
      <vt:lpstr>F001P200F2400</vt:lpstr>
      <vt:lpstr>F001P200F2400O6100</vt:lpstr>
      <vt:lpstr>F001P200F2400O6200</vt:lpstr>
      <vt:lpstr>F001P200F2400O630064006500</vt:lpstr>
      <vt:lpstr>F001P200F2400O6600</vt:lpstr>
      <vt:lpstr>F001P200F2400O6800</vt:lpstr>
      <vt:lpstr>F001P200F2400Personnel</vt:lpstr>
      <vt:lpstr>F001P200F2500</vt:lpstr>
      <vt:lpstr>F001P200F2500O6100</vt:lpstr>
      <vt:lpstr>F001P200F2500O6200</vt:lpstr>
      <vt:lpstr>F001P200F2500O630064006500</vt:lpstr>
      <vt:lpstr>F001P200F2500O6600</vt:lpstr>
      <vt:lpstr>F001P200F2500O6800</vt:lpstr>
      <vt:lpstr>F001P200F2500Personnel</vt:lpstr>
      <vt:lpstr>F001P200F2600</vt:lpstr>
      <vt:lpstr>F001P200F2600O6100</vt:lpstr>
      <vt:lpstr>F001P200F2600O6200</vt:lpstr>
      <vt:lpstr>F001P200F2600O630064006500</vt:lpstr>
      <vt:lpstr>F001P200F2600O6600</vt:lpstr>
      <vt:lpstr>F001P200F2600O6800</vt:lpstr>
      <vt:lpstr>F001P200F2600OthBudgFY</vt:lpstr>
      <vt:lpstr>F001P200F2600Personnel</vt:lpstr>
      <vt:lpstr>F001P200F2600SBBudgFY</vt:lpstr>
      <vt:lpstr>F001P200F2600TotBudgFY</vt:lpstr>
      <vt:lpstr>F001P200F2900</vt:lpstr>
      <vt:lpstr>F001P200F2900O6100</vt:lpstr>
      <vt:lpstr>F001P200F2900O6200</vt:lpstr>
      <vt:lpstr>F001P200F2900O630064006500</vt:lpstr>
      <vt:lpstr>F001P200F2900O6600</vt:lpstr>
      <vt:lpstr>F001P200F2900O6800</vt:lpstr>
      <vt:lpstr>F001P200F2900OthBudgFY</vt:lpstr>
      <vt:lpstr>F001P200F2900Personnel</vt:lpstr>
      <vt:lpstr>F001P200F2900SBBudgFY</vt:lpstr>
      <vt:lpstr>F001P200F2900TotBudgFY</vt:lpstr>
      <vt:lpstr>F001P200F3000</vt:lpstr>
      <vt:lpstr>F001P200F3000O6100</vt:lpstr>
      <vt:lpstr>F001P200F3000O6200</vt:lpstr>
      <vt:lpstr>F001P200F3000O630064006500</vt:lpstr>
      <vt:lpstr>F001P200F3000O6600</vt:lpstr>
      <vt:lpstr>F001P200F3000O6800</vt:lpstr>
      <vt:lpstr>F001P200F3000OthBudgFY</vt:lpstr>
      <vt:lpstr>F001P200F3000Personnel</vt:lpstr>
      <vt:lpstr>F001P200F3000SBBudgFY</vt:lpstr>
      <vt:lpstr>F001P200F3000TotBudgFY</vt:lpstr>
      <vt:lpstr>F001P200F510TotBudgFY</vt:lpstr>
      <vt:lpstr>F001P200PYDisabilityTot</vt:lpstr>
      <vt:lpstr>F001P200Subtotal</vt:lpstr>
      <vt:lpstr>F001P200TotBudgFY</vt:lpstr>
      <vt:lpstr>F001P400</vt:lpstr>
      <vt:lpstr>F001P400O6100</vt:lpstr>
      <vt:lpstr>F001P400O6200</vt:lpstr>
      <vt:lpstr>F001P400O630064006500</vt:lpstr>
      <vt:lpstr>F001P400O6600</vt:lpstr>
      <vt:lpstr>F001P400O6800</vt:lpstr>
      <vt:lpstr>F001P400OthBudgFy</vt:lpstr>
      <vt:lpstr>F001P400Personnel</vt:lpstr>
      <vt:lpstr>F001P400SBBudgFY</vt:lpstr>
      <vt:lpstr>F001P400TotBudgFY</vt:lpstr>
      <vt:lpstr>F001P510</vt:lpstr>
      <vt:lpstr>F001P510O6100</vt:lpstr>
      <vt:lpstr>F001P510O6200</vt:lpstr>
      <vt:lpstr>F001P510O630064006500</vt:lpstr>
      <vt:lpstr>F001P510O6600</vt:lpstr>
      <vt:lpstr>F001P510O6800</vt:lpstr>
      <vt:lpstr>F001P510OthBudgFY</vt:lpstr>
      <vt:lpstr>F001P510Personnel</vt:lpstr>
      <vt:lpstr>F001P510SBBudgFY</vt:lpstr>
      <vt:lpstr>F001P530</vt:lpstr>
      <vt:lpstr>F001P530O6100</vt:lpstr>
      <vt:lpstr>F001P530O6200</vt:lpstr>
      <vt:lpstr>F001P530O630064006500</vt:lpstr>
      <vt:lpstr>F001P530O6600</vt:lpstr>
      <vt:lpstr>F001P530O6800</vt:lpstr>
      <vt:lpstr>F001P530OthBudgFY</vt:lpstr>
      <vt:lpstr>F001P530Personnel</vt:lpstr>
      <vt:lpstr>F001P530SBBudgFY</vt:lpstr>
      <vt:lpstr>F001P530TotBudgFY</vt:lpstr>
      <vt:lpstr>F001P540</vt:lpstr>
      <vt:lpstr>F001P540O6100</vt:lpstr>
      <vt:lpstr>F001P540O6200</vt:lpstr>
      <vt:lpstr>F001P540O630064006500</vt:lpstr>
      <vt:lpstr>F001P540O6600</vt:lpstr>
      <vt:lpstr>F001P540O6800</vt:lpstr>
      <vt:lpstr>F001P540OthBudgFY</vt:lpstr>
      <vt:lpstr>F001P540Personnel</vt:lpstr>
      <vt:lpstr>F001P540SBBudgFY</vt:lpstr>
      <vt:lpstr>F001P540TotBudgFY</vt:lpstr>
      <vt:lpstr>F001P550</vt:lpstr>
      <vt:lpstr>F001P550O6100</vt:lpstr>
      <vt:lpstr>F001P550O6200</vt:lpstr>
      <vt:lpstr>F001P550O630064006500</vt:lpstr>
      <vt:lpstr>F001P550O6600</vt:lpstr>
      <vt:lpstr>F001P550O6800</vt:lpstr>
      <vt:lpstr>F001P550OthBudgFY</vt:lpstr>
      <vt:lpstr>F001P550Personnel</vt:lpstr>
      <vt:lpstr>F001P550SBBudgFY</vt:lpstr>
      <vt:lpstr>F001P550TotBudgFY</vt:lpstr>
      <vt:lpstr>F001P610</vt:lpstr>
      <vt:lpstr>F001P610O6100</vt:lpstr>
      <vt:lpstr>F001P610O6200</vt:lpstr>
      <vt:lpstr>F001P610O630064006500</vt:lpstr>
      <vt:lpstr>F001P610O6600</vt:lpstr>
      <vt:lpstr>F001P610O6800</vt:lpstr>
      <vt:lpstr>F001P610OthBudgFY</vt:lpstr>
      <vt:lpstr>F001P610Personnel</vt:lpstr>
      <vt:lpstr>F001P610SBBudgFY</vt:lpstr>
      <vt:lpstr>F001P610TotBudgFY</vt:lpstr>
      <vt:lpstr>F001P620</vt:lpstr>
      <vt:lpstr>F001P620O6100</vt:lpstr>
      <vt:lpstr>F001P620O6200</vt:lpstr>
      <vt:lpstr>F001P620O630064006500</vt:lpstr>
      <vt:lpstr>F001P620O6600</vt:lpstr>
      <vt:lpstr>F001P620O6800</vt:lpstr>
      <vt:lpstr>F001P620OthBudgFY</vt:lpstr>
      <vt:lpstr>F001P620Personnel</vt:lpstr>
      <vt:lpstr>F001P620SBBudgFY</vt:lpstr>
      <vt:lpstr>F001P620TotBudgFY</vt:lpstr>
      <vt:lpstr>F001P630</vt:lpstr>
      <vt:lpstr>F001P630700800900OthBudgFY</vt:lpstr>
      <vt:lpstr>F001P630700800900SBBudgFY</vt:lpstr>
      <vt:lpstr>F001P630700800900TotBudgFY</vt:lpstr>
      <vt:lpstr>F001P630O6100</vt:lpstr>
      <vt:lpstr>F001P630O6200</vt:lpstr>
      <vt:lpstr>F001P630O630064006500</vt:lpstr>
      <vt:lpstr>F001P630O6600</vt:lpstr>
      <vt:lpstr>F001P630O6800</vt:lpstr>
      <vt:lpstr>F001P630Personnel</vt:lpstr>
      <vt:lpstr>F001P700800900</vt:lpstr>
      <vt:lpstr>F001P700800900O6100</vt:lpstr>
      <vt:lpstr>F001P700800900O6200</vt:lpstr>
      <vt:lpstr>F001P700800900O630064006500</vt:lpstr>
      <vt:lpstr>F001P700800900O6600</vt:lpstr>
      <vt:lpstr>F001P700800900O6800</vt:lpstr>
      <vt:lpstr>F001P700800900Personnel</vt:lpstr>
      <vt:lpstr>F001TotalExp</vt:lpstr>
      <vt:lpstr>F001TotalExpSumm</vt:lpstr>
      <vt:lpstr>F001TotExpCurrFY</vt:lpstr>
      <vt:lpstr>F010Carryforward</vt:lpstr>
      <vt:lpstr>F010F1000</vt:lpstr>
      <vt:lpstr>F010F2100</vt:lpstr>
      <vt:lpstr>F010F2200</vt:lpstr>
      <vt:lpstr>F010F2310</vt:lpstr>
      <vt:lpstr>F010F2510</vt:lpstr>
      <vt:lpstr>F010F3300</vt:lpstr>
      <vt:lpstr>F010F4000</vt:lpstr>
      <vt:lpstr>F010F5000</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F071F2100</vt:lpstr>
      <vt:lpstr>F071F2100Personnel</vt:lpstr>
      <vt:lpstr>F071F2200</vt:lpstr>
      <vt:lpstr>F071F2200Personnel</vt:lpstr>
      <vt:lpstr>F071F2300</vt:lpstr>
      <vt:lpstr>F071F2300Personnel</vt:lpstr>
      <vt:lpstr>F071F2400</vt:lpstr>
      <vt:lpstr>F071F2400Personnel</vt:lpstr>
      <vt:lpstr>F071F2500</vt:lpstr>
      <vt:lpstr>F071F2500Personnel</vt:lpstr>
      <vt:lpstr>F071F2600</vt:lpstr>
      <vt:lpstr>F071F2600Personnel</vt:lpstr>
      <vt:lpstr>F071F2700</vt:lpstr>
      <vt:lpstr>F071F2700Personnel</vt:lpstr>
      <vt:lpstr>F071F2900</vt:lpstr>
      <vt:lpstr>F071F2900Personnel</vt:lpstr>
      <vt:lpstr>F072BudgFY</vt:lpstr>
      <vt:lpstr>F072CurrFY</vt:lpstr>
      <vt:lpstr>F072F1000</vt:lpstr>
      <vt:lpstr>F072F1000Personnel</vt:lpstr>
      <vt:lpstr>F072F2100</vt:lpstr>
      <vt:lpstr>F072F2100Personnel</vt:lpstr>
      <vt:lpstr>F072F2200</vt:lpstr>
      <vt:lpstr>F072F2200Personnel</vt:lpstr>
      <vt:lpstr>F072F2300</vt:lpstr>
      <vt:lpstr>F072F2300Personnel</vt:lpstr>
      <vt:lpstr>F072F2400</vt:lpstr>
      <vt:lpstr>F072F2400Personnel</vt:lpstr>
      <vt:lpstr>F072F2500</vt:lpstr>
      <vt:lpstr>F072F2500Personnel</vt:lpstr>
      <vt:lpstr>F072F2600</vt:lpstr>
      <vt:lpstr>F072F2600Personnel</vt:lpstr>
      <vt:lpstr>F072F2700</vt:lpstr>
      <vt:lpstr>F072F2700Personnel</vt:lpstr>
      <vt:lpstr>F072F2900</vt:lpstr>
      <vt:lpstr>F072F2900Personnel</vt:lpstr>
      <vt:lpstr>F100130BudgFY</vt:lpstr>
      <vt:lpstr>F100130Personnel</vt:lpstr>
      <vt:lpstr>F100P200F2100TotBudgFY</vt:lpstr>
      <vt:lpstr>F140150BudgFY</vt:lpstr>
      <vt:lpstr>F140150Personnel</vt:lpstr>
      <vt:lpstr>F160BudgFY</vt:lpstr>
      <vt:lpstr>F160Personnel</vt:lpstr>
      <vt:lpstr>F170180BudgFY</vt:lpstr>
      <vt:lpstr>F170180Personnel</vt:lpstr>
      <vt:lpstr>F190BudgFY</vt:lpstr>
      <vt:lpstr>F190Personnel</vt:lpstr>
      <vt:lpstr>F200BudgFY</vt:lpstr>
      <vt:lpstr>F200Personnel</vt:lpstr>
      <vt:lpstr>F210BudgFY</vt:lpstr>
      <vt:lpstr>F210Personnel</vt:lpstr>
      <vt:lpstr>F220BudgFY</vt:lpstr>
      <vt:lpstr>F220Personnel</vt:lpstr>
      <vt:lpstr>F230BudgFY</vt:lpstr>
      <vt:lpstr>F230Personnel</vt:lpstr>
      <vt:lpstr>F240BudgFY</vt:lpstr>
      <vt:lpstr>F240Personnel</vt:lpstr>
      <vt:lpstr>F250BudgFY</vt:lpstr>
      <vt:lpstr>F250Personnel</vt:lpstr>
      <vt:lpstr>F260270BudgFY</vt:lpstr>
      <vt:lpstr>F260270Personnel</vt:lpstr>
      <vt:lpstr>F280BudgFY</vt:lpstr>
      <vt:lpstr>F280Personnel</vt:lpstr>
      <vt:lpstr>F290BudgFY</vt:lpstr>
      <vt:lpstr>F290Personnel</vt:lpstr>
      <vt:lpstr>F300399OtherBudgFY</vt:lpstr>
      <vt:lpstr>F300399OtherPersonnel</vt:lpstr>
      <vt:lpstr>F349BudFY</vt:lpstr>
      <vt:lpstr>F349Personnel</vt:lpstr>
      <vt:lpstr>F353BudgFY</vt:lpstr>
      <vt:lpstr>F353Personnel</vt:lpstr>
      <vt:lpstr>F374BudgFY</vt:lpstr>
      <vt:lpstr>F374Personnel</vt:lpstr>
      <vt:lpstr>F378BudgFY</vt:lpstr>
      <vt:lpstr>F378Personnel</vt:lpstr>
      <vt:lpstr>F400BudgFY</vt:lpstr>
      <vt:lpstr>F400Personnel</vt:lpstr>
      <vt:lpstr>F410BudgFY</vt:lpstr>
      <vt:lpstr>F410Personnel</vt:lpstr>
      <vt:lpstr>F420BudgFY</vt:lpstr>
      <vt:lpstr>F420Personnel</vt:lpstr>
      <vt:lpstr>F425BudgFY</vt:lpstr>
      <vt:lpstr>F425Personnel</vt:lpstr>
      <vt:lpstr>F430BudgFY</vt:lpstr>
      <vt:lpstr>F430Personnel</vt:lpstr>
      <vt:lpstr>F435BudgFY</vt:lpstr>
      <vt:lpstr>F435Personnel</vt:lpstr>
      <vt:lpstr>F450BudgFY</vt:lpstr>
      <vt:lpstr>F450Personnel</vt:lpstr>
      <vt:lpstr>F456BudgFY</vt:lpstr>
      <vt:lpstr>F456Personnel</vt:lpstr>
      <vt:lpstr>F460BudgFY</vt:lpstr>
      <vt:lpstr>F460Personnel</vt:lpstr>
      <vt:lpstr>F465499BudgFY</vt:lpstr>
      <vt:lpstr>F465499Personnel</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F610Carryforward</vt:lpstr>
      <vt:lpstr>F610F1000</vt:lpstr>
      <vt:lpstr>F610F21002200</vt:lpstr>
      <vt:lpstr>F610F2300240025002900</vt:lpstr>
      <vt:lpstr>F610F2600</vt:lpstr>
      <vt:lpstr>F610F2700</vt:lpstr>
      <vt:lpstr>F610F3000</vt:lpstr>
      <vt:lpstr>F610F4000</vt:lpstr>
      <vt:lpstr>F610F5000</vt:lpstr>
      <vt:lpstr>F610O6731</vt:lpstr>
      <vt:lpstr>F610O6734</vt:lpstr>
      <vt:lpstr>F610O6737</vt:lpstr>
      <vt:lpstr>F610Override</vt:lpstr>
      <vt:lpstr>F610TotalBudgFY</vt:lpstr>
      <vt:lpstr>F610TotalCurrFY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FundBalC</vt:lpstr>
      <vt:lpstr>FY2018Salary</vt:lpstr>
      <vt:lpstr>GBLBudgFY</vt:lpstr>
      <vt:lpstr>GBLBudgFYSumm</vt:lpstr>
      <vt:lpstr>GPLETV</vt:lpstr>
      <vt:lpstr>HSCountDORtoDOA</vt:lpstr>
      <vt:lpstr>IEPTransportCosts</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Page1Line30</vt:lpstr>
      <vt:lpstr>Page1Line32</vt:lpstr>
      <vt:lpstr>Page2</vt:lpstr>
      <vt:lpstr>Page2l45</vt:lpstr>
      <vt:lpstr>Page2n1</vt:lpstr>
      <vt:lpstr>Page2n4</vt:lpstr>
      <vt:lpstr>Page3</vt:lpstr>
      <vt:lpstr>Page3Gen</vt:lpstr>
      <vt:lpstr>Page3l9</vt:lpstr>
      <vt:lpstr>Page3Line10</vt:lpstr>
      <vt:lpstr>Page3Line12</vt:lpstr>
      <vt:lpstr>Page3Line14</vt:lpstr>
      <vt:lpstr>Page3Line15</vt:lpstr>
      <vt:lpstr>Page3Line16</vt:lpstr>
      <vt:lpstr>Page3Line4</vt:lpstr>
      <vt:lpstr>Page3Line9</vt:lpstr>
      <vt:lpstr>Page4f5</vt:lpstr>
      <vt:lpstr>Page4L11</vt:lpstr>
      <vt:lpstr>Page4L12</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Page6l31</vt:lpstr>
      <vt:lpstr>Page6l33</vt:lpstr>
      <vt:lpstr>Page6l34</vt:lpstr>
      <vt:lpstr>Page6l4</vt:lpstr>
      <vt:lpstr>'Page 8'!Page7</vt:lpstr>
      <vt:lpstr>Page7Gen</vt:lpstr>
      <vt:lpstr>Page7l1</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PerfPayCrryfwd</vt:lpstr>
      <vt:lpstr>PlannedCarryforward</vt:lpstr>
      <vt:lpstr>PreAdjDAA</vt:lpstr>
      <vt:lpstr>PremFYTRCL</vt:lpstr>
      <vt:lpstr>PrimTaxRateCurrFY</vt:lpstr>
      <vt:lpstr>PrimTaxRatePYSumm</vt:lpstr>
      <vt:lpstr>'BSA55'!Print_Area</vt:lpstr>
      <vt:lpstr>Calculations!Print_Area</vt:lpstr>
      <vt:lpstr>'Data Entry'!Print_Area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TruthinTaxl1</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UCOFundType</vt:lpstr>
      <vt:lpstr>UnweightedStudCnt912CY</vt:lpstr>
      <vt:lpstr>UnweightedStudCnt912PY</vt:lpstr>
      <vt:lpstr>UnweightedStudCntK8CY</vt:lpstr>
      <vt:lpstr>UnweightedStudCntK8PY</vt:lpstr>
      <vt:lpstr>UnweightedStudCntPSDCY</vt:lpstr>
      <vt:lpstr>UnweightedStudCntPSDPY</vt:lpstr>
      <vt:lpstr>Version</vt:lpstr>
      <vt:lpstr>WebsiteLink</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Linda Cordova</cp:lastModifiedBy>
  <cp:lastPrinted>2025-06-03T13:17:38Z</cp:lastPrinted>
  <dcterms:created xsi:type="dcterms:W3CDTF">1998-03-24T00:01:19Z</dcterms:created>
  <dcterms:modified xsi:type="dcterms:W3CDTF">2025-06-03T14:49:39Z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2026</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26BBFC70-330E-437F-90B6-F1424A943870</vt:lpwstr>
  </property>
  <property fmtid="{D5CDD505-2E9C-101B-9397-08002B2CF9AE}" pid="7" name="ContentTypeId">
    <vt:lpwstr>0x010100740A7E3807644E4DA70E0D6B717B683A</vt:lpwstr>
  </property>
  <property fmtid="{D5CDD505-2E9C-101B-9397-08002B2CF9AE}" pid="8" name="MediaServiceImageTags">
    <vt:lpwstr/>
  </property>
</Properties>
</file>