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Charter Schools\!!FEFP\FY 25 - FEFP Funding\!Payments 2024-25\2025-Final PMT\"/>
    </mc:Choice>
  </mc:AlternateContent>
  <xr:revisionPtr revIDLastSave="0" documentId="13_ncr:1_{BCA8DCDF-9F27-4F95-AE7E-393A14CFF478}" xr6:coauthVersionLast="47" xr6:coauthVersionMax="47" xr10:uidLastSave="{00000000-0000-0000-0000-000000000000}"/>
  <bookViews>
    <workbookView xWindow="28680" yWindow="-120" windowWidth="29040" windowHeight="15720" firstSheet="1" activeTab="1" xr2:uid="{4FB4AE94-5B3C-46F3-A876-0EA6EBD23F70}"/>
  </bookViews>
  <sheets>
    <sheet name="Surveys" sheetId="74" state="hidden" r:id="rId1"/>
    <sheet name="Net Payment" sheetId="64" r:id="rId2"/>
    <sheet name="Annual Rev &amp; Fees" sheetId="72" r:id="rId3"/>
    <sheet name="Charter Schools" sheetId="65" r:id="rId4"/>
    <sheet name="Consolidated" sheetId="60" r:id="rId5"/>
    <sheet name="Cumulative Payments" sheetId="79" r:id="rId6"/>
    <sheet name="0040" sheetId="81" r:id="rId7"/>
    <sheet name="0100" sheetId="80" r:id="rId8"/>
    <sheet name="1461" sheetId="7" r:id="rId9"/>
    <sheet name="1571" sheetId="16" r:id="rId10"/>
    <sheet name="2521" sheetId="17" r:id="rId11"/>
    <sheet name="2531" sheetId="18" r:id="rId12"/>
    <sheet name="2791" sheetId="20" r:id="rId13"/>
    <sheet name="2801" sheetId="21" r:id="rId14"/>
    <sheet name="2911" sheetId="25" r:id="rId15"/>
    <sheet name="2941" sheetId="24" r:id="rId16"/>
    <sheet name="3083" sheetId="22" r:id="rId17"/>
    <sheet name="3345" sheetId="26" r:id="rId18"/>
    <sheet name="3381" sheetId="27" r:id="rId19"/>
    <sheet name="3382" sheetId="28" r:id="rId20"/>
    <sheet name="3391" sheetId="31" r:id="rId21"/>
    <sheet name="3394" sheetId="32" r:id="rId22"/>
    <sheet name="3395" sheetId="33" r:id="rId23"/>
    <sheet name="3396" sheetId="34" r:id="rId24"/>
    <sheet name="3398" sheetId="35" r:id="rId25"/>
    <sheet name="3400" sheetId="23" r:id="rId26"/>
    <sheet name="3401" sheetId="36" r:id="rId27"/>
    <sheet name="3413" sheetId="37" r:id="rId28"/>
    <sheet name="3421" sheetId="38" r:id="rId29"/>
    <sheet name="3431" sheetId="39" r:id="rId30"/>
    <sheet name="3441" sheetId="40" r:id="rId31"/>
    <sheet name="3924" sheetId="42" r:id="rId32"/>
    <sheet name="3941" sheetId="43" r:id="rId33"/>
    <sheet name="3961" sheetId="44" r:id="rId34"/>
    <sheet name="3971" sheetId="45" r:id="rId35"/>
    <sheet name="4001" sheetId="47" r:id="rId36"/>
    <sheet name="4002" sheetId="48" r:id="rId37"/>
    <sheet name="4012" sheetId="50" r:id="rId38"/>
    <sheet name="4013" sheetId="51" r:id="rId39"/>
    <sheet name="4020" sheetId="52" r:id="rId40"/>
    <sheet name="4030" sheetId="75" r:id="rId41"/>
    <sheet name="4031" sheetId="76" r:id="rId42"/>
    <sheet name="4041" sheetId="55" r:id="rId43"/>
    <sheet name="4050" sheetId="56" r:id="rId44"/>
    <sheet name="4051" sheetId="57" r:id="rId45"/>
    <sheet name="4061" sheetId="58" r:id="rId46"/>
    <sheet name="4080" sheetId="66" r:id="rId47"/>
    <sheet name="4081" sheetId="67" r:id="rId48"/>
    <sheet name="4090" sheetId="69" r:id="rId49"/>
    <sheet name="4091" sheetId="70" r:id="rId50"/>
    <sheet name="4100" sheetId="71" r:id="rId51"/>
    <sheet name="4102" sheetId="68" r:id="rId52"/>
    <sheet name="4103" sheetId="77" r:id="rId53"/>
    <sheet name="4111" sheetId="78" r:id="rId54"/>
    <sheet name="4131" sheetId="30" r:id="rId55"/>
    <sheet name="Virtual" sheetId="62" state="hidden" r:id="rId56"/>
  </sheets>
  <definedNames>
    <definedName name="_xlnm._FilterDatabase" localSheetId="2" hidden="1">'Annual Rev &amp; Fees'!$A$5:$W$53</definedName>
    <definedName name="_xlnm._FilterDatabase" localSheetId="1" hidden="1">'Net Payment'!$A$4:$G$451</definedName>
    <definedName name="CAP" localSheetId="6"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HTML_CodePage" hidden="1">1252</definedName>
    <definedName name="HTML_Control" localSheetId="2"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PRACTICE" localSheetId="6"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6">'0040'!$A$6:$I$145</definedName>
    <definedName name="_xlnm.Print_Area" localSheetId="7">'0100'!$A$6:$I$145</definedName>
    <definedName name="_xlnm.Print_Area" localSheetId="8">'1461'!$A$6:$I$145</definedName>
    <definedName name="_xlnm.Print_Area" localSheetId="4">Consolidated!$A$2:$I$147</definedName>
    <definedName name="_xlnm.Print_Area" localSheetId="1">'Net Payment'!$A$1:$G$514</definedName>
    <definedName name="_xlnm.Print_Area" localSheetId="55">Virtual!$B$2:$G$38</definedName>
    <definedName name="_xlnm.Print_Titles" localSheetId="6">'0040'!$2:$5</definedName>
    <definedName name="_xlnm.Print_Titles" localSheetId="7">'0100'!$2:$5</definedName>
    <definedName name="_xlnm.Print_Titles" localSheetId="8">'1461'!$2:$5</definedName>
    <definedName name="_xlnm.Print_Titles" localSheetId="1">'Net Payment'!$1:$4</definedName>
    <definedName name="wrn.Base._.Data._.Comparison." localSheetId="6"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6" i="72" l="1"/>
  <c r="E31" i="38"/>
  <c r="E462" i="64" l="1"/>
  <c r="U128" i="71"/>
  <c r="U128" i="23"/>
  <c r="U128" i="26"/>
  <c r="U128" i="22"/>
  <c r="U128" i="24"/>
  <c r="I128" i="24"/>
  <c r="U128" i="20"/>
  <c r="U128" i="18"/>
  <c r="U128" i="17"/>
  <c r="E56" i="72"/>
  <c r="U128" i="80"/>
  <c r="U130" i="80" s="1"/>
  <c r="U52" i="71" l="1"/>
  <c r="U51" i="71"/>
  <c r="U52" i="23"/>
  <c r="U51" i="23"/>
  <c r="U52" i="26"/>
  <c r="U51" i="26"/>
  <c r="U52" i="22"/>
  <c r="U51" i="22"/>
  <c r="U52" i="24"/>
  <c r="U51" i="24"/>
  <c r="U52" i="20"/>
  <c r="U51" i="20"/>
  <c r="U52" i="18"/>
  <c r="U51" i="18"/>
  <c r="U52" i="17"/>
  <c r="U51" i="17"/>
  <c r="I52" i="81"/>
  <c r="I52" i="80"/>
  <c r="U52" i="80"/>
  <c r="U51" i="80"/>
  <c r="E6" i="72"/>
  <c r="E7" i="72"/>
  <c r="E113" i="66"/>
  <c r="E113" i="28"/>
  <c r="E113" i="24"/>
  <c r="E113" i="17"/>
  <c r="E113" i="16"/>
  <c r="I114" i="7" l="1"/>
  <c r="C14" i="60" l="1"/>
  <c r="Q71" i="79"/>
  <c r="E113" i="67" l="1"/>
  <c r="E113" i="58"/>
  <c r="E113" i="52"/>
  <c r="E113" i="50"/>
  <c r="E113" i="47"/>
  <c r="E113" i="45"/>
  <c r="E113" i="43" l="1"/>
  <c r="E113" i="42"/>
  <c r="E113" i="40"/>
  <c r="E113" i="39"/>
  <c r="E113" i="38"/>
  <c r="E113" i="36"/>
  <c r="E113" i="23"/>
  <c r="E113" i="35"/>
  <c r="E113" i="34"/>
  <c r="E113" i="33"/>
  <c r="E113" i="32"/>
  <c r="E113" i="27"/>
  <c r="E114" i="24"/>
  <c r="E113" i="22"/>
  <c r="E113" i="26"/>
  <c r="E113" i="7"/>
  <c r="E113" i="18"/>
  <c r="E113" i="21"/>
  <c r="Q79" i="79" l="1"/>
  <c r="Q73" i="79" l="1"/>
  <c r="I51" i="81" l="1"/>
  <c r="J60" i="79"/>
  <c r="R55" i="79"/>
  <c r="R6" i="79"/>
  <c r="R7" i="79"/>
  <c r="R8" i="79"/>
  <c r="R9" i="79"/>
  <c r="R10" i="79"/>
  <c r="R11" i="79"/>
  <c r="R12" i="79"/>
  <c r="R13" i="79"/>
  <c r="R14" i="79"/>
  <c r="R15" i="79"/>
  <c r="R16" i="79"/>
  <c r="R17" i="79"/>
  <c r="R18" i="79"/>
  <c r="R19" i="79"/>
  <c r="R20" i="79"/>
  <c r="R21" i="79"/>
  <c r="R22" i="79"/>
  <c r="R23" i="79"/>
  <c r="R24" i="79"/>
  <c r="R25" i="79"/>
  <c r="R26" i="79"/>
  <c r="R27" i="79"/>
  <c r="R28" i="79"/>
  <c r="R29" i="79"/>
  <c r="R30" i="79"/>
  <c r="R31" i="79"/>
  <c r="R32" i="79"/>
  <c r="R33" i="79"/>
  <c r="R34" i="79"/>
  <c r="R35" i="79"/>
  <c r="R36" i="79"/>
  <c r="R37" i="79"/>
  <c r="R38" i="79"/>
  <c r="R39" i="79"/>
  <c r="R40" i="79"/>
  <c r="R41" i="79"/>
  <c r="R42" i="79"/>
  <c r="R43" i="79"/>
  <c r="R44" i="79"/>
  <c r="R45" i="79"/>
  <c r="R46" i="79"/>
  <c r="R47" i="79"/>
  <c r="R48" i="79"/>
  <c r="R49" i="79"/>
  <c r="R50" i="79"/>
  <c r="R51" i="79"/>
  <c r="R52" i="79"/>
  <c r="R53" i="79"/>
  <c r="R5" i="79"/>
  <c r="R70" i="79"/>
  <c r="Q70" i="79"/>
  <c r="I96" i="60" l="1"/>
  <c r="F98" i="30" l="1"/>
  <c r="F98" i="78"/>
  <c r="F98" i="77"/>
  <c r="F98" i="68"/>
  <c r="F98" i="71"/>
  <c r="F98" i="70"/>
  <c r="F98" i="69"/>
  <c r="F98" i="67"/>
  <c r="F98" i="66"/>
  <c r="F98" i="58"/>
  <c r="F98" i="57"/>
  <c r="F98" i="56"/>
  <c r="F98" i="55"/>
  <c r="F98" i="76"/>
  <c r="F98" i="75"/>
  <c r="F98" i="52"/>
  <c r="F98" i="51"/>
  <c r="F98" i="50"/>
  <c r="F98" i="48"/>
  <c r="F98" i="47"/>
  <c r="F98" i="45"/>
  <c r="F98" i="44"/>
  <c r="F98" i="43"/>
  <c r="F98" i="42"/>
  <c r="F98" i="40"/>
  <c r="F98" i="39"/>
  <c r="F98" i="38"/>
  <c r="F98" i="37"/>
  <c r="F98" i="36"/>
  <c r="F98" i="23"/>
  <c r="F98" i="35"/>
  <c r="F98" i="34"/>
  <c r="F98" i="33"/>
  <c r="F98" i="32"/>
  <c r="F98" i="31"/>
  <c r="F98" i="28"/>
  <c r="F98" i="27"/>
  <c r="F98" i="26"/>
  <c r="F98" i="22"/>
  <c r="F98" i="24"/>
  <c r="F98" i="25"/>
  <c r="F98" i="21"/>
  <c r="F98" i="20"/>
  <c r="F98" i="18"/>
  <c r="F98" i="17"/>
  <c r="F98" i="16"/>
  <c r="Q47" i="79" l="1"/>
  <c r="R72" i="79"/>
  <c r="N120" i="79"/>
  <c r="K55" i="79" l="1"/>
  <c r="L120" i="79"/>
  <c r="M120" i="79"/>
  <c r="L55" i="79"/>
  <c r="R54" i="79" l="1"/>
  <c r="N55" i="79"/>
  <c r="Q5" i="79"/>
  <c r="O120" i="79"/>
  <c r="P120" i="79"/>
  <c r="M55" i="79" l="1"/>
  <c r="Q6" i="79"/>
  <c r="Q7" i="79"/>
  <c r="Q8" i="79"/>
  <c r="Q9" i="79"/>
  <c r="Q11" i="79"/>
  <c r="Q12" i="79"/>
  <c r="Q13" i="79"/>
  <c r="Q14" i="79"/>
  <c r="Q15" i="79"/>
  <c r="Q16" i="79"/>
  <c r="Q17" i="79"/>
  <c r="Q18" i="79"/>
  <c r="Q19" i="79"/>
  <c r="Q20" i="79"/>
  <c r="Q21" i="79"/>
  <c r="Q22" i="79"/>
  <c r="Q23" i="79"/>
  <c r="Q24" i="79"/>
  <c r="Q25" i="79"/>
  <c r="Q26" i="79"/>
  <c r="Q27" i="79"/>
  <c r="Q28" i="79"/>
  <c r="Q29" i="79"/>
  <c r="Q30" i="79"/>
  <c r="Q31" i="79"/>
  <c r="Q32" i="79"/>
  <c r="Q33" i="79"/>
  <c r="Q34" i="79"/>
  <c r="Q35" i="79"/>
  <c r="Q36" i="79"/>
  <c r="Q37" i="79"/>
  <c r="Q38" i="79"/>
  <c r="Q39" i="79"/>
  <c r="Q40" i="79"/>
  <c r="Q41" i="79"/>
  <c r="Q42" i="79"/>
  <c r="Q43" i="79"/>
  <c r="Q44" i="79"/>
  <c r="Q45" i="79"/>
  <c r="Q46" i="79"/>
  <c r="Q48" i="79"/>
  <c r="Q49" i="79"/>
  <c r="Q50" i="79"/>
  <c r="Q51" i="79"/>
  <c r="Q52" i="79"/>
  <c r="Q53" i="79"/>
  <c r="A3" i="81"/>
  <c r="A3" i="80"/>
  <c r="D279" i="64" l="1"/>
  <c r="E114" i="18" l="1"/>
  <c r="E114" i="17"/>
  <c r="E113" i="81"/>
  <c r="O55" i="79" l="1"/>
  <c r="P55" i="79"/>
  <c r="R71" i="79"/>
  <c r="R73" i="79"/>
  <c r="R74" i="79"/>
  <c r="R75" i="79"/>
  <c r="R76" i="79"/>
  <c r="R77" i="79"/>
  <c r="R78" i="79"/>
  <c r="R79" i="79"/>
  <c r="R80" i="79"/>
  <c r="R81" i="79"/>
  <c r="R82" i="79"/>
  <c r="R83" i="79"/>
  <c r="R84" i="79"/>
  <c r="R85" i="79"/>
  <c r="R86" i="79"/>
  <c r="R87" i="79"/>
  <c r="R88" i="79"/>
  <c r="R89" i="79"/>
  <c r="R90" i="79"/>
  <c r="R91" i="79"/>
  <c r="R92" i="79"/>
  <c r="R93" i="79"/>
  <c r="R94" i="79"/>
  <c r="R95" i="79"/>
  <c r="R96" i="79"/>
  <c r="R97" i="79"/>
  <c r="R98" i="79"/>
  <c r="R99" i="79"/>
  <c r="R100" i="79"/>
  <c r="R101" i="79"/>
  <c r="R102" i="79"/>
  <c r="R103" i="79"/>
  <c r="R104" i="79"/>
  <c r="R105" i="79"/>
  <c r="R106" i="79"/>
  <c r="R107" i="79"/>
  <c r="R108" i="79"/>
  <c r="R109" i="79"/>
  <c r="R110" i="79"/>
  <c r="R111" i="79"/>
  <c r="R112" i="79"/>
  <c r="R113" i="79"/>
  <c r="R114" i="79"/>
  <c r="R115" i="79"/>
  <c r="R116" i="79"/>
  <c r="R117" i="79"/>
  <c r="R118" i="79"/>
  <c r="D19" i="79" l="1"/>
  <c r="C66" i="48" l="1"/>
  <c r="F470" i="64" l="1"/>
  <c r="J55" i="79" l="1"/>
  <c r="H55" i="79" l="1"/>
  <c r="I55" i="79" l="1"/>
  <c r="E59" i="18" l="1"/>
  <c r="Q72" i="79"/>
  <c r="Q74" i="79"/>
  <c r="Q75" i="79"/>
  <c r="Q76" i="79"/>
  <c r="Q77" i="79"/>
  <c r="Q78" i="79"/>
  <c r="Q80" i="79"/>
  <c r="Q81" i="79"/>
  <c r="Q82" i="79"/>
  <c r="Q83" i="79"/>
  <c r="Q84" i="79"/>
  <c r="Q85" i="79"/>
  <c r="Q86" i="79"/>
  <c r="Q87" i="79"/>
  <c r="Q88" i="79"/>
  <c r="Q89" i="79"/>
  <c r="Q90" i="79"/>
  <c r="Q91" i="79"/>
  <c r="Q92" i="79"/>
  <c r="Q93" i="79"/>
  <c r="Q94" i="79"/>
  <c r="Q95" i="79"/>
  <c r="Q96" i="79"/>
  <c r="Q97" i="79"/>
  <c r="Q98" i="79"/>
  <c r="Q99" i="79"/>
  <c r="Q100" i="79"/>
  <c r="Q101" i="79"/>
  <c r="Q102" i="79"/>
  <c r="Q103" i="79"/>
  <c r="Q104" i="79"/>
  <c r="Q105" i="79"/>
  <c r="Q106" i="79"/>
  <c r="Q107" i="79"/>
  <c r="Q108" i="79"/>
  <c r="Q109" i="79"/>
  <c r="Q110" i="79"/>
  <c r="Q111" i="79"/>
  <c r="Q112" i="79"/>
  <c r="Q113" i="79"/>
  <c r="Q114" i="79"/>
  <c r="I120" i="79"/>
  <c r="G10" i="79" l="1"/>
  <c r="Q10" i="79" l="1"/>
  <c r="Q55" i="79" s="1"/>
  <c r="I139" i="81"/>
  <c r="I143" i="80"/>
  <c r="I143" i="81"/>
  <c r="H120" i="79"/>
  <c r="I139" i="80"/>
  <c r="F462" i="64" l="1"/>
  <c r="D115" i="60" l="1"/>
  <c r="C115" i="60"/>
  <c r="D114" i="60"/>
  <c r="C114" i="60"/>
  <c r="H71" i="60"/>
  <c r="D67" i="60"/>
  <c r="D66" i="60"/>
  <c r="D65" i="60"/>
  <c r="D64" i="60"/>
  <c r="D63" i="60"/>
  <c r="D62" i="60"/>
  <c r="D61" i="60"/>
  <c r="D60" i="60"/>
  <c r="D59" i="60"/>
  <c r="C67" i="60"/>
  <c r="C66" i="60"/>
  <c r="C65" i="60"/>
  <c r="C64" i="60"/>
  <c r="C63" i="60"/>
  <c r="C62" i="60"/>
  <c r="C61" i="60"/>
  <c r="C60" i="60"/>
  <c r="C59" i="60"/>
  <c r="D29" i="60"/>
  <c r="D28" i="60"/>
  <c r="D27" i="60"/>
  <c r="D26" i="60"/>
  <c r="D25" i="60"/>
  <c r="D24" i="60"/>
  <c r="D23" i="60"/>
  <c r="D22" i="60"/>
  <c r="D21" i="60"/>
  <c r="D20" i="60"/>
  <c r="D19" i="60"/>
  <c r="D18" i="60"/>
  <c r="D17" i="60"/>
  <c r="D16" i="60"/>
  <c r="D15" i="60"/>
  <c r="D14" i="60"/>
  <c r="C29" i="60"/>
  <c r="C28" i="60"/>
  <c r="C27" i="60"/>
  <c r="C26" i="60"/>
  <c r="C25" i="60"/>
  <c r="C24" i="60"/>
  <c r="C23" i="60"/>
  <c r="C22" i="60"/>
  <c r="C21" i="60"/>
  <c r="C20" i="60"/>
  <c r="C19" i="60"/>
  <c r="C18" i="60"/>
  <c r="C17" i="60"/>
  <c r="C16" i="60"/>
  <c r="C15" i="60"/>
  <c r="U7" i="72" l="1"/>
  <c r="V6" i="72"/>
  <c r="U6" i="72"/>
  <c r="D8" i="64"/>
  <c r="E123" i="81" l="1"/>
  <c r="H122" i="81"/>
  <c r="F122" i="81"/>
  <c r="E122" i="81"/>
  <c r="R121" i="81"/>
  <c r="R122" i="81" s="1"/>
  <c r="H121" i="81"/>
  <c r="H123" i="81" s="1"/>
  <c r="T123" i="81" s="1"/>
  <c r="T114" i="81"/>
  <c r="U114" i="81" s="1"/>
  <c r="E114" i="81"/>
  <c r="I114" i="81" s="1"/>
  <c r="T113" i="81"/>
  <c r="I113" i="81"/>
  <c r="R106" i="81"/>
  <c r="E106" i="81"/>
  <c r="R105" i="81"/>
  <c r="E105" i="81"/>
  <c r="R104" i="81"/>
  <c r="E104" i="81"/>
  <c r="R98" i="81"/>
  <c r="R96" i="81"/>
  <c r="R94" i="81"/>
  <c r="R92" i="81"/>
  <c r="R90" i="81"/>
  <c r="R88" i="81"/>
  <c r="R85" i="81"/>
  <c r="T81" i="81"/>
  <c r="T78" i="81"/>
  <c r="T75" i="81"/>
  <c r="T72" i="81"/>
  <c r="T69" i="81"/>
  <c r="P66" i="81"/>
  <c r="D66" i="81"/>
  <c r="C66" i="81"/>
  <c r="T65" i="81"/>
  <c r="U65" i="81" s="1"/>
  <c r="T64" i="81"/>
  <c r="U64" i="81" s="1"/>
  <c r="T63" i="81"/>
  <c r="U63" i="81" s="1"/>
  <c r="T62" i="81"/>
  <c r="U62" i="81" s="1"/>
  <c r="T61" i="81"/>
  <c r="U61" i="81" s="1"/>
  <c r="T60" i="81"/>
  <c r="U60" i="81" s="1"/>
  <c r="T59" i="81"/>
  <c r="U59" i="81" s="1"/>
  <c r="E59" i="81"/>
  <c r="T58" i="81"/>
  <c r="U58" i="81" s="1"/>
  <c r="E58" i="81"/>
  <c r="I58" i="81" s="1"/>
  <c r="T57" i="81"/>
  <c r="U57" i="81" s="1"/>
  <c r="E57" i="81"/>
  <c r="I57" i="81" s="1"/>
  <c r="D44" i="81"/>
  <c r="E43" i="81" s="1"/>
  <c r="I43" i="81" s="1"/>
  <c r="C44" i="81"/>
  <c r="E38" i="81"/>
  <c r="U37" i="81"/>
  <c r="I35" i="81"/>
  <c r="U35" i="81" s="1"/>
  <c r="D30" i="81"/>
  <c r="E121" i="81" s="1"/>
  <c r="C30" i="81"/>
  <c r="U12" i="81"/>
  <c r="U10" i="81"/>
  <c r="T9" i="81"/>
  <c r="T8" i="81"/>
  <c r="P106" i="81" s="1"/>
  <c r="P8" i="81"/>
  <c r="N7" i="81"/>
  <c r="P4" i="81"/>
  <c r="N3" i="81"/>
  <c r="N1" i="81"/>
  <c r="I51" i="80"/>
  <c r="E123" i="80"/>
  <c r="H122" i="80"/>
  <c r="T122" i="80" s="1"/>
  <c r="F122" i="80"/>
  <c r="E122" i="80"/>
  <c r="R121" i="80"/>
  <c r="R122" i="80" s="1"/>
  <c r="H121" i="80"/>
  <c r="T121" i="80" s="1"/>
  <c r="T114" i="80"/>
  <c r="U114" i="80" s="1"/>
  <c r="E114" i="80"/>
  <c r="I114" i="80" s="1"/>
  <c r="T113" i="80"/>
  <c r="E113" i="80"/>
  <c r="I113" i="80" s="1"/>
  <c r="R106" i="80"/>
  <c r="E106" i="80"/>
  <c r="R105" i="80"/>
  <c r="E105" i="80"/>
  <c r="R104" i="80"/>
  <c r="E104" i="80"/>
  <c r="R98" i="80"/>
  <c r="R96" i="80"/>
  <c r="R94" i="80"/>
  <c r="R92" i="80"/>
  <c r="R90" i="80"/>
  <c r="R88" i="80"/>
  <c r="R85" i="80"/>
  <c r="T81" i="80"/>
  <c r="T78" i="80"/>
  <c r="T75" i="80"/>
  <c r="T72" i="80"/>
  <c r="T69" i="80"/>
  <c r="P66" i="80"/>
  <c r="D66" i="80"/>
  <c r="C66" i="80"/>
  <c r="T65" i="80"/>
  <c r="U65" i="80" s="1"/>
  <c r="T64" i="80"/>
  <c r="U64" i="80" s="1"/>
  <c r="T63" i="80"/>
  <c r="U63" i="80" s="1"/>
  <c r="T62" i="80"/>
  <c r="U62" i="80" s="1"/>
  <c r="T61" i="80"/>
  <c r="U61" i="80" s="1"/>
  <c r="T60" i="80"/>
  <c r="U60" i="80" s="1"/>
  <c r="T59" i="80"/>
  <c r="U59" i="80" s="1"/>
  <c r="E59" i="80"/>
  <c r="I59" i="80" s="1"/>
  <c r="T58" i="80"/>
  <c r="U58" i="80" s="1"/>
  <c r="E58" i="80"/>
  <c r="I58" i="80" s="1"/>
  <c r="T57" i="80"/>
  <c r="U57" i="80" s="1"/>
  <c r="E57" i="80"/>
  <c r="I57" i="80" s="1"/>
  <c r="D44" i="80"/>
  <c r="E42" i="80" s="1"/>
  <c r="I42" i="80" s="1"/>
  <c r="C44" i="80"/>
  <c r="U37" i="80"/>
  <c r="U35" i="80"/>
  <c r="I35" i="80"/>
  <c r="D30" i="80"/>
  <c r="E121" i="80" s="1"/>
  <c r="C30" i="80"/>
  <c r="U12" i="80"/>
  <c r="U10" i="80"/>
  <c r="T9" i="80"/>
  <c r="T8" i="80"/>
  <c r="P106" i="80" s="1"/>
  <c r="P8" i="80"/>
  <c r="N7" i="80"/>
  <c r="P4" i="80"/>
  <c r="N3" i="80"/>
  <c r="N1" i="80"/>
  <c r="I121" i="81" l="1"/>
  <c r="I122" i="81"/>
  <c r="H123" i="80"/>
  <c r="T123" i="80" s="1"/>
  <c r="I121" i="80"/>
  <c r="T121" i="81"/>
  <c r="E63" i="80"/>
  <c r="E60" i="80"/>
  <c r="I60" i="80" s="1"/>
  <c r="E62" i="80"/>
  <c r="I62" i="80" s="1"/>
  <c r="E61" i="80"/>
  <c r="I61" i="80" s="1"/>
  <c r="E64" i="81"/>
  <c r="I64" i="81" s="1"/>
  <c r="E60" i="81"/>
  <c r="I60" i="81" s="1"/>
  <c r="E62" i="81"/>
  <c r="I62" i="81" s="1"/>
  <c r="E61" i="81"/>
  <c r="I61" i="81" s="1"/>
  <c r="I63" i="80"/>
  <c r="I122" i="80"/>
  <c r="E41" i="81"/>
  <c r="I41" i="81" s="1"/>
  <c r="I53" i="81"/>
  <c r="E20" i="81"/>
  <c r="E21" i="81"/>
  <c r="E22" i="81"/>
  <c r="E23" i="81"/>
  <c r="E24" i="81"/>
  <c r="E18" i="81"/>
  <c r="E25" i="81"/>
  <c r="E26" i="81"/>
  <c r="E27" i="81"/>
  <c r="E28" i="81"/>
  <c r="E29" i="81"/>
  <c r="U66" i="81"/>
  <c r="E16" i="81"/>
  <c r="P105" i="81"/>
  <c r="T122" i="81"/>
  <c r="I38" i="81"/>
  <c r="E65" i="81"/>
  <c r="I65" i="81" s="1"/>
  <c r="I59" i="81"/>
  <c r="I123" i="81"/>
  <c r="I124" i="81" s="1"/>
  <c r="E15" i="81"/>
  <c r="E39" i="81"/>
  <c r="I39" i="81" s="1"/>
  <c r="E42" i="81"/>
  <c r="I42" i="81" s="1"/>
  <c r="P104" i="81"/>
  <c r="E17" i="81"/>
  <c r="E19" i="81"/>
  <c r="E63" i="81"/>
  <c r="I63" i="81" s="1"/>
  <c r="E40" i="81"/>
  <c r="I40" i="81" s="1"/>
  <c r="E14" i="81"/>
  <c r="I53" i="80"/>
  <c r="E38" i="80"/>
  <c r="I38" i="80" s="1"/>
  <c r="E40" i="80"/>
  <c r="I40" i="80" s="1"/>
  <c r="E41" i="80"/>
  <c r="I41" i="80" s="1"/>
  <c r="E43" i="80"/>
  <c r="I43" i="80" s="1"/>
  <c r="E64" i="80"/>
  <c r="E65" i="80"/>
  <c r="E18" i="80"/>
  <c r="H18" i="80" s="1"/>
  <c r="I18" i="80" s="1"/>
  <c r="U66" i="80"/>
  <c r="E19" i="80"/>
  <c r="E16" i="80"/>
  <c r="H16" i="80" s="1"/>
  <c r="P105" i="80"/>
  <c r="E20" i="80"/>
  <c r="H20" i="80" s="1"/>
  <c r="I20" i="80" s="1"/>
  <c r="E22" i="80"/>
  <c r="H22" i="80" s="1"/>
  <c r="I22" i="80" s="1"/>
  <c r="E24" i="80"/>
  <c r="H24" i="80" s="1"/>
  <c r="I24" i="80" s="1"/>
  <c r="E26" i="80"/>
  <c r="H26" i="80" s="1"/>
  <c r="I26" i="80" s="1"/>
  <c r="E28" i="80"/>
  <c r="H28" i="80" s="1"/>
  <c r="I28" i="80" s="1"/>
  <c r="E15" i="80"/>
  <c r="E39" i="80"/>
  <c r="I39" i="80" s="1"/>
  <c r="P104" i="80"/>
  <c r="I123" i="80"/>
  <c r="E17" i="80"/>
  <c r="E21" i="80"/>
  <c r="H21" i="80" s="1"/>
  <c r="I21" i="80" s="1"/>
  <c r="E23" i="80"/>
  <c r="H23" i="80" s="1"/>
  <c r="I23" i="80" s="1"/>
  <c r="E25" i="80"/>
  <c r="H25" i="80" s="1"/>
  <c r="I25" i="80" s="1"/>
  <c r="E27" i="80"/>
  <c r="H27" i="80" s="1"/>
  <c r="I27" i="80" s="1"/>
  <c r="E29" i="80"/>
  <c r="H29" i="80" s="1"/>
  <c r="I29" i="80" s="1"/>
  <c r="E14" i="80"/>
  <c r="I124" i="80" l="1"/>
  <c r="I44" i="80"/>
  <c r="I65" i="80"/>
  <c r="I64" i="80"/>
  <c r="H29" i="81"/>
  <c r="I29" i="81" s="1"/>
  <c r="H28" i="81"/>
  <c r="I28" i="81" s="1"/>
  <c r="H27" i="81"/>
  <c r="I27" i="81" s="1"/>
  <c r="H25" i="81"/>
  <c r="I25" i="81" s="1"/>
  <c r="H26" i="81"/>
  <c r="I26" i="81" s="1"/>
  <c r="H18" i="81"/>
  <c r="I18" i="81" s="1"/>
  <c r="H24" i="81"/>
  <c r="I24" i="81" s="1"/>
  <c r="H23" i="81"/>
  <c r="I23" i="81" s="1"/>
  <c r="H22" i="81"/>
  <c r="I22" i="81" s="1"/>
  <c r="H21" i="81"/>
  <c r="I21" i="81" s="1"/>
  <c r="H16" i="81"/>
  <c r="I16" i="81" s="1"/>
  <c r="H20" i="81"/>
  <c r="I20" i="81" s="1"/>
  <c r="I66" i="81"/>
  <c r="J17" i="81"/>
  <c r="H17" i="81"/>
  <c r="I17" i="81" s="1"/>
  <c r="J19" i="81"/>
  <c r="H19" i="81"/>
  <c r="I19" i="81" s="1"/>
  <c r="E44" i="81"/>
  <c r="J15" i="81"/>
  <c r="H15" i="81"/>
  <c r="I15" i="81" s="1"/>
  <c r="E66" i="81"/>
  <c r="E30" i="81"/>
  <c r="O6" i="72" s="1"/>
  <c r="H14" i="81"/>
  <c r="I44" i="81"/>
  <c r="E44" i="80"/>
  <c r="J19" i="80"/>
  <c r="E66" i="80"/>
  <c r="H19" i="80"/>
  <c r="I19" i="80" s="1"/>
  <c r="J15" i="80"/>
  <c r="H15" i="80"/>
  <c r="I15" i="80" s="1"/>
  <c r="E30" i="80"/>
  <c r="H14" i="80"/>
  <c r="I16" i="80"/>
  <c r="H17" i="80"/>
  <c r="I17" i="80" s="1"/>
  <c r="J17" i="80"/>
  <c r="I66" i="80" l="1"/>
  <c r="G55" i="79"/>
  <c r="C78" i="80"/>
  <c r="H79" i="80" s="1"/>
  <c r="H85" i="80" s="1"/>
  <c r="I85" i="80" s="1"/>
  <c r="O7" i="72"/>
  <c r="C105" i="81"/>
  <c r="H105" i="81" s="1"/>
  <c r="C104" i="81"/>
  <c r="H30" i="81"/>
  <c r="I14" i="81"/>
  <c r="C75" i="81"/>
  <c r="C81" i="81"/>
  <c r="C78" i="81"/>
  <c r="H133" i="81"/>
  <c r="C69" i="81"/>
  <c r="C106" i="81"/>
  <c r="H106" i="81" s="1"/>
  <c r="C105" i="80"/>
  <c r="H105" i="80" s="1"/>
  <c r="C106" i="80"/>
  <c r="H106" i="80" s="1"/>
  <c r="H30" i="80"/>
  <c r="C104" i="80"/>
  <c r="I14" i="80"/>
  <c r="I30" i="80" s="1"/>
  <c r="I46" i="80" s="1"/>
  <c r="C75" i="80"/>
  <c r="H76" i="80" s="1"/>
  <c r="H92" i="80" s="1"/>
  <c r="I92" i="80" s="1"/>
  <c r="C81" i="80"/>
  <c r="H82" i="80" s="1"/>
  <c r="H90" i="80" s="1"/>
  <c r="I90" i="80" s="1"/>
  <c r="H133" i="80"/>
  <c r="C69" i="80"/>
  <c r="H70" i="80" s="1"/>
  <c r="H79" i="81" l="1"/>
  <c r="H82" i="81"/>
  <c r="H90" i="81" s="1"/>
  <c r="I90" i="81" s="1"/>
  <c r="H76" i="81"/>
  <c r="H92" i="81" s="1"/>
  <c r="I92" i="81" s="1"/>
  <c r="H70" i="81"/>
  <c r="H98" i="81" s="1"/>
  <c r="I98" i="81" s="1"/>
  <c r="H85" i="81"/>
  <c r="I85" i="81" s="1"/>
  <c r="P43" i="81"/>
  <c r="U43" i="81" s="1"/>
  <c r="P40" i="81"/>
  <c r="U40" i="81" s="1"/>
  <c r="P29" i="81"/>
  <c r="T29" i="81" s="1"/>
  <c r="U29" i="81" s="1"/>
  <c r="P27" i="81"/>
  <c r="T27" i="81" s="1"/>
  <c r="U27" i="81" s="1"/>
  <c r="P25" i="81"/>
  <c r="T25" i="81" s="1"/>
  <c r="U25" i="81" s="1"/>
  <c r="P23" i="81"/>
  <c r="T23" i="81" s="1"/>
  <c r="U23" i="81" s="1"/>
  <c r="P21" i="81"/>
  <c r="T21" i="81" s="1"/>
  <c r="U21" i="81" s="1"/>
  <c r="P19" i="81"/>
  <c r="T19" i="81" s="1"/>
  <c r="U19" i="81" s="1"/>
  <c r="U126" i="81"/>
  <c r="P122" i="81"/>
  <c r="U122" i="81" s="1"/>
  <c r="P17" i="81"/>
  <c r="T17" i="81" s="1"/>
  <c r="U17" i="81" s="1"/>
  <c r="P15" i="81"/>
  <c r="T15" i="81" s="1"/>
  <c r="U15" i="81" s="1"/>
  <c r="P42" i="81"/>
  <c r="U42" i="81" s="1"/>
  <c r="P39" i="81"/>
  <c r="U39" i="81" s="1"/>
  <c r="P123" i="81"/>
  <c r="U123" i="81" s="1"/>
  <c r="P28" i="81"/>
  <c r="T28" i="81" s="1"/>
  <c r="U28" i="81" s="1"/>
  <c r="P26" i="81"/>
  <c r="T26" i="81" s="1"/>
  <c r="U26" i="81" s="1"/>
  <c r="P24" i="81"/>
  <c r="T24" i="81" s="1"/>
  <c r="U24" i="81" s="1"/>
  <c r="P22" i="81"/>
  <c r="T22" i="81" s="1"/>
  <c r="U22" i="81" s="1"/>
  <c r="P20" i="81"/>
  <c r="T20" i="81" s="1"/>
  <c r="U20" i="81" s="1"/>
  <c r="P113" i="81"/>
  <c r="U113" i="81" s="1"/>
  <c r="P18" i="81"/>
  <c r="T18" i="81" s="1"/>
  <c r="P41" i="81"/>
  <c r="U41" i="81" s="1"/>
  <c r="P38" i="81"/>
  <c r="P16" i="81"/>
  <c r="T16" i="81" s="1"/>
  <c r="P121" i="81"/>
  <c r="U121" i="81" s="1"/>
  <c r="P14" i="81"/>
  <c r="I30" i="81"/>
  <c r="I46" i="81" s="1"/>
  <c r="E46" i="81"/>
  <c r="C72" i="81"/>
  <c r="C107" i="81"/>
  <c r="H104" i="81"/>
  <c r="H88" i="80"/>
  <c r="I88" i="80" s="1"/>
  <c r="H98" i="80"/>
  <c r="I98" i="80" s="1"/>
  <c r="C107" i="80"/>
  <c r="H104" i="80"/>
  <c r="I107" i="80" s="1"/>
  <c r="E46" i="80"/>
  <c r="C72" i="80"/>
  <c r="H73" i="80" s="1"/>
  <c r="P43" i="80"/>
  <c r="U43" i="80" s="1"/>
  <c r="P40" i="80"/>
  <c r="U40" i="80" s="1"/>
  <c r="P29" i="80"/>
  <c r="T29" i="80" s="1"/>
  <c r="U29" i="80" s="1"/>
  <c r="P27" i="80"/>
  <c r="T27" i="80" s="1"/>
  <c r="U27" i="80" s="1"/>
  <c r="P25" i="80"/>
  <c r="T25" i="80" s="1"/>
  <c r="U25" i="80" s="1"/>
  <c r="P23" i="80"/>
  <c r="T23" i="80" s="1"/>
  <c r="U23" i="80" s="1"/>
  <c r="P21" i="80"/>
  <c r="T21" i="80" s="1"/>
  <c r="U21" i="80" s="1"/>
  <c r="P19" i="80"/>
  <c r="T19" i="80" s="1"/>
  <c r="U19" i="80" s="1"/>
  <c r="U126" i="80"/>
  <c r="P122" i="80"/>
  <c r="U122" i="80" s="1"/>
  <c r="P17" i="80"/>
  <c r="T17" i="80" s="1"/>
  <c r="U17" i="80" s="1"/>
  <c r="P15" i="80"/>
  <c r="T15" i="80" s="1"/>
  <c r="U15" i="80" s="1"/>
  <c r="P38" i="80"/>
  <c r="P42" i="80"/>
  <c r="U42" i="80" s="1"/>
  <c r="P41" i="80"/>
  <c r="U41" i="80" s="1"/>
  <c r="P123" i="80"/>
  <c r="U123" i="80" s="1"/>
  <c r="P28" i="80"/>
  <c r="T28" i="80" s="1"/>
  <c r="U28" i="80" s="1"/>
  <c r="P26" i="80"/>
  <c r="T26" i="80" s="1"/>
  <c r="U26" i="80" s="1"/>
  <c r="P24" i="80"/>
  <c r="T24" i="80" s="1"/>
  <c r="U24" i="80" s="1"/>
  <c r="P22" i="80"/>
  <c r="T22" i="80" s="1"/>
  <c r="U22" i="80" s="1"/>
  <c r="P20" i="80"/>
  <c r="T20" i="80" s="1"/>
  <c r="U20" i="80" s="1"/>
  <c r="P113" i="80"/>
  <c r="U113" i="80" s="1"/>
  <c r="P18" i="80"/>
  <c r="T18" i="80" s="1"/>
  <c r="P16" i="80"/>
  <c r="T16" i="80" s="1"/>
  <c r="P121" i="80"/>
  <c r="U121" i="80" s="1"/>
  <c r="P14" i="80"/>
  <c r="P39" i="80"/>
  <c r="U39" i="80" s="1"/>
  <c r="H88" i="81" l="1"/>
  <c r="I88" i="81" s="1"/>
  <c r="I107" i="81"/>
  <c r="H73" i="81"/>
  <c r="H94" i="81" s="1"/>
  <c r="I94" i="81" s="1"/>
  <c r="O106" i="81"/>
  <c r="T106" i="81" s="1"/>
  <c r="U18" i="81"/>
  <c r="P30" i="81"/>
  <c r="T14" i="81"/>
  <c r="U124" i="81"/>
  <c r="O105" i="81"/>
  <c r="T105" i="81" s="1"/>
  <c r="U16" i="81"/>
  <c r="R44" i="81"/>
  <c r="U38" i="81"/>
  <c r="U44" i="81" s="1"/>
  <c r="P30" i="80"/>
  <c r="T14" i="80"/>
  <c r="U124" i="80"/>
  <c r="O105" i="80"/>
  <c r="T105" i="80" s="1"/>
  <c r="U16" i="80"/>
  <c r="R44" i="80"/>
  <c r="U38" i="80"/>
  <c r="U44" i="80" s="1"/>
  <c r="O106" i="80"/>
  <c r="T106" i="80" s="1"/>
  <c r="U18" i="80"/>
  <c r="H94" i="80"/>
  <c r="I94" i="80" s="1"/>
  <c r="H96" i="80"/>
  <c r="I96" i="80" s="1"/>
  <c r="I128" i="80" l="1"/>
  <c r="H96" i="81"/>
  <c r="I96" i="81" s="1"/>
  <c r="I128" i="81"/>
  <c r="T30" i="81"/>
  <c r="P72" i="81" s="1"/>
  <c r="T73" i="81" s="1"/>
  <c r="O104" i="81"/>
  <c r="U14" i="81"/>
  <c r="U30" i="81" s="1"/>
  <c r="P81" i="81"/>
  <c r="T82" i="81" s="1"/>
  <c r="T90" i="81" s="1"/>
  <c r="U90" i="81" s="1"/>
  <c r="P78" i="81"/>
  <c r="T79" i="81" s="1"/>
  <c r="T85" i="81" s="1"/>
  <c r="U85" i="81" s="1"/>
  <c r="P69" i="81"/>
  <c r="T70" i="81" s="1"/>
  <c r="P75" i="81"/>
  <c r="T76" i="81" s="1"/>
  <c r="T92" i="81" s="1"/>
  <c r="U92" i="81" s="1"/>
  <c r="P81" i="80"/>
  <c r="T82" i="80" s="1"/>
  <c r="T90" i="80" s="1"/>
  <c r="U90" i="80" s="1"/>
  <c r="P78" i="80"/>
  <c r="T79" i="80" s="1"/>
  <c r="T85" i="80" s="1"/>
  <c r="U85" i="80" s="1"/>
  <c r="P69" i="80"/>
  <c r="T70" i="80" s="1"/>
  <c r="P75" i="80"/>
  <c r="T76" i="80" s="1"/>
  <c r="T92" i="80" s="1"/>
  <c r="U92" i="80" s="1"/>
  <c r="T30" i="80"/>
  <c r="P72" i="80" s="1"/>
  <c r="T73" i="80" s="1"/>
  <c r="U14" i="80"/>
  <c r="U30" i="80" s="1"/>
  <c r="O104" i="80"/>
  <c r="D120" i="79"/>
  <c r="F55" i="79"/>
  <c r="I6" i="72" l="1"/>
  <c r="Q6" i="72" s="1"/>
  <c r="I130" i="81"/>
  <c r="I130" i="80"/>
  <c r="I7" i="72"/>
  <c r="T98" i="81"/>
  <c r="U98" i="81" s="1"/>
  <c r="T88" i="81"/>
  <c r="U88" i="81" s="1"/>
  <c r="T104" i="81"/>
  <c r="U107" i="81" s="1"/>
  <c r="O107" i="81"/>
  <c r="R52" i="81"/>
  <c r="U52" i="81" s="1"/>
  <c r="R51" i="81"/>
  <c r="U51" i="81" s="1"/>
  <c r="T94" i="81"/>
  <c r="U94" i="81" s="1"/>
  <c r="T96" i="81"/>
  <c r="U96" i="81" s="1"/>
  <c r="R46" i="81"/>
  <c r="U46" i="81"/>
  <c r="R52" i="80"/>
  <c r="R51" i="80"/>
  <c r="R46" i="80"/>
  <c r="T98" i="80"/>
  <c r="U98" i="80" s="1"/>
  <c r="T88" i="80"/>
  <c r="U88" i="80" s="1"/>
  <c r="T104" i="80"/>
  <c r="U107" i="80" s="1"/>
  <c r="O107" i="80"/>
  <c r="T96" i="80"/>
  <c r="U96" i="80" s="1"/>
  <c r="T94" i="80"/>
  <c r="U94" i="80" s="1"/>
  <c r="U46" i="80"/>
  <c r="J6" i="72" l="1"/>
  <c r="Q7" i="72"/>
  <c r="J7" i="72"/>
  <c r="U53" i="81"/>
  <c r="U128" i="81"/>
  <c r="U53" i="80"/>
  <c r="F21" i="71"/>
  <c r="U130" i="81" l="1"/>
  <c r="I133" i="81" s="1"/>
  <c r="H135" i="81" s="1"/>
  <c r="I135" i="81" s="1"/>
  <c r="I137" i="81" s="1"/>
  <c r="I133" i="80"/>
  <c r="H135" i="80" s="1"/>
  <c r="E114" i="34"/>
  <c r="E113" i="78"/>
  <c r="E113" i="77"/>
  <c r="E114" i="71"/>
  <c r="E113" i="71"/>
  <c r="E113" i="70"/>
  <c r="E113" i="69"/>
  <c r="E113" i="57"/>
  <c r="E114" i="56"/>
  <c r="E113" i="56"/>
  <c r="E113" i="76"/>
  <c r="E113" i="75"/>
  <c r="E113" i="51"/>
  <c r="E114" i="48"/>
  <c r="E113" i="48"/>
  <c r="E113" i="31"/>
  <c r="E113" i="25"/>
  <c r="E113" i="20"/>
  <c r="E114" i="16"/>
  <c r="I139" i="7"/>
  <c r="G120" i="79"/>
  <c r="F120" i="79"/>
  <c r="E120" i="79"/>
  <c r="Q117" i="79"/>
  <c r="I139" i="78" s="1"/>
  <c r="I139" i="70"/>
  <c r="I139" i="69"/>
  <c r="I139" i="67"/>
  <c r="I139" i="66"/>
  <c r="I139" i="58"/>
  <c r="I139" i="57"/>
  <c r="I139" i="56"/>
  <c r="I139" i="55"/>
  <c r="I139" i="76"/>
  <c r="I139" i="75"/>
  <c r="I139" i="52"/>
  <c r="I139" i="51"/>
  <c r="I139" i="50"/>
  <c r="I139" i="48"/>
  <c r="I139" i="47"/>
  <c r="I139" i="45"/>
  <c r="I139" i="44"/>
  <c r="I139" i="43"/>
  <c r="I139" i="42"/>
  <c r="I139" i="40"/>
  <c r="I139" i="39"/>
  <c r="I139" i="38"/>
  <c r="I139" i="37"/>
  <c r="I139" i="36"/>
  <c r="I139" i="23"/>
  <c r="I139" i="35"/>
  <c r="I139" i="34"/>
  <c r="I139" i="33"/>
  <c r="I139" i="32"/>
  <c r="I139" i="31"/>
  <c r="I139" i="28"/>
  <c r="I139" i="27"/>
  <c r="I139" i="26"/>
  <c r="I139" i="22"/>
  <c r="I139" i="24"/>
  <c r="I139" i="25"/>
  <c r="I139" i="21"/>
  <c r="I139" i="20"/>
  <c r="I139" i="18"/>
  <c r="J120" i="79"/>
  <c r="R120" i="79" l="1"/>
  <c r="K6" i="72"/>
  <c r="G6" i="72" s="1"/>
  <c r="I147" i="81"/>
  <c r="I135" i="80"/>
  <c r="I139" i="16"/>
  <c r="Q118" i="79"/>
  <c r="I139" i="30" s="1"/>
  <c r="I139" i="71"/>
  <c r="K120" i="79"/>
  <c r="Q116" i="79"/>
  <c r="I139" i="77" l="1"/>
  <c r="Q120" i="79"/>
  <c r="L6" i="72"/>
  <c r="R6" i="72"/>
  <c r="F6" i="72"/>
  <c r="I141" i="81"/>
  <c r="I145" i="81" s="1"/>
  <c r="I137" i="80"/>
  <c r="I141" i="80" s="1"/>
  <c r="I145" i="80" s="1"/>
  <c r="K7" i="72"/>
  <c r="I147" i="80"/>
  <c r="I139" i="17"/>
  <c r="E5" i="64" l="1"/>
  <c r="I140" i="60"/>
  <c r="S6" i="72"/>
  <c r="W6" i="72" s="1"/>
  <c r="G5" i="64"/>
  <c r="M6" i="72"/>
  <c r="M7" i="72"/>
  <c r="E8" i="64"/>
  <c r="G8" i="64" s="1"/>
  <c r="F7" i="72"/>
  <c r="R7" i="72"/>
  <c r="G7" i="72"/>
  <c r="L7" i="72"/>
  <c r="S7" i="72" l="1"/>
  <c r="E55" i="79"/>
  <c r="V7" i="72" l="1"/>
  <c r="W7" i="72" s="1"/>
  <c r="E122" i="79"/>
  <c r="I127" i="60" l="1"/>
  <c r="R98" i="30"/>
  <c r="R98" i="78"/>
  <c r="R98" i="77"/>
  <c r="R98" i="68"/>
  <c r="R98" i="71"/>
  <c r="R98" i="70"/>
  <c r="R98" i="69"/>
  <c r="R98" i="67"/>
  <c r="R98" i="66"/>
  <c r="R98" i="58"/>
  <c r="R98" i="57"/>
  <c r="R98" i="56"/>
  <c r="R98" i="55"/>
  <c r="R98" i="76"/>
  <c r="R98" i="75"/>
  <c r="R98" i="52"/>
  <c r="R98" i="51"/>
  <c r="R98" i="50"/>
  <c r="R98" i="48"/>
  <c r="R98" i="47"/>
  <c r="R98" i="45"/>
  <c r="R98" i="44"/>
  <c r="R98" i="43"/>
  <c r="R98" i="42"/>
  <c r="R98" i="40"/>
  <c r="R98" i="39"/>
  <c r="R98" i="38"/>
  <c r="R98" i="37"/>
  <c r="R98" i="36"/>
  <c r="R98" i="23"/>
  <c r="R98" i="35"/>
  <c r="R98" i="34"/>
  <c r="R98" i="33"/>
  <c r="R98" i="32"/>
  <c r="R98" i="31"/>
  <c r="R98" i="28" l="1"/>
  <c r="R98" i="27"/>
  <c r="R98" i="26"/>
  <c r="R98" i="22"/>
  <c r="R98" i="24"/>
  <c r="R98" i="25"/>
  <c r="R98" i="21"/>
  <c r="R98" i="20"/>
  <c r="R98" i="18"/>
  <c r="R98" i="17"/>
  <c r="R98" i="16" l="1"/>
  <c r="R98" i="7"/>
  <c r="E114" i="78" l="1"/>
  <c r="E114" i="77"/>
  <c r="E114" i="70"/>
  <c r="E114" i="66"/>
  <c r="E114" i="57"/>
  <c r="E114" i="55"/>
  <c r="E113" i="55"/>
  <c r="E114" i="22"/>
  <c r="E114" i="25"/>
  <c r="E114" i="21"/>
  <c r="D66" i="24" l="1"/>
  <c r="E65" i="24" l="1"/>
  <c r="E62" i="24"/>
  <c r="E63" i="24"/>
  <c r="E58" i="24"/>
  <c r="E59" i="24"/>
  <c r="E60" i="24"/>
  <c r="E57" i="24"/>
  <c r="E61" i="24"/>
  <c r="E64" i="24"/>
  <c r="C30" i="68" l="1"/>
  <c r="D8" i="72" l="1"/>
  <c r="U126" i="31" l="1"/>
  <c r="U126" i="36"/>
  <c r="H67" i="60"/>
  <c r="H66" i="60"/>
  <c r="H65" i="60"/>
  <c r="H64" i="60"/>
  <c r="H63" i="60"/>
  <c r="H62" i="60"/>
  <c r="H61" i="60"/>
  <c r="H60" i="60"/>
  <c r="H59" i="60"/>
  <c r="D68" i="60" l="1"/>
  <c r="C68" i="60"/>
  <c r="P66" i="16" l="1"/>
  <c r="P66" i="17"/>
  <c r="P66" i="18"/>
  <c r="P66" i="20"/>
  <c r="P66" i="21"/>
  <c r="P66" i="25"/>
  <c r="P66" i="24"/>
  <c r="P66" i="22"/>
  <c r="P66" i="26"/>
  <c r="P66" i="27"/>
  <c r="P66" i="28"/>
  <c r="P66" i="31"/>
  <c r="P66" i="32"/>
  <c r="P66" i="33"/>
  <c r="P66" i="34"/>
  <c r="P66" i="35"/>
  <c r="P66" i="23"/>
  <c r="P66" i="36"/>
  <c r="P66" i="37"/>
  <c r="P66" i="38"/>
  <c r="P66" i="39"/>
  <c r="P66" i="40"/>
  <c r="P66" i="42"/>
  <c r="P66" i="43"/>
  <c r="P66" i="44"/>
  <c r="P66" i="45"/>
  <c r="P66" i="47"/>
  <c r="P66" i="48"/>
  <c r="P66" i="50"/>
  <c r="P66" i="51"/>
  <c r="P66" i="52"/>
  <c r="P66" i="75"/>
  <c r="P66" i="76"/>
  <c r="P66" i="55"/>
  <c r="P66" i="56"/>
  <c r="P66" i="57"/>
  <c r="P66" i="58"/>
  <c r="P66" i="66"/>
  <c r="P66" i="67"/>
  <c r="P66" i="69"/>
  <c r="P66" i="70"/>
  <c r="P66" i="71"/>
  <c r="P66" i="68"/>
  <c r="P66" i="77"/>
  <c r="P66" i="78"/>
  <c r="P66" i="30"/>
  <c r="P66" i="7"/>
  <c r="T65" i="7"/>
  <c r="U65" i="7" s="1"/>
  <c r="T64" i="7"/>
  <c r="U64" i="7" s="1"/>
  <c r="T63" i="7"/>
  <c r="U63" i="7" s="1"/>
  <c r="T62" i="7"/>
  <c r="U62" i="7" s="1"/>
  <c r="T61" i="7"/>
  <c r="U61" i="7" s="1"/>
  <c r="T60" i="7"/>
  <c r="U60" i="7" s="1"/>
  <c r="T59" i="7"/>
  <c r="U59" i="7" s="1"/>
  <c r="T58" i="7"/>
  <c r="U58" i="7" s="1"/>
  <c r="T57" i="7"/>
  <c r="U57" i="7" s="1"/>
  <c r="Q54" i="16"/>
  <c r="P54" i="16"/>
  <c r="Q54" i="17"/>
  <c r="P54" i="17"/>
  <c r="Q54" i="18"/>
  <c r="P54" i="18"/>
  <c r="Q54" i="20"/>
  <c r="P54" i="20"/>
  <c r="Q54" i="21"/>
  <c r="P54" i="21"/>
  <c r="Q54" i="25"/>
  <c r="P54" i="25"/>
  <c r="Q54" i="24"/>
  <c r="P54" i="24"/>
  <c r="Q54" i="22"/>
  <c r="P54" i="22"/>
  <c r="Q54" i="26"/>
  <c r="P54" i="26"/>
  <c r="Q54" i="27"/>
  <c r="P54" i="27"/>
  <c r="Q54" i="28"/>
  <c r="P54" i="28"/>
  <c r="Q54" i="31"/>
  <c r="P54" i="31"/>
  <c r="Q54" i="32"/>
  <c r="P54" i="32"/>
  <c r="Q54" i="33"/>
  <c r="P54" i="33"/>
  <c r="Q54" i="34"/>
  <c r="P54" i="34"/>
  <c r="Q54" i="35"/>
  <c r="P54" i="35"/>
  <c r="Q54" i="23"/>
  <c r="P54" i="23"/>
  <c r="Q54" i="36"/>
  <c r="P54" i="36"/>
  <c r="Q54" i="37"/>
  <c r="P54" i="37"/>
  <c r="Q54" i="38"/>
  <c r="P54" i="38"/>
  <c r="Q54" i="39"/>
  <c r="P54" i="39"/>
  <c r="Q54" i="40"/>
  <c r="P54" i="40"/>
  <c r="Q54" i="42"/>
  <c r="P54" i="42"/>
  <c r="Q54" i="43"/>
  <c r="P54" i="43"/>
  <c r="Q54" i="44"/>
  <c r="P54" i="44"/>
  <c r="Q54" i="45"/>
  <c r="P54" i="45"/>
  <c r="Q54" i="47"/>
  <c r="P54" i="47"/>
  <c r="Q54" i="48"/>
  <c r="P54" i="48"/>
  <c r="Q54" i="50"/>
  <c r="P54" i="50"/>
  <c r="Q54" i="51"/>
  <c r="P54" i="51"/>
  <c r="Q54" i="52"/>
  <c r="P54" i="52"/>
  <c r="Q54" i="75"/>
  <c r="P54" i="75"/>
  <c r="Q54" i="76"/>
  <c r="P54" i="76"/>
  <c r="Q54" i="55"/>
  <c r="P54" i="55"/>
  <c r="Q54" i="56"/>
  <c r="P54" i="56"/>
  <c r="Q54" i="57"/>
  <c r="P54" i="57"/>
  <c r="Q54" i="58"/>
  <c r="P54" i="58"/>
  <c r="Q54" i="66"/>
  <c r="P54" i="66"/>
  <c r="Q54" i="67"/>
  <c r="P54" i="67"/>
  <c r="Q54" i="69"/>
  <c r="P54" i="69"/>
  <c r="Q54" i="70"/>
  <c r="P54" i="70"/>
  <c r="Q54" i="71"/>
  <c r="P54" i="71"/>
  <c r="Q54" i="68"/>
  <c r="P54" i="68"/>
  <c r="Q54" i="77"/>
  <c r="P54" i="77"/>
  <c r="Q54" i="78"/>
  <c r="P54" i="78"/>
  <c r="Q54" i="30"/>
  <c r="P54" i="30"/>
  <c r="U66" i="7" l="1"/>
  <c r="H65" i="16" l="1"/>
  <c r="T65" i="16" s="1"/>
  <c r="U65" i="16" s="1"/>
  <c r="H64" i="16"/>
  <c r="T64" i="16" s="1"/>
  <c r="U64" i="16" s="1"/>
  <c r="H63" i="16"/>
  <c r="T63" i="16" s="1"/>
  <c r="U63" i="16" s="1"/>
  <c r="H62" i="16"/>
  <c r="T62" i="16" s="1"/>
  <c r="U62" i="16" s="1"/>
  <c r="H61" i="16"/>
  <c r="T61" i="16" s="1"/>
  <c r="U61" i="16" s="1"/>
  <c r="H60" i="16"/>
  <c r="T60" i="16" s="1"/>
  <c r="U60" i="16" s="1"/>
  <c r="H59" i="16"/>
  <c r="T59" i="16" s="1"/>
  <c r="U59" i="16" s="1"/>
  <c r="H58" i="16"/>
  <c r="T58" i="16" s="1"/>
  <c r="U58" i="16" s="1"/>
  <c r="H65" i="17"/>
  <c r="T65" i="17" s="1"/>
  <c r="U65" i="17" s="1"/>
  <c r="H64" i="17"/>
  <c r="T64" i="17" s="1"/>
  <c r="U64" i="17" s="1"/>
  <c r="H63" i="17"/>
  <c r="T63" i="17" s="1"/>
  <c r="U63" i="17" s="1"/>
  <c r="H62" i="17"/>
  <c r="T62" i="17" s="1"/>
  <c r="U62" i="17" s="1"/>
  <c r="H61" i="17"/>
  <c r="T61" i="17" s="1"/>
  <c r="U61" i="17" s="1"/>
  <c r="H60" i="17"/>
  <c r="T60" i="17" s="1"/>
  <c r="U60" i="17" s="1"/>
  <c r="H59" i="17"/>
  <c r="T59" i="17" s="1"/>
  <c r="U59" i="17" s="1"/>
  <c r="H58" i="17"/>
  <c r="T58" i="17" s="1"/>
  <c r="U58" i="17" s="1"/>
  <c r="H65" i="18"/>
  <c r="T65" i="18" s="1"/>
  <c r="U65" i="18" s="1"/>
  <c r="H64" i="18"/>
  <c r="T64" i="18" s="1"/>
  <c r="U64" i="18" s="1"/>
  <c r="H63" i="18"/>
  <c r="T63" i="18" s="1"/>
  <c r="U63" i="18" s="1"/>
  <c r="H62" i="18"/>
  <c r="T62" i="18" s="1"/>
  <c r="U62" i="18" s="1"/>
  <c r="H61" i="18"/>
  <c r="T61" i="18" s="1"/>
  <c r="U61" i="18" s="1"/>
  <c r="H60" i="18"/>
  <c r="T60" i="18" s="1"/>
  <c r="U60" i="18" s="1"/>
  <c r="H59" i="18"/>
  <c r="T59" i="18" s="1"/>
  <c r="U59" i="18" s="1"/>
  <c r="H58" i="18"/>
  <c r="T58" i="18" s="1"/>
  <c r="U58" i="18" s="1"/>
  <c r="H65" i="20"/>
  <c r="T65" i="20" s="1"/>
  <c r="U65" i="20" s="1"/>
  <c r="H64" i="20"/>
  <c r="T64" i="20" s="1"/>
  <c r="U64" i="20" s="1"/>
  <c r="H63" i="20"/>
  <c r="T63" i="20" s="1"/>
  <c r="U63" i="20" s="1"/>
  <c r="H62" i="20"/>
  <c r="T62" i="20" s="1"/>
  <c r="U62" i="20" s="1"/>
  <c r="H61" i="20"/>
  <c r="T61" i="20" s="1"/>
  <c r="U61" i="20" s="1"/>
  <c r="H60" i="20"/>
  <c r="T60" i="20" s="1"/>
  <c r="U60" i="20" s="1"/>
  <c r="H59" i="20"/>
  <c r="T59" i="20" s="1"/>
  <c r="U59" i="20" s="1"/>
  <c r="H58" i="20"/>
  <c r="T58" i="20" s="1"/>
  <c r="U58" i="20" s="1"/>
  <c r="H65" i="21"/>
  <c r="T65" i="21" s="1"/>
  <c r="U65" i="21" s="1"/>
  <c r="H64" i="21"/>
  <c r="T64" i="21" s="1"/>
  <c r="U64" i="21" s="1"/>
  <c r="H63" i="21"/>
  <c r="T63" i="21" s="1"/>
  <c r="U63" i="21" s="1"/>
  <c r="H62" i="21"/>
  <c r="T62" i="21" s="1"/>
  <c r="U62" i="21" s="1"/>
  <c r="H61" i="21"/>
  <c r="T61" i="21" s="1"/>
  <c r="U61" i="21" s="1"/>
  <c r="H60" i="21"/>
  <c r="T60" i="21" s="1"/>
  <c r="U60" i="21" s="1"/>
  <c r="H59" i="21"/>
  <c r="T59" i="21" s="1"/>
  <c r="U59" i="21" s="1"/>
  <c r="H58" i="21"/>
  <c r="T58" i="21" s="1"/>
  <c r="U58" i="21" s="1"/>
  <c r="H65" i="25"/>
  <c r="T65" i="25" s="1"/>
  <c r="U65" i="25" s="1"/>
  <c r="H64" i="25"/>
  <c r="T64" i="25" s="1"/>
  <c r="U64" i="25" s="1"/>
  <c r="H63" i="25"/>
  <c r="T63" i="25" s="1"/>
  <c r="U63" i="25" s="1"/>
  <c r="H62" i="25"/>
  <c r="T62" i="25" s="1"/>
  <c r="U62" i="25" s="1"/>
  <c r="H61" i="25"/>
  <c r="T61" i="25" s="1"/>
  <c r="U61" i="25" s="1"/>
  <c r="H60" i="25"/>
  <c r="T60" i="25" s="1"/>
  <c r="U60" i="25" s="1"/>
  <c r="H59" i="25"/>
  <c r="T59" i="25" s="1"/>
  <c r="U59" i="25" s="1"/>
  <c r="H58" i="25"/>
  <c r="T58" i="25" s="1"/>
  <c r="U58" i="25" s="1"/>
  <c r="H65" i="24"/>
  <c r="T65" i="24" s="1"/>
  <c r="U65" i="24" s="1"/>
  <c r="H64" i="24"/>
  <c r="T64" i="24" s="1"/>
  <c r="U64" i="24" s="1"/>
  <c r="H63" i="24"/>
  <c r="T63" i="24" s="1"/>
  <c r="U63" i="24" s="1"/>
  <c r="H62" i="24"/>
  <c r="T62" i="24" s="1"/>
  <c r="U62" i="24" s="1"/>
  <c r="H61" i="24"/>
  <c r="T61" i="24" s="1"/>
  <c r="U61" i="24" s="1"/>
  <c r="H60" i="24"/>
  <c r="T60" i="24" s="1"/>
  <c r="U60" i="24" s="1"/>
  <c r="H59" i="24"/>
  <c r="T59" i="24" s="1"/>
  <c r="U59" i="24" s="1"/>
  <c r="H58" i="24"/>
  <c r="T58" i="24" s="1"/>
  <c r="U58" i="24" s="1"/>
  <c r="H65" i="22"/>
  <c r="T65" i="22" s="1"/>
  <c r="U65" i="22" s="1"/>
  <c r="H64" i="22"/>
  <c r="T64" i="22" s="1"/>
  <c r="U64" i="22" s="1"/>
  <c r="H63" i="22"/>
  <c r="T63" i="22" s="1"/>
  <c r="U63" i="22" s="1"/>
  <c r="H62" i="22"/>
  <c r="T62" i="22" s="1"/>
  <c r="U62" i="22" s="1"/>
  <c r="H61" i="22"/>
  <c r="T61" i="22" s="1"/>
  <c r="U61" i="22" s="1"/>
  <c r="H60" i="22"/>
  <c r="T60" i="22" s="1"/>
  <c r="U60" i="22" s="1"/>
  <c r="H59" i="22"/>
  <c r="T59" i="22" s="1"/>
  <c r="U59" i="22" s="1"/>
  <c r="H58" i="22"/>
  <c r="T58" i="22" s="1"/>
  <c r="U58" i="22" s="1"/>
  <c r="H65" i="26"/>
  <c r="T65" i="26" s="1"/>
  <c r="U65" i="26" s="1"/>
  <c r="H64" i="26"/>
  <c r="T64" i="26" s="1"/>
  <c r="U64" i="26" s="1"/>
  <c r="H63" i="26"/>
  <c r="T63" i="26" s="1"/>
  <c r="U63" i="26" s="1"/>
  <c r="H62" i="26"/>
  <c r="T62" i="26" s="1"/>
  <c r="U62" i="26" s="1"/>
  <c r="H61" i="26"/>
  <c r="T61" i="26" s="1"/>
  <c r="U61" i="26" s="1"/>
  <c r="H60" i="26"/>
  <c r="T60" i="26" s="1"/>
  <c r="U60" i="26" s="1"/>
  <c r="H59" i="26"/>
  <c r="T59" i="26" s="1"/>
  <c r="U59" i="26" s="1"/>
  <c r="H58" i="26"/>
  <c r="T58" i="26" s="1"/>
  <c r="U58" i="26" s="1"/>
  <c r="H65" i="27"/>
  <c r="T65" i="27" s="1"/>
  <c r="U65" i="27" s="1"/>
  <c r="H64" i="27"/>
  <c r="T64" i="27" s="1"/>
  <c r="U64" i="27" s="1"/>
  <c r="H63" i="27"/>
  <c r="T63" i="27" s="1"/>
  <c r="U63" i="27" s="1"/>
  <c r="H62" i="27"/>
  <c r="T62" i="27" s="1"/>
  <c r="U62" i="27" s="1"/>
  <c r="H61" i="27"/>
  <c r="T61" i="27" s="1"/>
  <c r="U61" i="27" s="1"/>
  <c r="H60" i="27"/>
  <c r="T60" i="27" s="1"/>
  <c r="U60" i="27" s="1"/>
  <c r="H59" i="27"/>
  <c r="T59" i="27" s="1"/>
  <c r="U59" i="27" s="1"/>
  <c r="H58" i="27"/>
  <c r="T58" i="27" s="1"/>
  <c r="U58" i="27" s="1"/>
  <c r="H65" i="28"/>
  <c r="T65" i="28" s="1"/>
  <c r="U65" i="28" s="1"/>
  <c r="H64" i="28"/>
  <c r="T64" i="28" s="1"/>
  <c r="U64" i="28" s="1"/>
  <c r="H63" i="28"/>
  <c r="T63" i="28" s="1"/>
  <c r="U63" i="28" s="1"/>
  <c r="H62" i="28"/>
  <c r="T62" i="28" s="1"/>
  <c r="U62" i="28" s="1"/>
  <c r="H61" i="28"/>
  <c r="T61" i="28" s="1"/>
  <c r="U61" i="28" s="1"/>
  <c r="H60" i="28"/>
  <c r="T60" i="28" s="1"/>
  <c r="U60" i="28" s="1"/>
  <c r="H59" i="28"/>
  <c r="T59" i="28" s="1"/>
  <c r="U59" i="28" s="1"/>
  <c r="H58" i="28"/>
  <c r="T58" i="28" s="1"/>
  <c r="U58" i="28" s="1"/>
  <c r="H65" i="31"/>
  <c r="T65" i="31" s="1"/>
  <c r="U65" i="31" s="1"/>
  <c r="H64" i="31"/>
  <c r="T64" i="31" s="1"/>
  <c r="U64" i="31" s="1"/>
  <c r="H63" i="31"/>
  <c r="T63" i="31" s="1"/>
  <c r="U63" i="31" s="1"/>
  <c r="H62" i="31"/>
  <c r="T62" i="31" s="1"/>
  <c r="U62" i="31" s="1"/>
  <c r="H61" i="31"/>
  <c r="T61" i="31" s="1"/>
  <c r="U61" i="31" s="1"/>
  <c r="H60" i="31"/>
  <c r="T60" i="31" s="1"/>
  <c r="U60" i="31" s="1"/>
  <c r="H59" i="31"/>
  <c r="T59" i="31" s="1"/>
  <c r="U59" i="31" s="1"/>
  <c r="H58" i="31"/>
  <c r="T58" i="31" s="1"/>
  <c r="U58" i="31" s="1"/>
  <c r="H65" i="32"/>
  <c r="T65" i="32" s="1"/>
  <c r="U65" i="32" s="1"/>
  <c r="H64" i="32"/>
  <c r="T64" i="32" s="1"/>
  <c r="U64" i="32" s="1"/>
  <c r="H63" i="32"/>
  <c r="T63" i="32" s="1"/>
  <c r="U63" i="32" s="1"/>
  <c r="H62" i="32"/>
  <c r="T62" i="32" s="1"/>
  <c r="U62" i="32" s="1"/>
  <c r="H61" i="32"/>
  <c r="T61" i="32" s="1"/>
  <c r="U61" i="32" s="1"/>
  <c r="H60" i="32"/>
  <c r="T60" i="32" s="1"/>
  <c r="U60" i="32" s="1"/>
  <c r="H59" i="32"/>
  <c r="T59" i="32" s="1"/>
  <c r="U59" i="32" s="1"/>
  <c r="H58" i="32"/>
  <c r="T58" i="32" s="1"/>
  <c r="U58" i="32" s="1"/>
  <c r="H65" i="33"/>
  <c r="T65" i="33" s="1"/>
  <c r="U65" i="33" s="1"/>
  <c r="H64" i="33"/>
  <c r="T64" i="33" s="1"/>
  <c r="U64" i="33" s="1"/>
  <c r="H63" i="33"/>
  <c r="T63" i="33" s="1"/>
  <c r="U63" i="33" s="1"/>
  <c r="H62" i="33"/>
  <c r="T62" i="33" s="1"/>
  <c r="U62" i="33" s="1"/>
  <c r="H61" i="33"/>
  <c r="T61" i="33" s="1"/>
  <c r="U61" i="33" s="1"/>
  <c r="H60" i="33"/>
  <c r="T60" i="33" s="1"/>
  <c r="U60" i="33" s="1"/>
  <c r="H59" i="33"/>
  <c r="T59" i="33" s="1"/>
  <c r="U59" i="33" s="1"/>
  <c r="H58" i="33"/>
  <c r="T58" i="33" s="1"/>
  <c r="U58" i="33" s="1"/>
  <c r="H65" i="34"/>
  <c r="T65" i="34" s="1"/>
  <c r="U65" i="34" s="1"/>
  <c r="H64" i="34"/>
  <c r="T64" i="34" s="1"/>
  <c r="U64" i="34" s="1"/>
  <c r="H63" i="34"/>
  <c r="T63" i="34" s="1"/>
  <c r="U63" i="34" s="1"/>
  <c r="H62" i="34"/>
  <c r="T62" i="34" s="1"/>
  <c r="U62" i="34" s="1"/>
  <c r="H61" i="34"/>
  <c r="T61" i="34" s="1"/>
  <c r="U61" i="34" s="1"/>
  <c r="H60" i="34"/>
  <c r="T60" i="34" s="1"/>
  <c r="U60" i="34" s="1"/>
  <c r="H59" i="34"/>
  <c r="T59" i="34" s="1"/>
  <c r="U59" i="34" s="1"/>
  <c r="H58" i="34"/>
  <c r="T58" i="34" s="1"/>
  <c r="U58" i="34" s="1"/>
  <c r="H65" i="35"/>
  <c r="T65" i="35" s="1"/>
  <c r="U65" i="35" s="1"/>
  <c r="H64" i="35"/>
  <c r="T64" i="35" s="1"/>
  <c r="U64" i="35" s="1"/>
  <c r="H63" i="35"/>
  <c r="T63" i="35" s="1"/>
  <c r="U63" i="35" s="1"/>
  <c r="H62" i="35"/>
  <c r="T62" i="35" s="1"/>
  <c r="U62" i="35" s="1"/>
  <c r="H61" i="35"/>
  <c r="T61" i="35" s="1"/>
  <c r="U61" i="35" s="1"/>
  <c r="H60" i="35"/>
  <c r="T60" i="35" s="1"/>
  <c r="U60" i="35" s="1"/>
  <c r="H59" i="35"/>
  <c r="T59" i="35" s="1"/>
  <c r="U59" i="35" s="1"/>
  <c r="H58" i="35"/>
  <c r="T58" i="35" s="1"/>
  <c r="U58" i="35" s="1"/>
  <c r="H65" i="23"/>
  <c r="T65" i="23" s="1"/>
  <c r="U65" i="23" s="1"/>
  <c r="H64" i="23"/>
  <c r="T64" i="23" s="1"/>
  <c r="U64" i="23" s="1"/>
  <c r="H63" i="23"/>
  <c r="T63" i="23" s="1"/>
  <c r="U63" i="23" s="1"/>
  <c r="H62" i="23"/>
  <c r="T62" i="23" s="1"/>
  <c r="U62" i="23" s="1"/>
  <c r="H61" i="23"/>
  <c r="T61" i="23" s="1"/>
  <c r="U61" i="23" s="1"/>
  <c r="H60" i="23"/>
  <c r="T60" i="23" s="1"/>
  <c r="U60" i="23" s="1"/>
  <c r="H59" i="23"/>
  <c r="T59" i="23" s="1"/>
  <c r="U59" i="23" s="1"/>
  <c r="H58" i="23"/>
  <c r="T58" i="23" s="1"/>
  <c r="U58" i="23" s="1"/>
  <c r="H65" i="36"/>
  <c r="T65" i="36" s="1"/>
  <c r="U65" i="36" s="1"/>
  <c r="H64" i="36"/>
  <c r="T64" i="36" s="1"/>
  <c r="U64" i="36" s="1"/>
  <c r="H63" i="36"/>
  <c r="T63" i="36" s="1"/>
  <c r="U63" i="36" s="1"/>
  <c r="H62" i="36"/>
  <c r="T62" i="36" s="1"/>
  <c r="U62" i="36" s="1"/>
  <c r="H61" i="36"/>
  <c r="T61" i="36" s="1"/>
  <c r="U61" i="36" s="1"/>
  <c r="H60" i="36"/>
  <c r="T60" i="36" s="1"/>
  <c r="U60" i="36" s="1"/>
  <c r="H59" i="36"/>
  <c r="T59" i="36" s="1"/>
  <c r="U59" i="36" s="1"/>
  <c r="H58" i="36"/>
  <c r="T58" i="36" s="1"/>
  <c r="U58" i="36" s="1"/>
  <c r="H65" i="37"/>
  <c r="T65" i="37" s="1"/>
  <c r="U65" i="37" s="1"/>
  <c r="H64" i="37"/>
  <c r="T64" i="37" s="1"/>
  <c r="U64" i="37" s="1"/>
  <c r="H63" i="37"/>
  <c r="T63" i="37" s="1"/>
  <c r="U63" i="37" s="1"/>
  <c r="H62" i="37"/>
  <c r="T62" i="37" s="1"/>
  <c r="U62" i="37" s="1"/>
  <c r="H61" i="37"/>
  <c r="T61" i="37" s="1"/>
  <c r="U61" i="37" s="1"/>
  <c r="H60" i="37"/>
  <c r="T60" i="37" s="1"/>
  <c r="U60" i="37" s="1"/>
  <c r="H59" i="37"/>
  <c r="T59" i="37" s="1"/>
  <c r="U59" i="37" s="1"/>
  <c r="H58" i="37"/>
  <c r="T58" i="37" s="1"/>
  <c r="U58" i="37" s="1"/>
  <c r="H65" i="38"/>
  <c r="T65" i="38" s="1"/>
  <c r="U65" i="38" s="1"/>
  <c r="H64" i="38"/>
  <c r="T64" i="38" s="1"/>
  <c r="U64" i="38" s="1"/>
  <c r="H63" i="38"/>
  <c r="T63" i="38" s="1"/>
  <c r="U63" i="38" s="1"/>
  <c r="H62" i="38"/>
  <c r="T62" i="38" s="1"/>
  <c r="U62" i="38" s="1"/>
  <c r="H61" i="38"/>
  <c r="T61" i="38" s="1"/>
  <c r="U61" i="38" s="1"/>
  <c r="H60" i="38"/>
  <c r="T60" i="38" s="1"/>
  <c r="U60" i="38" s="1"/>
  <c r="H59" i="38"/>
  <c r="T59" i="38" s="1"/>
  <c r="U59" i="38" s="1"/>
  <c r="H58" i="38"/>
  <c r="T58" i="38" s="1"/>
  <c r="U58" i="38" s="1"/>
  <c r="H65" i="39"/>
  <c r="T65" i="39" s="1"/>
  <c r="U65" i="39" s="1"/>
  <c r="H64" i="39"/>
  <c r="T64" i="39" s="1"/>
  <c r="U64" i="39" s="1"/>
  <c r="H63" i="39"/>
  <c r="T63" i="39" s="1"/>
  <c r="U63" i="39" s="1"/>
  <c r="H62" i="39"/>
  <c r="T62" i="39" s="1"/>
  <c r="U62" i="39" s="1"/>
  <c r="H61" i="39"/>
  <c r="T61" i="39" s="1"/>
  <c r="U61" i="39" s="1"/>
  <c r="H60" i="39"/>
  <c r="T60" i="39" s="1"/>
  <c r="U60" i="39" s="1"/>
  <c r="H59" i="39"/>
  <c r="T59" i="39" s="1"/>
  <c r="U59" i="39" s="1"/>
  <c r="H58" i="39"/>
  <c r="T58" i="39" s="1"/>
  <c r="U58" i="39" s="1"/>
  <c r="H65" i="40"/>
  <c r="T65" i="40" s="1"/>
  <c r="U65" i="40" s="1"/>
  <c r="H64" i="40"/>
  <c r="T64" i="40" s="1"/>
  <c r="U64" i="40" s="1"/>
  <c r="H63" i="40"/>
  <c r="T63" i="40" s="1"/>
  <c r="U63" i="40" s="1"/>
  <c r="H62" i="40"/>
  <c r="T62" i="40" s="1"/>
  <c r="U62" i="40" s="1"/>
  <c r="H61" i="40"/>
  <c r="T61" i="40" s="1"/>
  <c r="U61" i="40" s="1"/>
  <c r="H60" i="40"/>
  <c r="T60" i="40" s="1"/>
  <c r="U60" i="40" s="1"/>
  <c r="H59" i="40"/>
  <c r="T59" i="40" s="1"/>
  <c r="U59" i="40" s="1"/>
  <c r="H58" i="40"/>
  <c r="T58" i="40" s="1"/>
  <c r="U58" i="40" s="1"/>
  <c r="H65" i="42"/>
  <c r="T65" i="42" s="1"/>
  <c r="U65" i="42" s="1"/>
  <c r="H64" i="42"/>
  <c r="T64" i="42" s="1"/>
  <c r="U64" i="42" s="1"/>
  <c r="H63" i="42"/>
  <c r="T63" i="42" s="1"/>
  <c r="U63" i="42" s="1"/>
  <c r="H62" i="42"/>
  <c r="T62" i="42" s="1"/>
  <c r="U62" i="42" s="1"/>
  <c r="H61" i="42"/>
  <c r="T61" i="42" s="1"/>
  <c r="U61" i="42" s="1"/>
  <c r="H60" i="42"/>
  <c r="T60" i="42" s="1"/>
  <c r="U60" i="42" s="1"/>
  <c r="H59" i="42"/>
  <c r="T59" i="42" s="1"/>
  <c r="U59" i="42" s="1"/>
  <c r="H58" i="42"/>
  <c r="T58" i="42" s="1"/>
  <c r="U58" i="42" s="1"/>
  <c r="H65" i="43"/>
  <c r="T65" i="43" s="1"/>
  <c r="U65" i="43" s="1"/>
  <c r="H64" i="43"/>
  <c r="T64" i="43" s="1"/>
  <c r="U64" i="43" s="1"/>
  <c r="H63" i="43"/>
  <c r="T63" i="43" s="1"/>
  <c r="U63" i="43" s="1"/>
  <c r="H62" i="43"/>
  <c r="T62" i="43" s="1"/>
  <c r="U62" i="43" s="1"/>
  <c r="H61" i="43"/>
  <c r="T61" i="43" s="1"/>
  <c r="U61" i="43" s="1"/>
  <c r="H60" i="43"/>
  <c r="T60" i="43" s="1"/>
  <c r="U60" i="43" s="1"/>
  <c r="H59" i="43"/>
  <c r="T59" i="43" s="1"/>
  <c r="U59" i="43" s="1"/>
  <c r="H58" i="43"/>
  <c r="T58" i="43" s="1"/>
  <c r="U58" i="43" s="1"/>
  <c r="H65" i="44"/>
  <c r="T65" i="44" s="1"/>
  <c r="U65" i="44" s="1"/>
  <c r="H64" i="44"/>
  <c r="T64" i="44" s="1"/>
  <c r="U64" i="44" s="1"/>
  <c r="H63" i="44"/>
  <c r="T63" i="44" s="1"/>
  <c r="U63" i="44" s="1"/>
  <c r="H62" i="44"/>
  <c r="T62" i="44" s="1"/>
  <c r="U62" i="44" s="1"/>
  <c r="H61" i="44"/>
  <c r="T61" i="44" s="1"/>
  <c r="U61" i="44" s="1"/>
  <c r="H60" i="44"/>
  <c r="T60" i="44" s="1"/>
  <c r="U60" i="44" s="1"/>
  <c r="H59" i="44"/>
  <c r="T59" i="44" s="1"/>
  <c r="U59" i="44" s="1"/>
  <c r="H58" i="44"/>
  <c r="T58" i="44" s="1"/>
  <c r="U58" i="44" s="1"/>
  <c r="H65" i="45"/>
  <c r="T65" i="45" s="1"/>
  <c r="U65" i="45" s="1"/>
  <c r="H64" i="45"/>
  <c r="T64" i="45" s="1"/>
  <c r="U64" i="45" s="1"/>
  <c r="H63" i="45"/>
  <c r="T63" i="45" s="1"/>
  <c r="U63" i="45" s="1"/>
  <c r="H62" i="45"/>
  <c r="T62" i="45" s="1"/>
  <c r="U62" i="45" s="1"/>
  <c r="H61" i="45"/>
  <c r="T61" i="45" s="1"/>
  <c r="U61" i="45" s="1"/>
  <c r="H60" i="45"/>
  <c r="T60" i="45" s="1"/>
  <c r="U60" i="45" s="1"/>
  <c r="H59" i="45"/>
  <c r="T59" i="45" s="1"/>
  <c r="U59" i="45" s="1"/>
  <c r="H58" i="45"/>
  <c r="T58" i="45" s="1"/>
  <c r="U58" i="45" s="1"/>
  <c r="H65" i="47"/>
  <c r="T65" i="47" s="1"/>
  <c r="U65" i="47" s="1"/>
  <c r="H64" i="47"/>
  <c r="T64" i="47" s="1"/>
  <c r="U64" i="47" s="1"/>
  <c r="H63" i="47"/>
  <c r="T63" i="47" s="1"/>
  <c r="U63" i="47" s="1"/>
  <c r="H62" i="47"/>
  <c r="T62" i="47" s="1"/>
  <c r="U62" i="47" s="1"/>
  <c r="H61" i="47"/>
  <c r="T61" i="47" s="1"/>
  <c r="U61" i="47" s="1"/>
  <c r="H60" i="47"/>
  <c r="T60" i="47" s="1"/>
  <c r="U60" i="47" s="1"/>
  <c r="H59" i="47"/>
  <c r="T59" i="47" s="1"/>
  <c r="U59" i="47" s="1"/>
  <c r="H58" i="47"/>
  <c r="T58" i="47" s="1"/>
  <c r="U58" i="47" s="1"/>
  <c r="H65" i="48"/>
  <c r="T65" i="48" s="1"/>
  <c r="U65" i="48" s="1"/>
  <c r="H64" i="48"/>
  <c r="T64" i="48" s="1"/>
  <c r="U64" i="48" s="1"/>
  <c r="H63" i="48"/>
  <c r="T63" i="48" s="1"/>
  <c r="U63" i="48" s="1"/>
  <c r="H62" i="48"/>
  <c r="T62" i="48" s="1"/>
  <c r="U62" i="48" s="1"/>
  <c r="H61" i="48"/>
  <c r="T61" i="48" s="1"/>
  <c r="U61" i="48" s="1"/>
  <c r="H60" i="48"/>
  <c r="T60" i="48" s="1"/>
  <c r="U60" i="48" s="1"/>
  <c r="H59" i="48"/>
  <c r="T59" i="48" s="1"/>
  <c r="U59" i="48" s="1"/>
  <c r="H58" i="48"/>
  <c r="T58" i="48" s="1"/>
  <c r="U58" i="48" s="1"/>
  <c r="H65" i="50"/>
  <c r="T65" i="50" s="1"/>
  <c r="U65" i="50" s="1"/>
  <c r="H64" i="50"/>
  <c r="T64" i="50" s="1"/>
  <c r="U64" i="50" s="1"/>
  <c r="H63" i="50"/>
  <c r="T63" i="50" s="1"/>
  <c r="U63" i="50" s="1"/>
  <c r="H62" i="50"/>
  <c r="T62" i="50" s="1"/>
  <c r="U62" i="50" s="1"/>
  <c r="H61" i="50"/>
  <c r="T61" i="50" s="1"/>
  <c r="U61" i="50" s="1"/>
  <c r="H60" i="50"/>
  <c r="T60" i="50" s="1"/>
  <c r="U60" i="50" s="1"/>
  <c r="H59" i="50"/>
  <c r="T59" i="50" s="1"/>
  <c r="U59" i="50" s="1"/>
  <c r="H58" i="50"/>
  <c r="T58" i="50" s="1"/>
  <c r="U58" i="50" s="1"/>
  <c r="H65" i="51"/>
  <c r="T65" i="51" s="1"/>
  <c r="U65" i="51" s="1"/>
  <c r="H64" i="51"/>
  <c r="T64" i="51" s="1"/>
  <c r="U64" i="51" s="1"/>
  <c r="H63" i="51"/>
  <c r="T63" i="51" s="1"/>
  <c r="U63" i="51" s="1"/>
  <c r="H62" i="51"/>
  <c r="T62" i="51" s="1"/>
  <c r="U62" i="51" s="1"/>
  <c r="H61" i="51"/>
  <c r="T61" i="51" s="1"/>
  <c r="U61" i="51" s="1"/>
  <c r="H60" i="51"/>
  <c r="T60" i="51" s="1"/>
  <c r="U60" i="51" s="1"/>
  <c r="H59" i="51"/>
  <c r="T59" i="51" s="1"/>
  <c r="U59" i="51" s="1"/>
  <c r="H58" i="51"/>
  <c r="T58" i="51" s="1"/>
  <c r="U58" i="51" s="1"/>
  <c r="H65" i="52"/>
  <c r="T65" i="52" s="1"/>
  <c r="U65" i="52" s="1"/>
  <c r="H64" i="52"/>
  <c r="T64" i="52" s="1"/>
  <c r="U64" i="52" s="1"/>
  <c r="H63" i="52"/>
  <c r="T63" i="52" s="1"/>
  <c r="U63" i="52" s="1"/>
  <c r="H62" i="52"/>
  <c r="T62" i="52" s="1"/>
  <c r="U62" i="52" s="1"/>
  <c r="H61" i="52"/>
  <c r="T61" i="52" s="1"/>
  <c r="U61" i="52" s="1"/>
  <c r="H60" i="52"/>
  <c r="T60" i="52" s="1"/>
  <c r="U60" i="52" s="1"/>
  <c r="H59" i="52"/>
  <c r="T59" i="52" s="1"/>
  <c r="U59" i="52" s="1"/>
  <c r="H58" i="52"/>
  <c r="T58" i="52" s="1"/>
  <c r="U58" i="52" s="1"/>
  <c r="H65" i="75"/>
  <c r="T65" i="75" s="1"/>
  <c r="U65" i="75" s="1"/>
  <c r="H64" i="75"/>
  <c r="T64" i="75" s="1"/>
  <c r="U64" i="75" s="1"/>
  <c r="H63" i="75"/>
  <c r="T63" i="75" s="1"/>
  <c r="U63" i="75" s="1"/>
  <c r="H62" i="75"/>
  <c r="T62" i="75" s="1"/>
  <c r="U62" i="75" s="1"/>
  <c r="H61" i="75"/>
  <c r="T61" i="75" s="1"/>
  <c r="U61" i="75" s="1"/>
  <c r="H60" i="75"/>
  <c r="T60" i="75" s="1"/>
  <c r="U60" i="75" s="1"/>
  <c r="H59" i="75"/>
  <c r="T59" i="75" s="1"/>
  <c r="U59" i="75" s="1"/>
  <c r="H58" i="75"/>
  <c r="T58" i="75" s="1"/>
  <c r="U58" i="75" s="1"/>
  <c r="H65" i="76"/>
  <c r="T65" i="76" s="1"/>
  <c r="U65" i="76" s="1"/>
  <c r="H64" i="76"/>
  <c r="T64" i="76" s="1"/>
  <c r="U64" i="76" s="1"/>
  <c r="H63" i="76"/>
  <c r="T63" i="76" s="1"/>
  <c r="U63" i="76" s="1"/>
  <c r="H62" i="76"/>
  <c r="T62" i="76" s="1"/>
  <c r="U62" i="76" s="1"/>
  <c r="H61" i="76"/>
  <c r="T61" i="76" s="1"/>
  <c r="U61" i="76" s="1"/>
  <c r="H60" i="76"/>
  <c r="T60" i="76" s="1"/>
  <c r="U60" i="76" s="1"/>
  <c r="H59" i="76"/>
  <c r="T59" i="76" s="1"/>
  <c r="U59" i="76" s="1"/>
  <c r="H58" i="76"/>
  <c r="T58" i="76" s="1"/>
  <c r="U58" i="76" s="1"/>
  <c r="H65" i="55"/>
  <c r="T65" i="55" s="1"/>
  <c r="U65" i="55" s="1"/>
  <c r="H64" i="55"/>
  <c r="T64" i="55" s="1"/>
  <c r="U64" i="55" s="1"/>
  <c r="H63" i="55"/>
  <c r="T63" i="55" s="1"/>
  <c r="U63" i="55" s="1"/>
  <c r="H62" i="55"/>
  <c r="T62" i="55" s="1"/>
  <c r="U62" i="55" s="1"/>
  <c r="H61" i="55"/>
  <c r="T61" i="55" s="1"/>
  <c r="U61" i="55" s="1"/>
  <c r="H60" i="55"/>
  <c r="T60" i="55" s="1"/>
  <c r="U60" i="55" s="1"/>
  <c r="H59" i="55"/>
  <c r="T59" i="55" s="1"/>
  <c r="U59" i="55" s="1"/>
  <c r="H58" i="55"/>
  <c r="T58" i="55" s="1"/>
  <c r="U58" i="55" s="1"/>
  <c r="H65" i="56"/>
  <c r="T65" i="56" s="1"/>
  <c r="U65" i="56" s="1"/>
  <c r="H64" i="56"/>
  <c r="T64" i="56" s="1"/>
  <c r="U64" i="56" s="1"/>
  <c r="H63" i="56"/>
  <c r="T63" i="56" s="1"/>
  <c r="U63" i="56" s="1"/>
  <c r="H62" i="56"/>
  <c r="T62" i="56" s="1"/>
  <c r="U62" i="56" s="1"/>
  <c r="H61" i="56"/>
  <c r="T61" i="56" s="1"/>
  <c r="U61" i="56" s="1"/>
  <c r="H60" i="56"/>
  <c r="T60" i="56" s="1"/>
  <c r="U60" i="56" s="1"/>
  <c r="H59" i="56"/>
  <c r="T59" i="56" s="1"/>
  <c r="U59" i="56" s="1"/>
  <c r="H58" i="56"/>
  <c r="T58" i="56" s="1"/>
  <c r="U58" i="56" s="1"/>
  <c r="H65" i="57"/>
  <c r="T65" i="57" s="1"/>
  <c r="U65" i="57" s="1"/>
  <c r="H64" i="57"/>
  <c r="T64" i="57" s="1"/>
  <c r="U64" i="57" s="1"/>
  <c r="H63" i="57"/>
  <c r="T63" i="57" s="1"/>
  <c r="U63" i="57" s="1"/>
  <c r="H62" i="57"/>
  <c r="T62" i="57" s="1"/>
  <c r="U62" i="57" s="1"/>
  <c r="H61" i="57"/>
  <c r="T61" i="57" s="1"/>
  <c r="U61" i="57" s="1"/>
  <c r="H60" i="57"/>
  <c r="T60" i="57" s="1"/>
  <c r="U60" i="57" s="1"/>
  <c r="H59" i="57"/>
  <c r="T59" i="57" s="1"/>
  <c r="U59" i="57" s="1"/>
  <c r="H58" i="57"/>
  <c r="T58" i="57" s="1"/>
  <c r="U58" i="57" s="1"/>
  <c r="H65" i="58"/>
  <c r="T65" i="58" s="1"/>
  <c r="U65" i="58" s="1"/>
  <c r="H64" i="58"/>
  <c r="T64" i="58" s="1"/>
  <c r="U64" i="58" s="1"/>
  <c r="H63" i="58"/>
  <c r="T63" i="58" s="1"/>
  <c r="U63" i="58" s="1"/>
  <c r="H62" i="58"/>
  <c r="T62" i="58" s="1"/>
  <c r="U62" i="58" s="1"/>
  <c r="H61" i="58"/>
  <c r="T61" i="58" s="1"/>
  <c r="U61" i="58" s="1"/>
  <c r="H60" i="58"/>
  <c r="T60" i="58" s="1"/>
  <c r="U60" i="58" s="1"/>
  <c r="H59" i="58"/>
  <c r="T59" i="58" s="1"/>
  <c r="U59" i="58" s="1"/>
  <c r="H58" i="58"/>
  <c r="T58" i="58" s="1"/>
  <c r="U58" i="58" s="1"/>
  <c r="H65" i="66"/>
  <c r="T65" i="66" s="1"/>
  <c r="U65" i="66" s="1"/>
  <c r="H64" i="66"/>
  <c r="T64" i="66" s="1"/>
  <c r="U64" i="66" s="1"/>
  <c r="H63" i="66"/>
  <c r="T63" i="66" s="1"/>
  <c r="U63" i="66" s="1"/>
  <c r="H62" i="66"/>
  <c r="T62" i="66" s="1"/>
  <c r="U62" i="66" s="1"/>
  <c r="H61" i="66"/>
  <c r="T61" i="66" s="1"/>
  <c r="U61" i="66" s="1"/>
  <c r="H60" i="66"/>
  <c r="T60" i="66" s="1"/>
  <c r="U60" i="66" s="1"/>
  <c r="H59" i="66"/>
  <c r="T59" i="66" s="1"/>
  <c r="U59" i="66" s="1"/>
  <c r="H58" i="66"/>
  <c r="T58" i="66" s="1"/>
  <c r="U58" i="66" s="1"/>
  <c r="H65" i="67"/>
  <c r="T65" i="67" s="1"/>
  <c r="U65" i="67" s="1"/>
  <c r="H64" i="67"/>
  <c r="T64" i="67" s="1"/>
  <c r="U64" i="67" s="1"/>
  <c r="H63" i="67"/>
  <c r="T63" i="67" s="1"/>
  <c r="U63" i="67" s="1"/>
  <c r="H62" i="67"/>
  <c r="T62" i="67" s="1"/>
  <c r="U62" i="67" s="1"/>
  <c r="H61" i="67"/>
  <c r="T61" i="67" s="1"/>
  <c r="U61" i="67" s="1"/>
  <c r="H60" i="67"/>
  <c r="T60" i="67" s="1"/>
  <c r="U60" i="67" s="1"/>
  <c r="H59" i="67"/>
  <c r="T59" i="67" s="1"/>
  <c r="U59" i="67" s="1"/>
  <c r="H58" i="67"/>
  <c r="T58" i="67" s="1"/>
  <c r="U58" i="67" s="1"/>
  <c r="H65" i="69"/>
  <c r="T65" i="69" s="1"/>
  <c r="U65" i="69" s="1"/>
  <c r="H64" i="69"/>
  <c r="T64" i="69" s="1"/>
  <c r="U64" i="69" s="1"/>
  <c r="H63" i="69"/>
  <c r="T63" i="69" s="1"/>
  <c r="U63" i="69" s="1"/>
  <c r="H62" i="69"/>
  <c r="T62" i="69" s="1"/>
  <c r="U62" i="69" s="1"/>
  <c r="H61" i="69"/>
  <c r="T61" i="69" s="1"/>
  <c r="U61" i="69" s="1"/>
  <c r="H60" i="69"/>
  <c r="T60" i="69" s="1"/>
  <c r="U60" i="69" s="1"/>
  <c r="H59" i="69"/>
  <c r="T59" i="69" s="1"/>
  <c r="U59" i="69" s="1"/>
  <c r="H58" i="69"/>
  <c r="T58" i="69" s="1"/>
  <c r="U58" i="69" s="1"/>
  <c r="H65" i="70"/>
  <c r="T65" i="70" s="1"/>
  <c r="U65" i="70" s="1"/>
  <c r="H64" i="70"/>
  <c r="T64" i="70" s="1"/>
  <c r="U64" i="70" s="1"/>
  <c r="H63" i="70"/>
  <c r="T63" i="70" s="1"/>
  <c r="U63" i="70" s="1"/>
  <c r="H62" i="70"/>
  <c r="T62" i="70" s="1"/>
  <c r="U62" i="70" s="1"/>
  <c r="H61" i="70"/>
  <c r="T61" i="70" s="1"/>
  <c r="U61" i="70" s="1"/>
  <c r="H60" i="70"/>
  <c r="T60" i="70" s="1"/>
  <c r="U60" i="70" s="1"/>
  <c r="H59" i="70"/>
  <c r="T59" i="70" s="1"/>
  <c r="U59" i="70" s="1"/>
  <c r="H58" i="70"/>
  <c r="T58" i="70" s="1"/>
  <c r="U58" i="70" s="1"/>
  <c r="H65" i="71"/>
  <c r="T65" i="71" s="1"/>
  <c r="U65" i="71" s="1"/>
  <c r="H64" i="71"/>
  <c r="T64" i="71" s="1"/>
  <c r="U64" i="71" s="1"/>
  <c r="H63" i="71"/>
  <c r="T63" i="71" s="1"/>
  <c r="U63" i="71" s="1"/>
  <c r="H62" i="71"/>
  <c r="T62" i="71" s="1"/>
  <c r="U62" i="71" s="1"/>
  <c r="H61" i="71"/>
  <c r="T61" i="71" s="1"/>
  <c r="U61" i="71" s="1"/>
  <c r="H60" i="71"/>
  <c r="T60" i="71" s="1"/>
  <c r="U60" i="71" s="1"/>
  <c r="H59" i="71"/>
  <c r="T59" i="71" s="1"/>
  <c r="U59" i="71" s="1"/>
  <c r="H58" i="71"/>
  <c r="T58" i="71" s="1"/>
  <c r="U58" i="71" s="1"/>
  <c r="H65" i="68"/>
  <c r="T65" i="68" s="1"/>
  <c r="U65" i="68" s="1"/>
  <c r="H64" i="68"/>
  <c r="T64" i="68" s="1"/>
  <c r="U64" i="68" s="1"/>
  <c r="H63" i="68"/>
  <c r="T63" i="68" s="1"/>
  <c r="U63" i="68" s="1"/>
  <c r="H62" i="68"/>
  <c r="T62" i="68" s="1"/>
  <c r="U62" i="68" s="1"/>
  <c r="H61" i="68"/>
  <c r="T61" i="68" s="1"/>
  <c r="U61" i="68" s="1"/>
  <c r="H60" i="68"/>
  <c r="T60" i="68" s="1"/>
  <c r="U60" i="68" s="1"/>
  <c r="H59" i="68"/>
  <c r="T59" i="68" s="1"/>
  <c r="U59" i="68" s="1"/>
  <c r="H58" i="68"/>
  <c r="T58" i="68" s="1"/>
  <c r="U58" i="68" s="1"/>
  <c r="H65" i="77"/>
  <c r="T65" i="77" s="1"/>
  <c r="U65" i="77" s="1"/>
  <c r="H64" i="77"/>
  <c r="T64" i="77" s="1"/>
  <c r="U64" i="77" s="1"/>
  <c r="H63" i="77"/>
  <c r="T63" i="77" s="1"/>
  <c r="U63" i="77" s="1"/>
  <c r="H62" i="77"/>
  <c r="T62" i="77" s="1"/>
  <c r="U62" i="77" s="1"/>
  <c r="H61" i="77"/>
  <c r="T61" i="77" s="1"/>
  <c r="U61" i="77" s="1"/>
  <c r="H60" i="77"/>
  <c r="T60" i="77" s="1"/>
  <c r="U60" i="77" s="1"/>
  <c r="H59" i="77"/>
  <c r="T59" i="77" s="1"/>
  <c r="U59" i="77" s="1"/>
  <c r="H58" i="77"/>
  <c r="T58" i="77" s="1"/>
  <c r="U58" i="77" s="1"/>
  <c r="H65" i="78"/>
  <c r="T65" i="78" s="1"/>
  <c r="U65" i="78" s="1"/>
  <c r="H64" i="78"/>
  <c r="T64" i="78" s="1"/>
  <c r="U64" i="78" s="1"/>
  <c r="H63" i="78"/>
  <c r="T63" i="78" s="1"/>
  <c r="U63" i="78" s="1"/>
  <c r="H62" i="78"/>
  <c r="T62" i="78" s="1"/>
  <c r="U62" i="78" s="1"/>
  <c r="H61" i="78"/>
  <c r="T61" i="78" s="1"/>
  <c r="U61" i="78" s="1"/>
  <c r="H60" i="78"/>
  <c r="T60" i="78" s="1"/>
  <c r="U60" i="78" s="1"/>
  <c r="H59" i="78"/>
  <c r="T59" i="78" s="1"/>
  <c r="U59" i="78" s="1"/>
  <c r="H58" i="78"/>
  <c r="T58" i="78" s="1"/>
  <c r="U58" i="78" s="1"/>
  <c r="H65" i="30"/>
  <c r="T65" i="30" s="1"/>
  <c r="U65" i="30" s="1"/>
  <c r="H64" i="30"/>
  <c r="T64" i="30" s="1"/>
  <c r="U64" i="30" s="1"/>
  <c r="H63" i="30"/>
  <c r="T63" i="30" s="1"/>
  <c r="U63" i="30" s="1"/>
  <c r="H62" i="30"/>
  <c r="T62" i="30" s="1"/>
  <c r="U62" i="30" s="1"/>
  <c r="H61" i="30"/>
  <c r="T61" i="30" s="1"/>
  <c r="U61" i="30" s="1"/>
  <c r="H60" i="30"/>
  <c r="T60" i="30" s="1"/>
  <c r="U60" i="30" s="1"/>
  <c r="H59" i="30"/>
  <c r="T59" i="30" s="1"/>
  <c r="U59" i="30" s="1"/>
  <c r="H58" i="30"/>
  <c r="T58" i="30" s="1"/>
  <c r="U58" i="30" s="1"/>
  <c r="H57" i="16"/>
  <c r="T57" i="16" s="1"/>
  <c r="U57" i="16" s="1"/>
  <c r="H57" i="17"/>
  <c r="T57" i="17" s="1"/>
  <c r="U57" i="17" s="1"/>
  <c r="H57" i="18"/>
  <c r="T57" i="18" s="1"/>
  <c r="U57" i="18" s="1"/>
  <c r="H57" i="20"/>
  <c r="T57" i="20" s="1"/>
  <c r="U57" i="20" s="1"/>
  <c r="H57" i="21"/>
  <c r="T57" i="21" s="1"/>
  <c r="U57" i="21" s="1"/>
  <c r="H57" i="25"/>
  <c r="T57" i="25" s="1"/>
  <c r="U57" i="25" s="1"/>
  <c r="H57" i="24"/>
  <c r="T57" i="24" s="1"/>
  <c r="U57" i="24" s="1"/>
  <c r="H57" i="22"/>
  <c r="T57" i="22" s="1"/>
  <c r="H57" i="26"/>
  <c r="T57" i="26" s="1"/>
  <c r="U57" i="26" s="1"/>
  <c r="H57" i="27"/>
  <c r="T57" i="27" s="1"/>
  <c r="H57" i="28"/>
  <c r="T57" i="28" s="1"/>
  <c r="U57" i="28" s="1"/>
  <c r="H57" i="31"/>
  <c r="T57" i="31" s="1"/>
  <c r="U57" i="31" s="1"/>
  <c r="H57" i="32"/>
  <c r="T57" i="32" s="1"/>
  <c r="U57" i="32" s="1"/>
  <c r="H57" i="33"/>
  <c r="T57" i="33" s="1"/>
  <c r="U57" i="33" s="1"/>
  <c r="H57" i="34"/>
  <c r="T57" i="34" s="1"/>
  <c r="U57" i="34" s="1"/>
  <c r="H57" i="35"/>
  <c r="T57" i="35" s="1"/>
  <c r="U57" i="35" s="1"/>
  <c r="H57" i="23"/>
  <c r="T57" i="23" s="1"/>
  <c r="U57" i="23" s="1"/>
  <c r="H57" i="36"/>
  <c r="T57" i="36" s="1"/>
  <c r="U57" i="36" s="1"/>
  <c r="H57" i="37"/>
  <c r="T57" i="37" s="1"/>
  <c r="U57" i="37" s="1"/>
  <c r="H57" i="38"/>
  <c r="T57" i="38" s="1"/>
  <c r="H57" i="39"/>
  <c r="T57" i="39" s="1"/>
  <c r="U57" i="39" s="1"/>
  <c r="H57" i="40"/>
  <c r="T57" i="40" s="1"/>
  <c r="U57" i="40" s="1"/>
  <c r="H57" i="42"/>
  <c r="T57" i="42" s="1"/>
  <c r="U57" i="42" s="1"/>
  <c r="H57" i="43"/>
  <c r="T57" i="43" s="1"/>
  <c r="U57" i="43" s="1"/>
  <c r="H57" i="44"/>
  <c r="T57" i="44" s="1"/>
  <c r="U57" i="44" s="1"/>
  <c r="H57" i="45"/>
  <c r="T57" i="45" s="1"/>
  <c r="U57" i="45" s="1"/>
  <c r="H57" i="47"/>
  <c r="T57" i="47" s="1"/>
  <c r="U57" i="47" s="1"/>
  <c r="H57" i="48"/>
  <c r="T57" i="48" s="1"/>
  <c r="U57" i="48" s="1"/>
  <c r="H57" i="50"/>
  <c r="T57" i="50" s="1"/>
  <c r="U57" i="50" s="1"/>
  <c r="H57" i="51"/>
  <c r="T57" i="51" s="1"/>
  <c r="U57" i="51" s="1"/>
  <c r="H57" i="52"/>
  <c r="T57" i="52" s="1"/>
  <c r="U57" i="52" s="1"/>
  <c r="H57" i="75"/>
  <c r="T57" i="75" s="1"/>
  <c r="U57" i="75" s="1"/>
  <c r="H57" i="76"/>
  <c r="T57" i="76" s="1"/>
  <c r="U57" i="76" s="1"/>
  <c r="H57" i="55"/>
  <c r="T57" i="55" s="1"/>
  <c r="U57" i="55" s="1"/>
  <c r="H57" i="56"/>
  <c r="T57" i="56" s="1"/>
  <c r="U57" i="56" s="1"/>
  <c r="H57" i="57"/>
  <c r="T57" i="57" s="1"/>
  <c r="U57" i="57" s="1"/>
  <c r="H57" i="58"/>
  <c r="T57" i="58" s="1"/>
  <c r="U57" i="58" s="1"/>
  <c r="H57" i="66"/>
  <c r="T57" i="66" s="1"/>
  <c r="U57" i="66" s="1"/>
  <c r="H57" i="67"/>
  <c r="T57" i="67" s="1"/>
  <c r="U57" i="67" s="1"/>
  <c r="H57" i="69"/>
  <c r="T57" i="69" s="1"/>
  <c r="U57" i="69" s="1"/>
  <c r="H57" i="70"/>
  <c r="T57" i="70" s="1"/>
  <c r="U57" i="70" s="1"/>
  <c r="H57" i="71"/>
  <c r="T57" i="71" s="1"/>
  <c r="U57" i="71" s="1"/>
  <c r="H57" i="68"/>
  <c r="T57" i="68" s="1"/>
  <c r="U57" i="68" s="1"/>
  <c r="H57" i="77"/>
  <c r="T57" i="77" s="1"/>
  <c r="U57" i="77" s="1"/>
  <c r="H57" i="78"/>
  <c r="T57" i="78" s="1"/>
  <c r="U57" i="78" s="1"/>
  <c r="H57" i="30"/>
  <c r="T57" i="30" s="1"/>
  <c r="U57" i="30" s="1"/>
  <c r="D66" i="16"/>
  <c r="C66" i="16"/>
  <c r="E62" i="16"/>
  <c r="E61" i="16"/>
  <c r="E60" i="16"/>
  <c r="E59" i="16"/>
  <c r="E58" i="16"/>
  <c r="E57" i="16"/>
  <c r="D66" i="17"/>
  <c r="E63" i="17" s="1"/>
  <c r="C66" i="17"/>
  <c r="E62" i="17"/>
  <c r="E61" i="17"/>
  <c r="E60" i="17"/>
  <c r="E59" i="17"/>
  <c r="E58" i="17"/>
  <c r="E57" i="17"/>
  <c r="D66" i="18"/>
  <c r="C66" i="18"/>
  <c r="E62" i="18"/>
  <c r="E61" i="18"/>
  <c r="E60" i="18"/>
  <c r="E58" i="18"/>
  <c r="E57" i="18"/>
  <c r="D66" i="20"/>
  <c r="C66" i="20"/>
  <c r="E65" i="20"/>
  <c r="E64" i="20"/>
  <c r="E63" i="20"/>
  <c r="E58" i="20"/>
  <c r="E57" i="20"/>
  <c r="D66" i="21"/>
  <c r="C66" i="21"/>
  <c r="E65" i="21"/>
  <c r="E64" i="21"/>
  <c r="E63" i="21"/>
  <c r="E62" i="21"/>
  <c r="D66" i="25"/>
  <c r="C66" i="25"/>
  <c r="C66" i="24"/>
  <c r="I61" i="24"/>
  <c r="I60" i="24"/>
  <c r="I58" i="24"/>
  <c r="D66" i="22"/>
  <c r="C66" i="22"/>
  <c r="D66" i="26"/>
  <c r="C66" i="26"/>
  <c r="D66" i="27"/>
  <c r="C66" i="27"/>
  <c r="D66" i="28"/>
  <c r="C66" i="28"/>
  <c r="D66" i="31"/>
  <c r="E61" i="31" s="1"/>
  <c r="C66" i="31"/>
  <c r="D66" i="32"/>
  <c r="C66" i="32"/>
  <c r="D66" i="33"/>
  <c r="C66" i="33"/>
  <c r="D66" i="34"/>
  <c r="C66" i="34"/>
  <c r="D66" i="35"/>
  <c r="C66" i="35"/>
  <c r="D66" i="23"/>
  <c r="C66" i="23"/>
  <c r="D66" i="36"/>
  <c r="C66" i="36"/>
  <c r="D66" i="37"/>
  <c r="C66" i="37"/>
  <c r="D66" i="38"/>
  <c r="C66" i="38"/>
  <c r="D66" i="39"/>
  <c r="C66" i="39"/>
  <c r="D66" i="40"/>
  <c r="C66" i="40"/>
  <c r="D66" i="42"/>
  <c r="C66" i="42"/>
  <c r="D66" i="43"/>
  <c r="C66" i="43"/>
  <c r="D66" i="44"/>
  <c r="C66" i="44"/>
  <c r="D66" i="45"/>
  <c r="C66" i="45"/>
  <c r="D66" i="47"/>
  <c r="C66" i="47"/>
  <c r="D66" i="48"/>
  <c r="D66" i="50"/>
  <c r="C66" i="50"/>
  <c r="E65" i="50"/>
  <c r="E64" i="50"/>
  <c r="E63" i="50"/>
  <c r="E59" i="50"/>
  <c r="E58" i="50"/>
  <c r="E57" i="50"/>
  <c r="D66" i="51"/>
  <c r="C66" i="51"/>
  <c r="D66" i="52"/>
  <c r="C66" i="52"/>
  <c r="D66" i="75"/>
  <c r="E57" i="75" s="1"/>
  <c r="C66" i="75"/>
  <c r="D66" i="76"/>
  <c r="C66" i="76"/>
  <c r="D66" i="55"/>
  <c r="C66" i="55"/>
  <c r="D66" i="56"/>
  <c r="C66" i="56"/>
  <c r="D66" i="57"/>
  <c r="E62" i="57" s="1"/>
  <c r="C66" i="57"/>
  <c r="D66" i="58"/>
  <c r="C66" i="58"/>
  <c r="D66" i="66"/>
  <c r="C66" i="66"/>
  <c r="D66" i="67"/>
  <c r="C66" i="67"/>
  <c r="D66" i="69"/>
  <c r="C66" i="69"/>
  <c r="D66" i="70"/>
  <c r="C66" i="70"/>
  <c r="D66" i="71"/>
  <c r="C66" i="71"/>
  <c r="D66" i="68"/>
  <c r="C66" i="68"/>
  <c r="D66" i="77"/>
  <c r="C66" i="77"/>
  <c r="D66" i="78"/>
  <c r="C66" i="78"/>
  <c r="D66" i="30"/>
  <c r="C66" i="30"/>
  <c r="D66" i="7"/>
  <c r="C66" i="7"/>
  <c r="E62" i="7"/>
  <c r="E61" i="7"/>
  <c r="E60" i="7"/>
  <c r="E59" i="7"/>
  <c r="E58" i="7"/>
  <c r="E57" i="7"/>
  <c r="D54" i="16"/>
  <c r="C54" i="16"/>
  <c r="D54" i="17"/>
  <c r="C54" i="17"/>
  <c r="D54" i="18"/>
  <c r="C54" i="18"/>
  <c r="D54" i="20"/>
  <c r="C54" i="20"/>
  <c r="D54" i="21"/>
  <c r="C54" i="21"/>
  <c r="D54" i="25"/>
  <c r="C54" i="25"/>
  <c r="D54" i="24"/>
  <c r="C54" i="24"/>
  <c r="D54" i="22"/>
  <c r="C54" i="22"/>
  <c r="D54" i="26"/>
  <c r="C54" i="26"/>
  <c r="D54" i="27"/>
  <c r="C54" i="27"/>
  <c r="D54" i="28"/>
  <c r="C54" i="28"/>
  <c r="D54" i="31"/>
  <c r="C54" i="31"/>
  <c r="D54" i="32"/>
  <c r="C54" i="32"/>
  <c r="D54" i="33"/>
  <c r="C54" i="33"/>
  <c r="D54" i="34"/>
  <c r="C54" i="34"/>
  <c r="D54" i="35"/>
  <c r="C54" i="35"/>
  <c r="D54" i="23"/>
  <c r="C54" i="23"/>
  <c r="D54" i="36"/>
  <c r="C54" i="36"/>
  <c r="D54" i="37"/>
  <c r="C54" i="37"/>
  <c r="D54" i="38"/>
  <c r="C54" i="38"/>
  <c r="D54" i="39"/>
  <c r="C54" i="39"/>
  <c r="D54" i="40"/>
  <c r="C54" i="40"/>
  <c r="D54" i="42"/>
  <c r="C54" i="42"/>
  <c r="D54" i="43"/>
  <c r="C54" i="43"/>
  <c r="D54" i="44"/>
  <c r="C54" i="44"/>
  <c r="D54" i="45"/>
  <c r="C54" i="45"/>
  <c r="D54" i="47"/>
  <c r="C54" i="47"/>
  <c r="D54" i="48"/>
  <c r="C54" i="48"/>
  <c r="D54" i="50"/>
  <c r="C54" i="50"/>
  <c r="D54" i="51"/>
  <c r="C54" i="51"/>
  <c r="D54" i="52"/>
  <c r="C54" i="52"/>
  <c r="D54" i="75"/>
  <c r="C54" i="75"/>
  <c r="D54" i="76"/>
  <c r="C54" i="76"/>
  <c r="D54" i="55"/>
  <c r="C54" i="55"/>
  <c r="D54" i="56"/>
  <c r="C54" i="56"/>
  <c r="D54" i="57"/>
  <c r="C54" i="57"/>
  <c r="D54" i="58"/>
  <c r="C54" i="58"/>
  <c r="D54" i="66"/>
  <c r="C54" i="66"/>
  <c r="D54" i="67"/>
  <c r="C54" i="67"/>
  <c r="D54" i="69"/>
  <c r="C54" i="69"/>
  <c r="D54" i="70"/>
  <c r="C54" i="70"/>
  <c r="D54" i="71"/>
  <c r="C54" i="71"/>
  <c r="D54" i="68"/>
  <c r="C54" i="68"/>
  <c r="D54" i="77"/>
  <c r="C54" i="77"/>
  <c r="D54" i="78"/>
  <c r="C54" i="78"/>
  <c r="D54" i="30"/>
  <c r="C54" i="30"/>
  <c r="D56" i="16"/>
  <c r="C56" i="16"/>
  <c r="D55" i="16"/>
  <c r="C55" i="16"/>
  <c r="D56" i="17"/>
  <c r="C56" i="17"/>
  <c r="D55" i="17"/>
  <c r="C55" i="17"/>
  <c r="D56" i="18"/>
  <c r="C56" i="18"/>
  <c r="D55" i="18"/>
  <c r="C55" i="18"/>
  <c r="D56" i="20"/>
  <c r="C56" i="20"/>
  <c r="D55" i="20"/>
  <c r="C55" i="20"/>
  <c r="D56" i="21"/>
  <c r="C56" i="21"/>
  <c r="D55" i="21"/>
  <c r="C55" i="21"/>
  <c r="D56" i="25"/>
  <c r="C56" i="25"/>
  <c r="D55" i="25"/>
  <c r="C55" i="25"/>
  <c r="D56" i="24"/>
  <c r="C56" i="24"/>
  <c r="D55" i="24"/>
  <c r="C55" i="24"/>
  <c r="D56" i="22"/>
  <c r="C56" i="22"/>
  <c r="D55" i="22"/>
  <c r="C55" i="22"/>
  <c r="D56" i="26"/>
  <c r="C56" i="26"/>
  <c r="D55" i="26"/>
  <c r="C55" i="26"/>
  <c r="D56" i="27"/>
  <c r="C56" i="27"/>
  <c r="D55" i="27"/>
  <c r="C55" i="27"/>
  <c r="D56" i="28"/>
  <c r="C56" i="28"/>
  <c r="D55" i="28"/>
  <c r="C55" i="28"/>
  <c r="D56" i="31"/>
  <c r="C56" i="31"/>
  <c r="D55" i="31"/>
  <c r="C55" i="31"/>
  <c r="D56" i="32"/>
  <c r="C56" i="32"/>
  <c r="D55" i="32"/>
  <c r="C55" i="32"/>
  <c r="D56" i="33"/>
  <c r="C56" i="33"/>
  <c r="D55" i="33"/>
  <c r="C55" i="33"/>
  <c r="D56" i="34"/>
  <c r="C56" i="34"/>
  <c r="D55" i="34"/>
  <c r="C55" i="34"/>
  <c r="D56" i="35"/>
  <c r="C56" i="35"/>
  <c r="D55" i="35"/>
  <c r="C55" i="35"/>
  <c r="D56" i="23"/>
  <c r="C56" i="23"/>
  <c r="D55" i="23"/>
  <c r="C55" i="23"/>
  <c r="D56" i="36"/>
  <c r="C56" i="36"/>
  <c r="D55" i="36"/>
  <c r="C55" i="36"/>
  <c r="D56" i="37"/>
  <c r="C56" i="37"/>
  <c r="D55" i="37"/>
  <c r="C55" i="37"/>
  <c r="D56" i="38"/>
  <c r="C56" i="38"/>
  <c r="D55" i="38"/>
  <c r="C55" i="38"/>
  <c r="D56" i="39"/>
  <c r="C56" i="39"/>
  <c r="D55" i="39"/>
  <c r="C55" i="39"/>
  <c r="D56" i="40"/>
  <c r="C56" i="40"/>
  <c r="D55" i="40"/>
  <c r="C55" i="40"/>
  <c r="D56" i="42"/>
  <c r="C56" i="42"/>
  <c r="D55" i="42"/>
  <c r="C55" i="42"/>
  <c r="D56" i="43"/>
  <c r="C56" i="43"/>
  <c r="D55" i="43"/>
  <c r="C55" i="43"/>
  <c r="D56" i="44"/>
  <c r="C56" i="44"/>
  <c r="D55" i="44"/>
  <c r="C55" i="44"/>
  <c r="D56" i="45"/>
  <c r="C56" i="45"/>
  <c r="D55" i="45"/>
  <c r="C55" i="45"/>
  <c r="D56" i="47"/>
  <c r="C56" i="47"/>
  <c r="D55" i="47"/>
  <c r="C55" i="47"/>
  <c r="D56" i="48"/>
  <c r="C56" i="48"/>
  <c r="D55" i="48"/>
  <c r="C55" i="48"/>
  <c r="D56" i="50"/>
  <c r="C56" i="50"/>
  <c r="D55" i="50"/>
  <c r="C55" i="50"/>
  <c r="D56" i="51"/>
  <c r="C56" i="51"/>
  <c r="D55" i="51"/>
  <c r="C55" i="51"/>
  <c r="D56" i="52"/>
  <c r="C56" i="52"/>
  <c r="D55" i="52"/>
  <c r="C55" i="52"/>
  <c r="D56" i="75"/>
  <c r="C56" i="75"/>
  <c r="D55" i="75"/>
  <c r="C55" i="75"/>
  <c r="D56" i="76"/>
  <c r="C56" i="76"/>
  <c r="D55" i="76"/>
  <c r="C55" i="76"/>
  <c r="D56" i="55"/>
  <c r="C56" i="55"/>
  <c r="D55" i="55"/>
  <c r="C55" i="55"/>
  <c r="D56" i="56"/>
  <c r="C56" i="56"/>
  <c r="D55" i="56"/>
  <c r="C55" i="56"/>
  <c r="D56" i="57"/>
  <c r="C56" i="57"/>
  <c r="D55" i="57"/>
  <c r="C55" i="57"/>
  <c r="D56" i="58"/>
  <c r="C56" i="58"/>
  <c r="D55" i="58"/>
  <c r="C55" i="58"/>
  <c r="D56" i="66"/>
  <c r="C56" i="66"/>
  <c r="D55" i="66"/>
  <c r="C55" i="66"/>
  <c r="D56" i="67"/>
  <c r="C56" i="67"/>
  <c r="D55" i="67"/>
  <c r="C55" i="67"/>
  <c r="D56" i="69"/>
  <c r="C56" i="69"/>
  <c r="D55" i="69"/>
  <c r="C55" i="69"/>
  <c r="D56" i="70"/>
  <c r="C56" i="70"/>
  <c r="D55" i="70"/>
  <c r="C55" i="70"/>
  <c r="D56" i="71"/>
  <c r="C56" i="71"/>
  <c r="D55" i="71"/>
  <c r="C55" i="71"/>
  <c r="D56" i="68"/>
  <c r="C56" i="68"/>
  <c r="D55" i="68"/>
  <c r="C55" i="68"/>
  <c r="D56" i="77"/>
  <c r="C56" i="77"/>
  <c r="D55" i="77"/>
  <c r="C55" i="77"/>
  <c r="D56" i="78"/>
  <c r="C56" i="78"/>
  <c r="D55" i="78"/>
  <c r="C55" i="78"/>
  <c r="D56" i="30"/>
  <c r="C56" i="30"/>
  <c r="D55" i="30"/>
  <c r="C55" i="30"/>
  <c r="D12" i="16"/>
  <c r="D11" i="16"/>
  <c r="D10" i="16"/>
  <c r="D12" i="17"/>
  <c r="D11" i="17"/>
  <c r="D10" i="17"/>
  <c r="D12" i="18"/>
  <c r="D11" i="18"/>
  <c r="D10" i="18"/>
  <c r="D12" i="20"/>
  <c r="D11" i="20"/>
  <c r="D10" i="20"/>
  <c r="D12" i="21"/>
  <c r="D11" i="21"/>
  <c r="D10" i="21"/>
  <c r="D12" i="25"/>
  <c r="D11" i="25"/>
  <c r="D10" i="25"/>
  <c r="D12" i="24"/>
  <c r="D11" i="24"/>
  <c r="D10" i="24"/>
  <c r="D12" i="22"/>
  <c r="D11" i="22"/>
  <c r="D10" i="22"/>
  <c r="D12" i="26"/>
  <c r="D11" i="26"/>
  <c r="D10" i="26"/>
  <c r="D12" i="27"/>
  <c r="D11" i="27"/>
  <c r="D10" i="27"/>
  <c r="D12" i="28"/>
  <c r="D11" i="28"/>
  <c r="D10" i="28"/>
  <c r="D12" i="31"/>
  <c r="D11" i="31"/>
  <c r="D10" i="31"/>
  <c r="D12" i="32"/>
  <c r="D11" i="32"/>
  <c r="D10" i="32"/>
  <c r="D12" i="33"/>
  <c r="D11" i="33"/>
  <c r="D10" i="33"/>
  <c r="D12" i="34"/>
  <c r="D11" i="34"/>
  <c r="D10" i="34"/>
  <c r="D12" i="35"/>
  <c r="D11" i="35"/>
  <c r="D10" i="35"/>
  <c r="D12" i="23"/>
  <c r="D11" i="23"/>
  <c r="D10" i="23"/>
  <c r="D12" i="36"/>
  <c r="D11" i="36"/>
  <c r="D10" i="36"/>
  <c r="D12" i="37"/>
  <c r="D11" i="37"/>
  <c r="D10" i="37"/>
  <c r="D12" i="38"/>
  <c r="D11" i="38"/>
  <c r="D10" i="38"/>
  <c r="D12" i="39"/>
  <c r="D11" i="39"/>
  <c r="D10" i="39"/>
  <c r="D12" i="40"/>
  <c r="D11" i="40"/>
  <c r="D10" i="40"/>
  <c r="D12" i="42"/>
  <c r="D11" i="42"/>
  <c r="D10" i="42"/>
  <c r="D12" i="43"/>
  <c r="D11" i="43"/>
  <c r="D10" i="43"/>
  <c r="D12" i="44"/>
  <c r="D11" i="44"/>
  <c r="D10" i="44"/>
  <c r="D12" i="45"/>
  <c r="D11" i="45"/>
  <c r="D10" i="45"/>
  <c r="D12" i="47"/>
  <c r="D11" i="47"/>
  <c r="D10" i="47"/>
  <c r="D12" i="48"/>
  <c r="D11" i="48"/>
  <c r="D10" i="48"/>
  <c r="D12" i="50"/>
  <c r="D11" i="50"/>
  <c r="D10" i="50"/>
  <c r="D12" i="51"/>
  <c r="D11" i="51"/>
  <c r="D10" i="51"/>
  <c r="D12" i="52"/>
  <c r="D11" i="52"/>
  <c r="D10" i="52"/>
  <c r="D12" i="75"/>
  <c r="D11" i="75"/>
  <c r="D10" i="75"/>
  <c r="D12" i="76"/>
  <c r="D11" i="76"/>
  <c r="D10" i="76"/>
  <c r="D12" i="55"/>
  <c r="D11" i="55"/>
  <c r="D10" i="55"/>
  <c r="D12" i="56"/>
  <c r="D11" i="56"/>
  <c r="D10" i="56"/>
  <c r="D12" i="57"/>
  <c r="D11" i="57"/>
  <c r="D10" i="57"/>
  <c r="D12" i="58"/>
  <c r="D11" i="58"/>
  <c r="D10" i="58"/>
  <c r="D12" i="66"/>
  <c r="D11" i="66"/>
  <c r="D10" i="66"/>
  <c r="D12" i="67"/>
  <c r="D11" i="67"/>
  <c r="D10" i="67"/>
  <c r="D12" i="69"/>
  <c r="D11" i="69"/>
  <c r="D10" i="69"/>
  <c r="D12" i="70"/>
  <c r="D11" i="70"/>
  <c r="D10" i="70"/>
  <c r="D12" i="71"/>
  <c r="D11" i="71"/>
  <c r="D11" i="68" s="1"/>
  <c r="D10" i="71"/>
  <c r="D12" i="68"/>
  <c r="D10" i="68"/>
  <c r="D12" i="77"/>
  <c r="D11" i="77"/>
  <c r="D10" i="77"/>
  <c r="D12" i="78"/>
  <c r="D11" i="78"/>
  <c r="D10" i="78"/>
  <c r="D12" i="30"/>
  <c r="D11" i="30"/>
  <c r="D10" i="30"/>
  <c r="C12" i="16"/>
  <c r="C11" i="16"/>
  <c r="C12" i="17"/>
  <c r="C11" i="17"/>
  <c r="C12" i="18"/>
  <c r="C11" i="18"/>
  <c r="C12" i="20"/>
  <c r="C11" i="20"/>
  <c r="C12" i="21"/>
  <c r="C11" i="21"/>
  <c r="C12" i="25"/>
  <c r="C11" i="25"/>
  <c r="C12" i="24"/>
  <c r="C11" i="24"/>
  <c r="C12" i="22"/>
  <c r="C11" i="22"/>
  <c r="C12" i="26"/>
  <c r="C11" i="26"/>
  <c r="C12" i="27"/>
  <c r="C11" i="27"/>
  <c r="C12" i="28"/>
  <c r="C11" i="28"/>
  <c r="C12" i="31"/>
  <c r="C11" i="31"/>
  <c r="C12" i="32"/>
  <c r="C11" i="32"/>
  <c r="C12" i="33"/>
  <c r="C11" i="33"/>
  <c r="C12" i="34"/>
  <c r="C11" i="34"/>
  <c r="C12" i="35"/>
  <c r="C11" i="35"/>
  <c r="C12" i="23"/>
  <c r="C11" i="23"/>
  <c r="C12" i="36"/>
  <c r="C11" i="36"/>
  <c r="C12" i="37"/>
  <c r="C11" i="37"/>
  <c r="C12" i="38"/>
  <c r="C11" i="38"/>
  <c r="C12" i="39"/>
  <c r="C11" i="39"/>
  <c r="C12" i="40"/>
  <c r="C11" i="40"/>
  <c r="C12" i="42"/>
  <c r="C11" i="42"/>
  <c r="C12" i="43"/>
  <c r="C11" i="43"/>
  <c r="C12" i="44"/>
  <c r="C11" i="44"/>
  <c r="C12" i="45"/>
  <c r="C11" i="45"/>
  <c r="C12" i="47"/>
  <c r="C11" i="47"/>
  <c r="C12" i="48"/>
  <c r="C11" i="48"/>
  <c r="C12" i="50"/>
  <c r="C11" i="50"/>
  <c r="C12" i="51"/>
  <c r="C11" i="51"/>
  <c r="C12" i="52"/>
  <c r="C11" i="52"/>
  <c r="C12" i="75"/>
  <c r="C11" i="75"/>
  <c r="C12" i="76"/>
  <c r="C11" i="76"/>
  <c r="C12" i="55"/>
  <c r="C11" i="55"/>
  <c r="C12" i="56"/>
  <c r="C11" i="56"/>
  <c r="C12" i="57"/>
  <c r="C11" i="57"/>
  <c r="C12" i="58"/>
  <c r="C11" i="58"/>
  <c r="C12" i="66"/>
  <c r="C11" i="66"/>
  <c r="C12" i="67"/>
  <c r="C11" i="67"/>
  <c r="C12" i="69"/>
  <c r="C11" i="69"/>
  <c r="C12" i="70"/>
  <c r="C11" i="70"/>
  <c r="C12" i="71"/>
  <c r="C11" i="71"/>
  <c r="C12" i="68"/>
  <c r="C12" i="77"/>
  <c r="C11" i="77"/>
  <c r="C12" i="78"/>
  <c r="C11" i="78"/>
  <c r="C12" i="30"/>
  <c r="C11" i="30"/>
  <c r="C10" i="16"/>
  <c r="C10" i="17"/>
  <c r="C10" i="18"/>
  <c r="C10" i="20"/>
  <c r="C10" i="21"/>
  <c r="C10" i="25"/>
  <c r="C10" i="24"/>
  <c r="C10" i="22"/>
  <c r="C10" i="26"/>
  <c r="C10" i="27"/>
  <c r="C10" i="28"/>
  <c r="C10" i="31"/>
  <c r="C10" i="32"/>
  <c r="C10" i="33"/>
  <c r="C10" i="34"/>
  <c r="C10" i="35"/>
  <c r="C10" i="23"/>
  <c r="C10" i="36"/>
  <c r="C10" i="37"/>
  <c r="C10" i="38"/>
  <c r="C10" i="39"/>
  <c r="C10" i="40"/>
  <c r="C10" i="42"/>
  <c r="C10" i="43"/>
  <c r="C10" i="44"/>
  <c r="C10" i="45"/>
  <c r="C10" i="47"/>
  <c r="C10" i="48"/>
  <c r="C10" i="50"/>
  <c r="C10" i="51"/>
  <c r="C10" i="52"/>
  <c r="C10" i="75"/>
  <c r="C10" i="76"/>
  <c r="C10" i="55"/>
  <c r="C10" i="56"/>
  <c r="C10" i="57"/>
  <c r="C10" i="58"/>
  <c r="C10" i="66"/>
  <c r="C10" i="67"/>
  <c r="C10" i="69"/>
  <c r="C10" i="70"/>
  <c r="C10" i="71"/>
  <c r="C10" i="68"/>
  <c r="C10" i="77"/>
  <c r="C10" i="78"/>
  <c r="C10" i="30"/>
  <c r="E65" i="18" l="1"/>
  <c r="E64" i="18"/>
  <c r="E63" i="18"/>
  <c r="E62" i="50"/>
  <c r="E61" i="50"/>
  <c r="E60" i="50"/>
  <c r="E61" i="20"/>
  <c r="I61" i="20" s="1"/>
  <c r="E60" i="20"/>
  <c r="I60" i="20" s="1"/>
  <c r="E59" i="20"/>
  <c r="E66" i="20" s="1"/>
  <c r="E62" i="20"/>
  <c r="I62" i="20" s="1"/>
  <c r="I58" i="17"/>
  <c r="I65" i="18"/>
  <c r="I59" i="50"/>
  <c r="I60" i="50"/>
  <c r="I61" i="50"/>
  <c r="I59" i="17"/>
  <c r="I65" i="20"/>
  <c r="E65" i="7"/>
  <c r="I65" i="7" s="1"/>
  <c r="E63" i="7"/>
  <c r="I59" i="16"/>
  <c r="E65" i="16"/>
  <c r="E64" i="16"/>
  <c r="I57" i="20"/>
  <c r="I64" i="18"/>
  <c r="E58" i="43"/>
  <c r="I58" i="43" s="1"/>
  <c r="E57" i="43"/>
  <c r="I57" i="43" s="1"/>
  <c r="E65" i="43"/>
  <c r="I65" i="43" s="1"/>
  <c r="E60" i="43"/>
  <c r="I60" i="43" s="1"/>
  <c r="E64" i="43"/>
  <c r="I64" i="43" s="1"/>
  <c r="E63" i="43"/>
  <c r="I63" i="43" s="1"/>
  <c r="E62" i="43"/>
  <c r="I62" i="43" s="1"/>
  <c r="E61" i="43"/>
  <c r="I61" i="43" s="1"/>
  <c r="E59" i="43"/>
  <c r="I59" i="43" s="1"/>
  <c r="E64" i="7"/>
  <c r="E62" i="23"/>
  <c r="I62" i="23" s="1"/>
  <c r="E59" i="23"/>
  <c r="I59" i="23" s="1"/>
  <c r="E61" i="23"/>
  <c r="I61" i="23" s="1"/>
  <c r="E60" i="23"/>
  <c r="I60" i="23" s="1"/>
  <c r="E58" i="23"/>
  <c r="I58" i="23" s="1"/>
  <c r="E57" i="23"/>
  <c r="I57" i="23" s="1"/>
  <c r="E64" i="23"/>
  <c r="I64" i="23" s="1"/>
  <c r="E65" i="23"/>
  <c r="I65" i="23" s="1"/>
  <c r="E63" i="23"/>
  <c r="I63" i="23" s="1"/>
  <c r="E62" i="28"/>
  <c r="I62" i="28" s="1"/>
  <c r="E59" i="28"/>
  <c r="I59" i="28" s="1"/>
  <c r="E61" i="28"/>
  <c r="I61" i="28" s="1"/>
  <c r="E60" i="28"/>
  <c r="I60" i="28" s="1"/>
  <c r="E58" i="28"/>
  <c r="I58" i="28" s="1"/>
  <c r="E57" i="28"/>
  <c r="I57" i="28" s="1"/>
  <c r="E64" i="28"/>
  <c r="I64" i="28" s="1"/>
  <c r="E65" i="28"/>
  <c r="I65" i="28" s="1"/>
  <c r="E63" i="28"/>
  <c r="I63" i="28" s="1"/>
  <c r="E65" i="22"/>
  <c r="I65" i="22" s="1"/>
  <c r="E64" i="22"/>
  <c r="I64" i="22" s="1"/>
  <c r="E58" i="22"/>
  <c r="E63" i="22"/>
  <c r="I63" i="22" s="1"/>
  <c r="E62" i="22"/>
  <c r="I62" i="22" s="1"/>
  <c r="E61" i="22"/>
  <c r="I61" i="22" s="1"/>
  <c r="E60" i="22"/>
  <c r="I60" i="22" s="1"/>
  <c r="E59" i="22"/>
  <c r="I59" i="22" s="1"/>
  <c r="E57" i="22"/>
  <c r="E62" i="77"/>
  <c r="I62" i="77" s="1"/>
  <c r="E61" i="77"/>
  <c r="I61" i="77" s="1"/>
  <c r="E59" i="77"/>
  <c r="I59" i="77" s="1"/>
  <c r="E60" i="77"/>
  <c r="I60" i="77" s="1"/>
  <c r="E58" i="77"/>
  <c r="I58" i="77" s="1"/>
  <c r="E57" i="77"/>
  <c r="I57" i="77" s="1"/>
  <c r="E64" i="77"/>
  <c r="I64" i="77" s="1"/>
  <c r="E65" i="77"/>
  <c r="I65" i="77" s="1"/>
  <c r="E63" i="77"/>
  <c r="I63" i="77" s="1"/>
  <c r="E63" i="70"/>
  <c r="I63" i="70" s="1"/>
  <c r="E65" i="70"/>
  <c r="E64" i="70"/>
  <c r="I64" i="70" s="1"/>
  <c r="E62" i="70"/>
  <c r="I62" i="70" s="1"/>
  <c r="E61" i="70"/>
  <c r="I61" i="70" s="1"/>
  <c r="E60" i="70"/>
  <c r="I60" i="70" s="1"/>
  <c r="E59" i="70"/>
  <c r="I59" i="70" s="1"/>
  <c r="E58" i="70"/>
  <c r="I58" i="70" s="1"/>
  <c r="E57" i="70"/>
  <c r="I57" i="70" s="1"/>
  <c r="E58" i="57"/>
  <c r="I58" i="57" s="1"/>
  <c r="E57" i="57"/>
  <c r="E60" i="57"/>
  <c r="I60" i="57" s="1"/>
  <c r="E65" i="57"/>
  <c r="I65" i="57" s="1"/>
  <c r="E64" i="57"/>
  <c r="I64" i="57" s="1"/>
  <c r="E63" i="57"/>
  <c r="I63" i="57" s="1"/>
  <c r="E61" i="57"/>
  <c r="I61" i="57" s="1"/>
  <c r="E59" i="57"/>
  <c r="I59" i="57" s="1"/>
  <c r="E65" i="51"/>
  <c r="I65" i="51" s="1"/>
  <c r="E64" i="51"/>
  <c r="I64" i="51" s="1"/>
  <c r="E63" i="51"/>
  <c r="I63" i="51" s="1"/>
  <c r="E62" i="51"/>
  <c r="I62" i="51" s="1"/>
  <c r="E61" i="51"/>
  <c r="I61" i="51" s="1"/>
  <c r="E60" i="51"/>
  <c r="I60" i="51" s="1"/>
  <c r="E59" i="51"/>
  <c r="I59" i="51" s="1"/>
  <c r="E58" i="51"/>
  <c r="I58" i="51" s="1"/>
  <c r="E57" i="51"/>
  <c r="I57" i="51" s="1"/>
  <c r="E64" i="33"/>
  <c r="I64" i="33" s="1"/>
  <c r="E63" i="33"/>
  <c r="I63" i="33" s="1"/>
  <c r="E62" i="33"/>
  <c r="I62" i="33" s="1"/>
  <c r="E61" i="33"/>
  <c r="I61" i="33" s="1"/>
  <c r="E60" i="33"/>
  <c r="I60" i="33" s="1"/>
  <c r="E58" i="33"/>
  <c r="I58" i="33" s="1"/>
  <c r="E59" i="33"/>
  <c r="E57" i="33"/>
  <c r="I57" i="33" s="1"/>
  <c r="E65" i="33"/>
  <c r="I65" i="33" s="1"/>
  <c r="E59" i="21"/>
  <c r="E58" i="21"/>
  <c r="I58" i="21" s="1"/>
  <c r="E57" i="21"/>
  <c r="I57" i="21" s="1"/>
  <c r="E61" i="21"/>
  <c r="I61" i="21" s="1"/>
  <c r="E60" i="21"/>
  <c r="I60" i="21" s="1"/>
  <c r="E62" i="76"/>
  <c r="I62" i="76" s="1"/>
  <c r="E61" i="76"/>
  <c r="I61" i="76" s="1"/>
  <c r="E60" i="76"/>
  <c r="I60" i="76" s="1"/>
  <c r="E58" i="76"/>
  <c r="I58" i="76" s="1"/>
  <c r="E57" i="76"/>
  <c r="I57" i="76" s="1"/>
  <c r="E64" i="76"/>
  <c r="I64" i="76" s="1"/>
  <c r="E65" i="76"/>
  <c r="I65" i="76" s="1"/>
  <c r="E63" i="76"/>
  <c r="I63" i="76" s="1"/>
  <c r="E59" i="76"/>
  <c r="I59" i="76" s="1"/>
  <c r="E62" i="45"/>
  <c r="I62" i="45" s="1"/>
  <c r="E61" i="45"/>
  <c r="I61" i="45" s="1"/>
  <c r="E60" i="45"/>
  <c r="I60" i="45" s="1"/>
  <c r="E58" i="45"/>
  <c r="I58" i="45" s="1"/>
  <c r="E57" i="45"/>
  <c r="I57" i="45" s="1"/>
  <c r="E64" i="45"/>
  <c r="I64" i="45" s="1"/>
  <c r="E65" i="45"/>
  <c r="I65" i="45" s="1"/>
  <c r="E63" i="45"/>
  <c r="I63" i="45" s="1"/>
  <c r="E59" i="45"/>
  <c r="I59" i="45" s="1"/>
  <c r="E65" i="42"/>
  <c r="I65" i="42" s="1"/>
  <c r="E64" i="42"/>
  <c r="I64" i="42" s="1"/>
  <c r="E63" i="42"/>
  <c r="I63" i="42" s="1"/>
  <c r="E62" i="42"/>
  <c r="I62" i="42" s="1"/>
  <c r="E61" i="42"/>
  <c r="I61" i="42" s="1"/>
  <c r="E60" i="42"/>
  <c r="I60" i="42" s="1"/>
  <c r="E58" i="42"/>
  <c r="I58" i="42" s="1"/>
  <c r="E59" i="42"/>
  <c r="I59" i="42" s="1"/>
  <c r="E57" i="42"/>
  <c r="I57" i="42" s="1"/>
  <c r="E61" i="66"/>
  <c r="I61" i="66" s="1"/>
  <c r="E60" i="66"/>
  <c r="I60" i="66" s="1"/>
  <c r="E59" i="66"/>
  <c r="I59" i="66" s="1"/>
  <c r="E57" i="66"/>
  <c r="E65" i="66"/>
  <c r="I65" i="66" s="1"/>
  <c r="E64" i="66"/>
  <c r="I64" i="66" s="1"/>
  <c r="E63" i="66"/>
  <c r="E62" i="66"/>
  <c r="I62" i="66" s="1"/>
  <c r="E58" i="66"/>
  <c r="I58" i="66" s="1"/>
  <c r="E65" i="37"/>
  <c r="I65" i="37" s="1"/>
  <c r="E64" i="37"/>
  <c r="I64" i="37" s="1"/>
  <c r="E62" i="37"/>
  <c r="I62" i="37" s="1"/>
  <c r="E61" i="37"/>
  <c r="I61" i="37" s="1"/>
  <c r="E60" i="37"/>
  <c r="I60" i="37" s="1"/>
  <c r="E59" i="37"/>
  <c r="I59" i="37" s="1"/>
  <c r="E58" i="37"/>
  <c r="I58" i="37" s="1"/>
  <c r="E57" i="37"/>
  <c r="E63" i="37"/>
  <c r="I63" i="37" s="1"/>
  <c r="E57" i="48"/>
  <c r="I57" i="48" s="1"/>
  <c r="E65" i="48"/>
  <c r="I65" i="48" s="1"/>
  <c r="E64" i="48"/>
  <c r="I64" i="48" s="1"/>
  <c r="E63" i="48"/>
  <c r="I63" i="48" s="1"/>
  <c r="E62" i="48"/>
  <c r="I62" i="48" s="1"/>
  <c r="E58" i="48"/>
  <c r="I58" i="48" s="1"/>
  <c r="E61" i="48"/>
  <c r="I61" i="48" s="1"/>
  <c r="E60" i="48"/>
  <c r="I60" i="48" s="1"/>
  <c r="E59" i="48"/>
  <c r="I59" i="48" s="1"/>
  <c r="E61" i="27"/>
  <c r="I61" i="27" s="1"/>
  <c r="E60" i="27"/>
  <c r="I60" i="27" s="1"/>
  <c r="E59" i="27"/>
  <c r="I59" i="27" s="1"/>
  <c r="E58" i="27"/>
  <c r="I58" i="27" s="1"/>
  <c r="E57" i="27"/>
  <c r="E65" i="27"/>
  <c r="I65" i="27" s="1"/>
  <c r="E64" i="27"/>
  <c r="I64" i="27" s="1"/>
  <c r="E63" i="27"/>
  <c r="I63" i="27" s="1"/>
  <c r="E62" i="27"/>
  <c r="I62" i="27" s="1"/>
  <c r="E60" i="68"/>
  <c r="I60" i="68" s="1"/>
  <c r="E57" i="68"/>
  <c r="I57" i="68" s="1"/>
  <c r="E59" i="68"/>
  <c r="I59" i="68" s="1"/>
  <c r="E58" i="68"/>
  <c r="I58" i="68" s="1"/>
  <c r="E62" i="68"/>
  <c r="I62" i="68" s="1"/>
  <c r="E65" i="68"/>
  <c r="I65" i="68" s="1"/>
  <c r="E64" i="68"/>
  <c r="I64" i="68" s="1"/>
  <c r="E63" i="68"/>
  <c r="I63" i="68" s="1"/>
  <c r="E61" i="68"/>
  <c r="I61" i="68" s="1"/>
  <c r="E65" i="69"/>
  <c r="I65" i="69" s="1"/>
  <c r="E64" i="69"/>
  <c r="I64" i="69" s="1"/>
  <c r="E62" i="69"/>
  <c r="I62" i="69" s="1"/>
  <c r="E63" i="69"/>
  <c r="I63" i="69" s="1"/>
  <c r="E61" i="69"/>
  <c r="I61" i="69" s="1"/>
  <c r="E60" i="69"/>
  <c r="I60" i="69" s="1"/>
  <c r="E59" i="69"/>
  <c r="I59" i="69" s="1"/>
  <c r="E58" i="69"/>
  <c r="I58" i="69" s="1"/>
  <c r="E57" i="69"/>
  <c r="I57" i="69" s="1"/>
  <c r="E64" i="56"/>
  <c r="I64" i="56" s="1"/>
  <c r="E65" i="56"/>
  <c r="I65" i="56" s="1"/>
  <c r="E63" i="56"/>
  <c r="I63" i="56" s="1"/>
  <c r="E62" i="56"/>
  <c r="I62" i="56" s="1"/>
  <c r="E61" i="56"/>
  <c r="I61" i="56" s="1"/>
  <c r="E60" i="56"/>
  <c r="I60" i="56" s="1"/>
  <c r="E59" i="56"/>
  <c r="I59" i="56" s="1"/>
  <c r="E58" i="56"/>
  <c r="I58" i="56" s="1"/>
  <c r="E57" i="56"/>
  <c r="I57" i="56" s="1"/>
  <c r="E60" i="75"/>
  <c r="I60" i="75" s="1"/>
  <c r="I57" i="75"/>
  <c r="E59" i="75"/>
  <c r="I59" i="75" s="1"/>
  <c r="E58" i="75"/>
  <c r="E62" i="75"/>
  <c r="I62" i="75" s="1"/>
  <c r="E65" i="75"/>
  <c r="I65" i="75" s="1"/>
  <c r="E64" i="75"/>
  <c r="I64" i="75" s="1"/>
  <c r="E63" i="75"/>
  <c r="I63" i="75" s="1"/>
  <c r="E61" i="75"/>
  <c r="I61" i="75" s="1"/>
  <c r="E65" i="40"/>
  <c r="I65" i="40" s="1"/>
  <c r="E64" i="40"/>
  <c r="I64" i="40" s="1"/>
  <c r="E63" i="40"/>
  <c r="I63" i="40" s="1"/>
  <c r="E62" i="40"/>
  <c r="I62" i="40" s="1"/>
  <c r="E61" i="40"/>
  <c r="E60" i="40"/>
  <c r="I60" i="40" s="1"/>
  <c r="E59" i="40"/>
  <c r="I59" i="40" s="1"/>
  <c r="E58" i="40"/>
  <c r="I58" i="40" s="1"/>
  <c r="E57" i="40"/>
  <c r="I57" i="40" s="1"/>
  <c r="E60" i="35"/>
  <c r="I60" i="35" s="1"/>
  <c r="E59" i="35"/>
  <c r="I59" i="35" s="1"/>
  <c r="E58" i="35"/>
  <c r="I58" i="35" s="1"/>
  <c r="E57" i="35"/>
  <c r="I57" i="35" s="1"/>
  <c r="E62" i="35"/>
  <c r="I62" i="35" s="1"/>
  <c r="E65" i="35"/>
  <c r="I65" i="35" s="1"/>
  <c r="E64" i="35"/>
  <c r="I64" i="35" s="1"/>
  <c r="E63" i="35"/>
  <c r="I63" i="35" s="1"/>
  <c r="E61" i="35"/>
  <c r="I61" i="35" s="1"/>
  <c r="E65" i="30"/>
  <c r="I65" i="30" s="1"/>
  <c r="E64" i="30"/>
  <c r="I64" i="30" s="1"/>
  <c r="E63" i="30"/>
  <c r="I63" i="30" s="1"/>
  <c r="E62" i="30"/>
  <c r="I62" i="30" s="1"/>
  <c r="E61" i="30"/>
  <c r="I61" i="30" s="1"/>
  <c r="E57" i="30"/>
  <c r="I57" i="30" s="1"/>
  <c r="E60" i="30"/>
  <c r="I60" i="30" s="1"/>
  <c r="E59" i="30"/>
  <c r="I59" i="30" s="1"/>
  <c r="E58" i="30"/>
  <c r="I58" i="30" s="1"/>
  <c r="E64" i="36"/>
  <c r="I64" i="36" s="1"/>
  <c r="E63" i="36"/>
  <c r="I63" i="36" s="1"/>
  <c r="E61" i="36"/>
  <c r="I61" i="36" s="1"/>
  <c r="E62" i="36"/>
  <c r="I62" i="36" s="1"/>
  <c r="E60" i="36"/>
  <c r="I60" i="36" s="1"/>
  <c r="E59" i="36"/>
  <c r="I59" i="36" s="1"/>
  <c r="E58" i="36"/>
  <c r="I58" i="36" s="1"/>
  <c r="E57" i="36"/>
  <c r="I57" i="36" s="1"/>
  <c r="E65" i="36"/>
  <c r="I65" i="36" s="1"/>
  <c r="E65" i="32"/>
  <c r="I65" i="32" s="1"/>
  <c r="E63" i="32"/>
  <c r="I63" i="32" s="1"/>
  <c r="E64" i="32"/>
  <c r="I64" i="32" s="1"/>
  <c r="E62" i="32"/>
  <c r="I62" i="32" s="1"/>
  <c r="E61" i="32"/>
  <c r="I61" i="32" s="1"/>
  <c r="E60" i="32"/>
  <c r="I60" i="32" s="1"/>
  <c r="E59" i="32"/>
  <c r="I59" i="32" s="1"/>
  <c r="E58" i="32"/>
  <c r="I58" i="32" s="1"/>
  <c r="E57" i="32"/>
  <c r="I57" i="32" s="1"/>
  <c r="E65" i="25"/>
  <c r="I65" i="25" s="1"/>
  <c r="E62" i="25"/>
  <c r="I62" i="25" s="1"/>
  <c r="E64" i="25"/>
  <c r="I64" i="25" s="1"/>
  <c r="E63" i="25"/>
  <c r="I63" i="25" s="1"/>
  <c r="E61" i="25"/>
  <c r="I61" i="25" s="1"/>
  <c r="E60" i="25"/>
  <c r="I60" i="25" s="1"/>
  <c r="E59" i="25"/>
  <c r="I59" i="25" s="1"/>
  <c r="E58" i="25"/>
  <c r="E57" i="25"/>
  <c r="I57" i="25" s="1"/>
  <c r="E60" i="44"/>
  <c r="I60" i="44" s="1"/>
  <c r="E59" i="44"/>
  <c r="I59" i="44" s="1"/>
  <c r="E57" i="44"/>
  <c r="I57" i="44" s="1"/>
  <c r="E58" i="44"/>
  <c r="I58" i="44" s="1"/>
  <c r="E65" i="44"/>
  <c r="I65" i="44" s="1"/>
  <c r="E64" i="44"/>
  <c r="I64" i="44" s="1"/>
  <c r="E63" i="44"/>
  <c r="I63" i="44" s="1"/>
  <c r="E62" i="44"/>
  <c r="I62" i="44" s="1"/>
  <c r="E61" i="44"/>
  <c r="I61" i="44" s="1"/>
  <c r="E58" i="52"/>
  <c r="I58" i="52" s="1"/>
  <c r="E57" i="52"/>
  <c r="E65" i="52"/>
  <c r="I65" i="52" s="1"/>
  <c r="E64" i="52"/>
  <c r="I64" i="52" s="1"/>
  <c r="E63" i="52"/>
  <c r="I63" i="52" s="1"/>
  <c r="E62" i="52"/>
  <c r="I62" i="52" s="1"/>
  <c r="E60" i="52"/>
  <c r="I60" i="52" s="1"/>
  <c r="E61" i="52"/>
  <c r="I61" i="52" s="1"/>
  <c r="E59" i="52"/>
  <c r="I59" i="52" s="1"/>
  <c r="E65" i="47"/>
  <c r="I65" i="47" s="1"/>
  <c r="E62" i="47"/>
  <c r="I62" i="47" s="1"/>
  <c r="E64" i="47"/>
  <c r="I64" i="47" s="1"/>
  <c r="E63" i="47"/>
  <c r="I63" i="47" s="1"/>
  <c r="E61" i="47"/>
  <c r="I61" i="47" s="1"/>
  <c r="E60" i="47"/>
  <c r="I60" i="47" s="1"/>
  <c r="E59" i="47"/>
  <c r="I59" i="47" s="1"/>
  <c r="E58" i="47"/>
  <c r="I58" i="47" s="1"/>
  <c r="E57" i="47"/>
  <c r="I57" i="47" s="1"/>
  <c r="E65" i="39"/>
  <c r="I65" i="39" s="1"/>
  <c r="E63" i="39"/>
  <c r="I63" i="39" s="1"/>
  <c r="E62" i="39"/>
  <c r="I62" i="39" s="1"/>
  <c r="E61" i="39"/>
  <c r="I61" i="39" s="1"/>
  <c r="E60" i="39"/>
  <c r="I60" i="39" s="1"/>
  <c r="E59" i="39"/>
  <c r="I59" i="39" s="1"/>
  <c r="E58" i="39"/>
  <c r="I58" i="39" s="1"/>
  <c r="E57" i="39"/>
  <c r="E64" i="39"/>
  <c r="I64" i="39" s="1"/>
  <c r="E58" i="34"/>
  <c r="I58" i="34" s="1"/>
  <c r="E57" i="34"/>
  <c r="I57" i="34" s="1"/>
  <c r="E65" i="34"/>
  <c r="I65" i="34" s="1"/>
  <c r="E60" i="34"/>
  <c r="I60" i="34" s="1"/>
  <c r="E64" i="34"/>
  <c r="I64" i="34" s="1"/>
  <c r="E63" i="34"/>
  <c r="I63" i="34" s="1"/>
  <c r="E62" i="34"/>
  <c r="I62" i="34" s="1"/>
  <c r="E61" i="34"/>
  <c r="I61" i="34" s="1"/>
  <c r="E59" i="34"/>
  <c r="E64" i="31"/>
  <c r="I64" i="31" s="1"/>
  <c r="E63" i="31"/>
  <c r="I63" i="31" s="1"/>
  <c r="E62" i="31"/>
  <c r="I62" i="31" s="1"/>
  <c r="E60" i="31"/>
  <c r="I60" i="31" s="1"/>
  <c r="E59" i="31"/>
  <c r="I59" i="31" s="1"/>
  <c r="E58" i="31"/>
  <c r="I58" i="31" s="1"/>
  <c r="E57" i="31"/>
  <c r="I57" i="31" s="1"/>
  <c r="E65" i="31"/>
  <c r="I65" i="31" s="1"/>
  <c r="E58" i="26"/>
  <c r="I58" i="26" s="1"/>
  <c r="E57" i="26"/>
  <c r="I57" i="26" s="1"/>
  <c r="E65" i="26"/>
  <c r="I65" i="26" s="1"/>
  <c r="E64" i="26"/>
  <c r="I64" i="26" s="1"/>
  <c r="E63" i="26"/>
  <c r="I63" i="26" s="1"/>
  <c r="E62" i="26"/>
  <c r="I62" i="26" s="1"/>
  <c r="E61" i="26"/>
  <c r="E60" i="26"/>
  <c r="I60" i="26" s="1"/>
  <c r="E59" i="26"/>
  <c r="I59" i="26" s="1"/>
  <c r="E65" i="78"/>
  <c r="I65" i="78" s="1"/>
  <c r="E64" i="78"/>
  <c r="I64" i="78" s="1"/>
  <c r="E63" i="78"/>
  <c r="I63" i="78" s="1"/>
  <c r="E61" i="78"/>
  <c r="I61" i="78" s="1"/>
  <c r="E60" i="78"/>
  <c r="I60" i="78" s="1"/>
  <c r="E59" i="78"/>
  <c r="E58" i="78"/>
  <c r="I58" i="78" s="1"/>
  <c r="E57" i="78"/>
  <c r="I57" i="78" s="1"/>
  <c r="E62" i="78"/>
  <c r="I62" i="78" s="1"/>
  <c r="E57" i="71"/>
  <c r="I57" i="71" s="1"/>
  <c r="E65" i="71"/>
  <c r="I65" i="71" s="1"/>
  <c r="E64" i="71"/>
  <c r="I64" i="71" s="1"/>
  <c r="E63" i="71"/>
  <c r="I63" i="71" s="1"/>
  <c r="E62" i="71"/>
  <c r="I62" i="71" s="1"/>
  <c r="E61" i="71"/>
  <c r="I61" i="71" s="1"/>
  <c r="E60" i="71"/>
  <c r="I60" i="71" s="1"/>
  <c r="E59" i="71"/>
  <c r="I59" i="71" s="1"/>
  <c r="E58" i="71"/>
  <c r="I58" i="71" s="1"/>
  <c r="E63" i="67"/>
  <c r="I63" i="67" s="1"/>
  <c r="E60" i="67"/>
  <c r="I60" i="67" s="1"/>
  <c r="E62" i="67"/>
  <c r="I62" i="67" s="1"/>
  <c r="E61" i="67"/>
  <c r="I61" i="67" s="1"/>
  <c r="E59" i="67"/>
  <c r="I59" i="67" s="1"/>
  <c r="E58" i="67"/>
  <c r="I58" i="67" s="1"/>
  <c r="E57" i="67"/>
  <c r="I57" i="67" s="1"/>
  <c r="E65" i="67"/>
  <c r="I65" i="67" s="1"/>
  <c r="E64" i="67"/>
  <c r="I64" i="67" s="1"/>
  <c r="E59" i="58"/>
  <c r="I59" i="58" s="1"/>
  <c r="E58" i="58"/>
  <c r="I58" i="58" s="1"/>
  <c r="E57" i="58"/>
  <c r="I57" i="58" s="1"/>
  <c r="E65" i="58"/>
  <c r="I65" i="58" s="1"/>
  <c r="E64" i="58"/>
  <c r="I64" i="58" s="1"/>
  <c r="E63" i="58"/>
  <c r="I63" i="58" s="1"/>
  <c r="E62" i="58"/>
  <c r="I62" i="58" s="1"/>
  <c r="E61" i="58"/>
  <c r="I61" i="58" s="1"/>
  <c r="E60" i="58"/>
  <c r="I60" i="58" s="1"/>
  <c r="E65" i="55"/>
  <c r="I65" i="55" s="1"/>
  <c r="E64" i="55"/>
  <c r="I64" i="55" s="1"/>
  <c r="E62" i="55"/>
  <c r="I62" i="55" s="1"/>
  <c r="E63" i="55"/>
  <c r="I63" i="55" s="1"/>
  <c r="E61" i="55"/>
  <c r="I61" i="55" s="1"/>
  <c r="E60" i="55"/>
  <c r="I60" i="55" s="1"/>
  <c r="E59" i="55"/>
  <c r="I59" i="55" s="1"/>
  <c r="E58" i="55"/>
  <c r="I58" i="55" s="1"/>
  <c r="E57" i="55"/>
  <c r="I57" i="55" s="1"/>
  <c r="E60" i="38"/>
  <c r="I60" i="38" s="1"/>
  <c r="E57" i="38"/>
  <c r="I57" i="38" s="1"/>
  <c r="E62" i="38"/>
  <c r="I62" i="38" s="1"/>
  <c r="E59" i="38"/>
  <c r="I59" i="38" s="1"/>
  <c r="E58" i="38"/>
  <c r="I58" i="38" s="1"/>
  <c r="E65" i="38"/>
  <c r="I65" i="38" s="1"/>
  <c r="E64" i="38"/>
  <c r="I64" i="38" s="1"/>
  <c r="E63" i="38"/>
  <c r="I63" i="38" s="1"/>
  <c r="E61" i="38"/>
  <c r="I61" i="38" s="1"/>
  <c r="E65" i="17"/>
  <c r="I65" i="17" s="1"/>
  <c r="E64" i="17"/>
  <c r="I64" i="17" s="1"/>
  <c r="I64" i="16"/>
  <c r="E63" i="16"/>
  <c r="I63" i="16" s="1"/>
  <c r="I63" i="24"/>
  <c r="I58" i="16"/>
  <c r="I58" i="20"/>
  <c r="I60" i="7"/>
  <c r="U57" i="38"/>
  <c r="U66" i="38" s="1"/>
  <c r="U57" i="22"/>
  <c r="U66" i="22" s="1"/>
  <c r="I62" i="7"/>
  <c r="I61" i="7"/>
  <c r="I63" i="18"/>
  <c r="I57" i="7"/>
  <c r="I58" i="7"/>
  <c r="U57" i="27"/>
  <c r="U66" i="27" s="1"/>
  <c r="I59" i="7"/>
  <c r="I65" i="70"/>
  <c r="I65" i="50"/>
  <c r="U66" i="37"/>
  <c r="U66" i="24"/>
  <c r="I60" i="18"/>
  <c r="I65" i="16"/>
  <c r="I64" i="21"/>
  <c r="I57" i="50"/>
  <c r="I59" i="18"/>
  <c r="U66" i="35"/>
  <c r="U66" i="20"/>
  <c r="I63" i="66"/>
  <c r="I63" i="17"/>
  <c r="U66" i="32"/>
  <c r="U66" i="16"/>
  <c r="I63" i="50"/>
  <c r="I63" i="21"/>
  <c r="I64" i="20"/>
  <c r="I61" i="26"/>
  <c r="I65" i="21"/>
  <c r="I58" i="18"/>
  <c r="U66" i="71"/>
  <c r="U66" i="51"/>
  <c r="U66" i="36"/>
  <c r="U66" i="25"/>
  <c r="U66" i="23"/>
  <c r="U66" i="21"/>
  <c r="U66" i="47"/>
  <c r="U66" i="34"/>
  <c r="U66" i="18"/>
  <c r="I57" i="22"/>
  <c r="U66" i="33"/>
  <c r="U66" i="17"/>
  <c r="I62" i="21"/>
  <c r="U66" i="57"/>
  <c r="U66" i="43"/>
  <c r="U66" i="31"/>
  <c r="U66" i="28"/>
  <c r="U66" i="39"/>
  <c r="U66" i="26"/>
  <c r="U66" i="77"/>
  <c r="U66" i="75"/>
  <c r="U66" i="68"/>
  <c r="U66" i="52"/>
  <c r="U66" i="70"/>
  <c r="U66" i="50"/>
  <c r="U66" i="69"/>
  <c r="U66" i="48"/>
  <c r="U66" i="67"/>
  <c r="U66" i="66"/>
  <c r="U66" i="45"/>
  <c r="U66" i="58"/>
  <c r="U66" i="44"/>
  <c r="U66" i="56"/>
  <c r="U66" i="42"/>
  <c r="U66" i="30"/>
  <c r="U66" i="55"/>
  <c r="U66" i="40"/>
  <c r="U66" i="78"/>
  <c r="U66" i="76"/>
  <c r="I57" i="24"/>
  <c r="I59" i="20"/>
  <c r="I64" i="50"/>
  <c r="I58" i="50"/>
  <c r="I62" i="24"/>
  <c r="I61" i="17"/>
  <c r="I62" i="16"/>
  <c r="I64" i="24"/>
  <c r="I61" i="18"/>
  <c r="I65" i="24"/>
  <c r="I63" i="20"/>
  <c r="I62" i="18"/>
  <c r="I62" i="17"/>
  <c r="I58" i="75"/>
  <c r="I62" i="57"/>
  <c r="I61" i="31"/>
  <c r="I59" i="24"/>
  <c r="I62" i="50"/>
  <c r="I60" i="17"/>
  <c r="I60" i="16"/>
  <c r="I57" i="18"/>
  <c r="I57" i="16"/>
  <c r="I57" i="17"/>
  <c r="I57" i="27"/>
  <c r="E66" i="24"/>
  <c r="I61" i="16"/>
  <c r="E66" i="18"/>
  <c r="E66" i="50" l="1"/>
  <c r="E63" i="60"/>
  <c r="E64" i="60"/>
  <c r="I59" i="21"/>
  <c r="I66" i="21" s="1"/>
  <c r="E61" i="60"/>
  <c r="E60" i="60"/>
  <c r="E59" i="60"/>
  <c r="E62" i="60"/>
  <c r="E65" i="60"/>
  <c r="E67" i="60"/>
  <c r="I64" i="7"/>
  <c r="E66" i="60"/>
  <c r="I67" i="60"/>
  <c r="I64" i="60"/>
  <c r="I66" i="60"/>
  <c r="I62" i="60"/>
  <c r="E66" i="16"/>
  <c r="E66" i="33"/>
  <c r="I59" i="33"/>
  <c r="I66" i="33" s="1"/>
  <c r="E66" i="27"/>
  <c r="E66" i="34"/>
  <c r="E66" i="31"/>
  <c r="E66" i="7"/>
  <c r="E66" i="30"/>
  <c r="E66" i="78"/>
  <c r="I59" i="78"/>
  <c r="I66" i="78" s="1"/>
  <c r="E66" i="71"/>
  <c r="E66" i="67"/>
  <c r="E66" i="58"/>
  <c r="E66" i="56"/>
  <c r="E66" i="55"/>
  <c r="E66" i="52"/>
  <c r="E66" i="51"/>
  <c r="E66" i="45"/>
  <c r="E66" i="42"/>
  <c r="E66" i="40"/>
  <c r="E66" i="39"/>
  <c r="E66" i="37"/>
  <c r="E66" i="35"/>
  <c r="I59" i="34"/>
  <c r="I66" i="34" s="1"/>
  <c r="E66" i="22"/>
  <c r="I58" i="22"/>
  <c r="I66" i="22" s="1"/>
  <c r="E66" i="25"/>
  <c r="E66" i="23"/>
  <c r="E66" i="28"/>
  <c r="E66" i="77"/>
  <c r="E66" i="68"/>
  <c r="E66" i="70"/>
  <c r="E66" i="69"/>
  <c r="E66" i="66"/>
  <c r="I57" i="66"/>
  <c r="I66" i="66" s="1"/>
  <c r="E66" i="57"/>
  <c r="I57" i="57"/>
  <c r="I66" i="57" s="1"/>
  <c r="E66" i="76"/>
  <c r="E66" i="75"/>
  <c r="I57" i="52"/>
  <c r="I66" i="52" s="1"/>
  <c r="E66" i="48"/>
  <c r="E66" i="47"/>
  <c r="E66" i="44"/>
  <c r="E66" i="43"/>
  <c r="I61" i="40"/>
  <c r="I66" i="40" s="1"/>
  <c r="I57" i="39"/>
  <c r="I66" i="39" s="1"/>
  <c r="I57" i="37"/>
  <c r="I66" i="37" s="1"/>
  <c r="E66" i="36"/>
  <c r="E66" i="32"/>
  <c r="E66" i="26"/>
  <c r="I58" i="25"/>
  <c r="I66" i="25" s="1"/>
  <c r="E66" i="21"/>
  <c r="I63" i="7"/>
  <c r="E66" i="38"/>
  <c r="E66" i="17"/>
  <c r="I66" i="35"/>
  <c r="I66" i="30"/>
  <c r="I66" i="47"/>
  <c r="I66" i="68"/>
  <c r="I66" i="45"/>
  <c r="I66" i="18"/>
  <c r="I66" i="51"/>
  <c r="I66" i="56"/>
  <c r="I66" i="43"/>
  <c r="I66" i="50"/>
  <c r="I66" i="20"/>
  <c r="I66" i="24"/>
  <c r="I66" i="44"/>
  <c r="I66" i="48"/>
  <c r="I66" i="70"/>
  <c r="I66" i="17"/>
  <c r="I66" i="58"/>
  <c r="I66" i="69"/>
  <c r="I66" i="23"/>
  <c r="I66" i="42"/>
  <c r="I66" i="38"/>
  <c r="I66" i="71"/>
  <c r="I66" i="55"/>
  <c r="I66" i="76"/>
  <c r="I66" i="75"/>
  <c r="I66" i="31"/>
  <c r="I66" i="27"/>
  <c r="I66" i="26"/>
  <c r="I66" i="16"/>
  <c r="I66" i="36"/>
  <c r="I66" i="77"/>
  <c r="I66" i="28"/>
  <c r="I66" i="32"/>
  <c r="I66" i="67"/>
  <c r="I63" i="60" l="1"/>
  <c r="I59" i="60"/>
  <c r="I61" i="60"/>
  <c r="I60" i="60"/>
  <c r="I66" i="7"/>
  <c r="I65" i="60"/>
  <c r="E68" i="60"/>
  <c r="I68" i="60" l="1"/>
  <c r="D120" i="60"/>
  <c r="C120" i="60"/>
  <c r="G115" i="60"/>
  <c r="G114" i="60"/>
  <c r="H54" i="60"/>
  <c r="H53" i="60"/>
  <c r="D12" i="60"/>
  <c r="D58" i="60" s="1"/>
  <c r="C12" i="60"/>
  <c r="C58" i="60" s="1"/>
  <c r="D11" i="60"/>
  <c r="C11" i="60"/>
  <c r="D37" i="60" l="1"/>
  <c r="D57" i="60"/>
  <c r="C37" i="60"/>
  <c r="C57" i="60"/>
  <c r="I144" i="60" l="1"/>
  <c r="F107" i="60"/>
  <c r="F106" i="60"/>
  <c r="F105" i="60"/>
  <c r="D107" i="60"/>
  <c r="D106" i="60"/>
  <c r="D105" i="60"/>
  <c r="F97" i="60"/>
  <c r="F95" i="60"/>
  <c r="F93" i="60"/>
  <c r="F91" i="60"/>
  <c r="F89" i="60"/>
  <c r="F86" i="60"/>
  <c r="H83" i="60"/>
  <c r="H80" i="60"/>
  <c r="H77" i="60"/>
  <c r="H74" i="60"/>
  <c r="E124" i="60"/>
  <c r="H123" i="60"/>
  <c r="F123" i="60"/>
  <c r="H122" i="60"/>
  <c r="H124" i="60" s="1"/>
  <c r="H9" i="60"/>
  <c r="I124" i="60" l="1"/>
  <c r="E123" i="16" l="1"/>
  <c r="E122" i="16"/>
  <c r="E123" i="17"/>
  <c r="E122" i="17"/>
  <c r="E123" i="18"/>
  <c r="E122" i="18"/>
  <c r="E123" i="20"/>
  <c r="E122" i="20"/>
  <c r="E123" i="21"/>
  <c r="E122" i="21"/>
  <c r="E123" i="25"/>
  <c r="E122" i="25"/>
  <c r="E123" i="24"/>
  <c r="E122" i="24"/>
  <c r="E123" i="22"/>
  <c r="E122" i="22"/>
  <c r="E123" i="26"/>
  <c r="E122" i="26"/>
  <c r="E123" i="27"/>
  <c r="E122" i="27"/>
  <c r="E123" i="28"/>
  <c r="E122" i="28"/>
  <c r="E123" i="31"/>
  <c r="E122" i="31"/>
  <c r="E123" i="32"/>
  <c r="E122" i="32"/>
  <c r="E123" i="33"/>
  <c r="E122" i="33"/>
  <c r="E123" i="34"/>
  <c r="E122" i="34"/>
  <c r="E123" i="35"/>
  <c r="E122" i="35"/>
  <c r="E123" i="23"/>
  <c r="E122" i="23"/>
  <c r="E123" i="36"/>
  <c r="E122" i="36"/>
  <c r="E123" i="37"/>
  <c r="E122" i="37"/>
  <c r="E123" i="38"/>
  <c r="E122" i="38"/>
  <c r="E123" i="39"/>
  <c r="E122" i="39"/>
  <c r="E123" i="40"/>
  <c r="E122" i="40"/>
  <c r="E123" i="42"/>
  <c r="E122" i="42"/>
  <c r="E123" i="43"/>
  <c r="E122" i="43"/>
  <c r="E123" i="44"/>
  <c r="E122" i="44"/>
  <c r="E123" i="45"/>
  <c r="E122" i="45"/>
  <c r="E123" i="47"/>
  <c r="E122" i="47"/>
  <c r="E123" i="48"/>
  <c r="E122" i="48"/>
  <c r="E123" i="50"/>
  <c r="E122" i="50"/>
  <c r="E123" i="51"/>
  <c r="E122" i="51"/>
  <c r="E123" i="52"/>
  <c r="E122" i="52"/>
  <c r="E123" i="75"/>
  <c r="E122" i="75"/>
  <c r="E123" i="76"/>
  <c r="E122" i="76"/>
  <c r="E123" i="55"/>
  <c r="E122" i="55"/>
  <c r="E123" i="56"/>
  <c r="E122" i="56"/>
  <c r="E123" i="57"/>
  <c r="E122" i="57"/>
  <c r="E123" i="58"/>
  <c r="E122" i="58"/>
  <c r="E123" i="66"/>
  <c r="E122" i="66"/>
  <c r="E123" i="67"/>
  <c r="E122" i="67"/>
  <c r="E123" i="69"/>
  <c r="E122" i="69"/>
  <c r="E123" i="70"/>
  <c r="E122" i="70"/>
  <c r="E123" i="71"/>
  <c r="E122" i="71"/>
  <c r="E123" i="68"/>
  <c r="E122" i="68"/>
  <c r="E123" i="77"/>
  <c r="E122" i="77"/>
  <c r="E123" i="78"/>
  <c r="E122" i="78"/>
  <c r="E123" i="30"/>
  <c r="E122" i="30"/>
  <c r="E123" i="7"/>
  <c r="E122" i="7"/>
  <c r="H81" i="16"/>
  <c r="T81" i="16" s="1"/>
  <c r="H81" i="17"/>
  <c r="T81" i="17" s="1"/>
  <c r="H81" i="18"/>
  <c r="T81" i="18" s="1"/>
  <c r="H81" i="20"/>
  <c r="H81" i="21"/>
  <c r="T81" i="21" s="1"/>
  <c r="H81" i="25"/>
  <c r="H81" i="24"/>
  <c r="T81" i="24" s="1"/>
  <c r="H81" i="22"/>
  <c r="T81" i="22" s="1"/>
  <c r="H81" i="26"/>
  <c r="T81" i="26" s="1"/>
  <c r="H81" i="27"/>
  <c r="T81" i="27" s="1"/>
  <c r="H81" i="28"/>
  <c r="T81" i="28" s="1"/>
  <c r="H81" i="31"/>
  <c r="T81" i="31" s="1"/>
  <c r="H81" i="32"/>
  <c r="T81" i="32" s="1"/>
  <c r="H81" i="33"/>
  <c r="T81" i="33" s="1"/>
  <c r="H81" i="34"/>
  <c r="T81" i="34" s="1"/>
  <c r="H81" i="35"/>
  <c r="T81" i="35" s="1"/>
  <c r="H81" i="23"/>
  <c r="T81" i="23" s="1"/>
  <c r="H81" i="36"/>
  <c r="H81" i="37"/>
  <c r="T81" i="37" s="1"/>
  <c r="H81" i="38"/>
  <c r="H81" i="39"/>
  <c r="T81" i="39" s="1"/>
  <c r="H81" i="40"/>
  <c r="T81" i="40" s="1"/>
  <c r="H81" i="42"/>
  <c r="T81" i="42" s="1"/>
  <c r="H81" i="43"/>
  <c r="T81" i="43" s="1"/>
  <c r="H81" i="44"/>
  <c r="T81" i="44" s="1"/>
  <c r="H81" i="45"/>
  <c r="T81" i="45" s="1"/>
  <c r="H81" i="47"/>
  <c r="T81" i="47" s="1"/>
  <c r="H81" i="48"/>
  <c r="H81" i="50"/>
  <c r="T81" i="50" s="1"/>
  <c r="H81" i="51"/>
  <c r="T81" i="51" s="1"/>
  <c r="H81" i="52"/>
  <c r="H81" i="75"/>
  <c r="T81" i="75" s="1"/>
  <c r="H81" i="76"/>
  <c r="T81" i="76" s="1"/>
  <c r="H81" i="55"/>
  <c r="T81" i="55" s="1"/>
  <c r="H81" i="56"/>
  <c r="T81" i="56" s="1"/>
  <c r="H81" i="57"/>
  <c r="T81" i="57" s="1"/>
  <c r="H81" i="58"/>
  <c r="T81" i="58" s="1"/>
  <c r="H81" i="66"/>
  <c r="T81" i="66" s="1"/>
  <c r="H81" i="67"/>
  <c r="H81" i="69"/>
  <c r="T81" i="69" s="1"/>
  <c r="H81" i="70"/>
  <c r="T81" i="70" s="1"/>
  <c r="H81" i="71"/>
  <c r="T81" i="71" s="1"/>
  <c r="H81" i="68"/>
  <c r="H81" i="77"/>
  <c r="T81" i="77" s="1"/>
  <c r="H81" i="78"/>
  <c r="T81" i="78" s="1"/>
  <c r="H81" i="30"/>
  <c r="T81" i="30" s="1"/>
  <c r="T81" i="7"/>
  <c r="H78" i="16"/>
  <c r="T78" i="16" s="1"/>
  <c r="H78" i="17"/>
  <c r="H78" i="18"/>
  <c r="T78" i="18" s="1"/>
  <c r="H78" i="20"/>
  <c r="T78" i="20" s="1"/>
  <c r="H78" i="21"/>
  <c r="T78" i="21" s="1"/>
  <c r="H78" i="25"/>
  <c r="T78" i="25" s="1"/>
  <c r="H78" i="24"/>
  <c r="T78" i="24" s="1"/>
  <c r="H78" i="22"/>
  <c r="T78" i="22" s="1"/>
  <c r="H78" i="26"/>
  <c r="H78" i="27"/>
  <c r="T78" i="27" s="1"/>
  <c r="H78" i="28"/>
  <c r="T78" i="28" s="1"/>
  <c r="H78" i="31"/>
  <c r="T78" i="31" s="1"/>
  <c r="H78" i="32"/>
  <c r="T78" i="32" s="1"/>
  <c r="H78" i="33"/>
  <c r="H78" i="34"/>
  <c r="H78" i="35"/>
  <c r="T78" i="35" s="1"/>
  <c r="H78" i="23"/>
  <c r="T78" i="23" s="1"/>
  <c r="H78" i="36"/>
  <c r="T78" i="36" s="1"/>
  <c r="H78" i="37"/>
  <c r="H78" i="38"/>
  <c r="H78" i="39"/>
  <c r="T78" i="39" s="1"/>
  <c r="H78" i="40"/>
  <c r="T78" i="40" s="1"/>
  <c r="H78" i="42"/>
  <c r="T78" i="42" s="1"/>
  <c r="H78" i="43"/>
  <c r="T78" i="43" s="1"/>
  <c r="H78" i="44"/>
  <c r="T78" i="44" s="1"/>
  <c r="H78" i="45"/>
  <c r="T78" i="45" s="1"/>
  <c r="H78" i="47"/>
  <c r="T78" i="47" s="1"/>
  <c r="H78" i="48"/>
  <c r="T78" i="48" s="1"/>
  <c r="H78" i="50"/>
  <c r="H78" i="51"/>
  <c r="T78" i="51" s="1"/>
  <c r="H78" i="52"/>
  <c r="T78" i="52" s="1"/>
  <c r="H78" i="75"/>
  <c r="H78" i="76"/>
  <c r="T78" i="76" s="1"/>
  <c r="H78" i="55"/>
  <c r="H78" i="56"/>
  <c r="T78" i="56" s="1"/>
  <c r="H78" i="57"/>
  <c r="T78" i="57" s="1"/>
  <c r="H78" i="58"/>
  <c r="T78" i="58" s="1"/>
  <c r="H78" i="66"/>
  <c r="H78" i="67"/>
  <c r="H78" i="69"/>
  <c r="H78" i="70"/>
  <c r="T78" i="70" s="1"/>
  <c r="H78" i="71"/>
  <c r="T78" i="71" s="1"/>
  <c r="H78" i="68"/>
  <c r="T78" i="68" s="1"/>
  <c r="H78" i="77"/>
  <c r="H78" i="78"/>
  <c r="T78" i="78" s="1"/>
  <c r="H78" i="30"/>
  <c r="T78" i="30" s="1"/>
  <c r="T78" i="7"/>
  <c r="H75" i="16"/>
  <c r="T75" i="16" s="1"/>
  <c r="H75" i="17"/>
  <c r="T75" i="17" s="1"/>
  <c r="H75" i="18"/>
  <c r="T75" i="18" s="1"/>
  <c r="H75" i="20"/>
  <c r="T75" i="20" s="1"/>
  <c r="H75" i="21"/>
  <c r="T75" i="21" s="1"/>
  <c r="H75" i="25"/>
  <c r="T75" i="25" s="1"/>
  <c r="H75" i="24"/>
  <c r="T75" i="24" s="1"/>
  <c r="H75" i="22"/>
  <c r="T75" i="22" s="1"/>
  <c r="H75" i="26"/>
  <c r="T75" i="26" s="1"/>
  <c r="H75" i="27"/>
  <c r="T75" i="27" s="1"/>
  <c r="H75" i="28"/>
  <c r="T75" i="28" s="1"/>
  <c r="H75" i="31"/>
  <c r="T75" i="31" s="1"/>
  <c r="H75" i="32"/>
  <c r="T75" i="32" s="1"/>
  <c r="H75" i="33"/>
  <c r="T75" i="33" s="1"/>
  <c r="H75" i="34"/>
  <c r="T75" i="34" s="1"/>
  <c r="H75" i="35"/>
  <c r="T75" i="35" s="1"/>
  <c r="H75" i="23"/>
  <c r="T75" i="23" s="1"/>
  <c r="H75" i="36"/>
  <c r="T75" i="36" s="1"/>
  <c r="H75" i="37"/>
  <c r="T75" i="37" s="1"/>
  <c r="H75" i="38"/>
  <c r="T75" i="38" s="1"/>
  <c r="H75" i="39"/>
  <c r="T75" i="39" s="1"/>
  <c r="H75" i="40"/>
  <c r="T75" i="40" s="1"/>
  <c r="H75" i="42"/>
  <c r="T75" i="42" s="1"/>
  <c r="H75" i="43"/>
  <c r="T75" i="43" s="1"/>
  <c r="H75" i="44"/>
  <c r="T75" i="44" s="1"/>
  <c r="H75" i="45"/>
  <c r="T75" i="45" s="1"/>
  <c r="H75" i="47"/>
  <c r="T75" i="47" s="1"/>
  <c r="H75" i="48"/>
  <c r="T75" i="48" s="1"/>
  <c r="H75" i="50"/>
  <c r="T75" i="50" s="1"/>
  <c r="H75" i="51"/>
  <c r="T75" i="51" s="1"/>
  <c r="H75" i="52"/>
  <c r="T75" i="52" s="1"/>
  <c r="H75" i="75"/>
  <c r="T75" i="75" s="1"/>
  <c r="H75" i="76"/>
  <c r="T75" i="76" s="1"/>
  <c r="H75" i="55"/>
  <c r="T75" i="55" s="1"/>
  <c r="H75" i="56"/>
  <c r="T75" i="56" s="1"/>
  <c r="H75" i="57"/>
  <c r="T75" i="57" s="1"/>
  <c r="H75" i="58"/>
  <c r="T75" i="58" s="1"/>
  <c r="H75" i="66"/>
  <c r="T75" i="66" s="1"/>
  <c r="H75" i="67"/>
  <c r="T75" i="67" s="1"/>
  <c r="H75" i="69"/>
  <c r="T75" i="69" s="1"/>
  <c r="H75" i="70"/>
  <c r="T75" i="70" s="1"/>
  <c r="H75" i="71"/>
  <c r="T75" i="71" s="1"/>
  <c r="H75" i="68"/>
  <c r="T75" i="68" s="1"/>
  <c r="H75" i="77"/>
  <c r="T75" i="77" s="1"/>
  <c r="H75" i="78"/>
  <c r="T75" i="78" s="1"/>
  <c r="H75" i="30"/>
  <c r="T75" i="30" s="1"/>
  <c r="T75" i="7"/>
  <c r="T81" i="68" l="1"/>
  <c r="T81" i="52"/>
  <c r="T78" i="55"/>
  <c r="T78" i="34"/>
  <c r="T81" i="48"/>
  <c r="T81" i="25"/>
  <c r="T81" i="36"/>
  <c r="T81" i="20"/>
  <c r="T81" i="67"/>
  <c r="T81" i="38"/>
  <c r="T78" i="66"/>
  <c r="T78" i="33"/>
  <c r="T78" i="26"/>
  <c r="T78" i="50"/>
  <c r="T78" i="77"/>
  <c r="T78" i="69"/>
  <c r="T78" i="75"/>
  <c r="T78" i="38"/>
  <c r="T78" i="17"/>
  <c r="T78" i="67"/>
  <c r="T78" i="37"/>
  <c r="U37" i="16" l="1"/>
  <c r="U37" i="17"/>
  <c r="U37" i="18"/>
  <c r="U37" i="20"/>
  <c r="U37" i="21"/>
  <c r="U37" i="25"/>
  <c r="U37" i="24"/>
  <c r="U37" i="22"/>
  <c r="U37" i="26"/>
  <c r="U37" i="27"/>
  <c r="U37" i="28"/>
  <c r="U37" i="31"/>
  <c r="U37" i="32"/>
  <c r="U37" i="33"/>
  <c r="U37" i="34"/>
  <c r="U37" i="35"/>
  <c r="U37" i="23"/>
  <c r="U37" i="36"/>
  <c r="U37" i="37"/>
  <c r="U37" i="38"/>
  <c r="U37" i="39"/>
  <c r="U37" i="40"/>
  <c r="U37" i="42"/>
  <c r="U37" i="43"/>
  <c r="U37" i="44"/>
  <c r="U37" i="45"/>
  <c r="U37" i="47"/>
  <c r="U37" i="48"/>
  <c r="U37" i="50"/>
  <c r="U37" i="51"/>
  <c r="U37" i="52"/>
  <c r="U37" i="75"/>
  <c r="U37" i="76"/>
  <c r="U37" i="55"/>
  <c r="U37" i="56"/>
  <c r="U37" i="57"/>
  <c r="U37" i="58"/>
  <c r="U37" i="66"/>
  <c r="U37" i="67"/>
  <c r="U37" i="69"/>
  <c r="U37" i="70"/>
  <c r="U37" i="71"/>
  <c r="U37" i="68"/>
  <c r="U37" i="77"/>
  <c r="U37" i="78"/>
  <c r="U37" i="30"/>
  <c r="U37" i="7"/>
  <c r="U35" i="16"/>
  <c r="U35" i="17"/>
  <c r="U35" i="18"/>
  <c r="U35" i="20"/>
  <c r="U35" i="21"/>
  <c r="U35" i="25"/>
  <c r="U35" i="24"/>
  <c r="U35" i="22"/>
  <c r="U35" i="26"/>
  <c r="U35" i="27"/>
  <c r="U35" i="28"/>
  <c r="U35" i="31"/>
  <c r="U35" i="32"/>
  <c r="U35" i="33"/>
  <c r="U35" i="34"/>
  <c r="U35" i="35"/>
  <c r="U35" i="23"/>
  <c r="U35" i="36"/>
  <c r="U35" i="37"/>
  <c r="U35" i="38"/>
  <c r="U35" i="39"/>
  <c r="U35" i="40"/>
  <c r="U35" i="42"/>
  <c r="U35" i="43"/>
  <c r="U35" i="44"/>
  <c r="U35" i="45"/>
  <c r="U35" i="47"/>
  <c r="U35" i="48"/>
  <c r="U35" i="50"/>
  <c r="U35" i="51"/>
  <c r="U35" i="52"/>
  <c r="U35" i="75"/>
  <c r="U35" i="76"/>
  <c r="U35" i="55"/>
  <c r="U35" i="56"/>
  <c r="U35" i="57"/>
  <c r="U35" i="58"/>
  <c r="U35" i="66"/>
  <c r="U35" i="67"/>
  <c r="U35" i="69"/>
  <c r="U35" i="70"/>
  <c r="U35" i="71"/>
  <c r="U35" i="68"/>
  <c r="U35" i="77"/>
  <c r="U35" i="78"/>
  <c r="U35" i="30"/>
  <c r="U12" i="16"/>
  <c r="U12" i="17"/>
  <c r="U12" i="18"/>
  <c r="U12" i="20"/>
  <c r="U12" i="21"/>
  <c r="U12" i="25"/>
  <c r="U12" i="24"/>
  <c r="U12" i="22"/>
  <c r="U12" i="26"/>
  <c r="U12" i="27"/>
  <c r="U12" i="28"/>
  <c r="U12" i="31"/>
  <c r="U12" i="32"/>
  <c r="U12" i="33"/>
  <c r="U12" i="34"/>
  <c r="U12" i="35"/>
  <c r="U12" i="23"/>
  <c r="U12" i="36"/>
  <c r="U12" i="37"/>
  <c r="U12" i="38"/>
  <c r="U12" i="39"/>
  <c r="U12" i="40"/>
  <c r="U12" i="42"/>
  <c r="U12" i="43"/>
  <c r="U12" i="44"/>
  <c r="U12" i="45"/>
  <c r="U12" i="47"/>
  <c r="U12" i="48"/>
  <c r="U12" i="50"/>
  <c r="U12" i="51"/>
  <c r="U12" i="52"/>
  <c r="U12" i="75"/>
  <c r="U12" i="76"/>
  <c r="U12" i="55"/>
  <c r="U12" i="56"/>
  <c r="U12" i="57"/>
  <c r="U12" i="58"/>
  <c r="U12" i="66"/>
  <c r="U12" i="67"/>
  <c r="U12" i="69"/>
  <c r="U12" i="70"/>
  <c r="U12" i="71"/>
  <c r="U12" i="68"/>
  <c r="U12" i="77"/>
  <c r="U12" i="78"/>
  <c r="U12" i="30"/>
  <c r="U12" i="7"/>
  <c r="U10" i="7"/>
  <c r="N7" i="7"/>
  <c r="P8" i="7"/>
  <c r="H9" i="16"/>
  <c r="T9" i="16" s="1"/>
  <c r="H9" i="17"/>
  <c r="T9" i="17" s="1"/>
  <c r="H9" i="18"/>
  <c r="T9" i="18" s="1"/>
  <c r="H9" i="20"/>
  <c r="T9" i="20" s="1"/>
  <c r="H9" i="21"/>
  <c r="T9" i="21" s="1"/>
  <c r="H9" i="25"/>
  <c r="T9" i="25" s="1"/>
  <c r="H9" i="24"/>
  <c r="T9" i="24" s="1"/>
  <c r="H9" i="22"/>
  <c r="T9" i="22" s="1"/>
  <c r="H9" i="26"/>
  <c r="T9" i="26" s="1"/>
  <c r="H9" i="27"/>
  <c r="T9" i="27" s="1"/>
  <c r="H9" i="28"/>
  <c r="T9" i="28" s="1"/>
  <c r="H9" i="31"/>
  <c r="T9" i="31" s="1"/>
  <c r="H9" i="32"/>
  <c r="T9" i="32" s="1"/>
  <c r="H9" i="33"/>
  <c r="T9" i="33" s="1"/>
  <c r="H9" i="34"/>
  <c r="T9" i="34" s="1"/>
  <c r="H9" i="35"/>
  <c r="T9" i="35" s="1"/>
  <c r="H9" i="23"/>
  <c r="T9" i="23" s="1"/>
  <c r="H9" i="36"/>
  <c r="T9" i="36" s="1"/>
  <c r="H9" i="37"/>
  <c r="T9" i="37" s="1"/>
  <c r="H9" i="38"/>
  <c r="T9" i="38" s="1"/>
  <c r="H9" i="39"/>
  <c r="T9" i="39" s="1"/>
  <c r="H9" i="40"/>
  <c r="T9" i="40" s="1"/>
  <c r="H9" i="42"/>
  <c r="T9" i="42" s="1"/>
  <c r="H9" i="43"/>
  <c r="T9" i="43" s="1"/>
  <c r="H9" i="44"/>
  <c r="T9" i="44" s="1"/>
  <c r="H9" i="45"/>
  <c r="T9" i="45" s="1"/>
  <c r="H9" i="47"/>
  <c r="T9" i="47" s="1"/>
  <c r="H9" i="48"/>
  <c r="T9" i="48" s="1"/>
  <c r="H9" i="50"/>
  <c r="T9" i="50" s="1"/>
  <c r="H9" i="51"/>
  <c r="T9" i="51" s="1"/>
  <c r="H9" i="52"/>
  <c r="T9" i="52" s="1"/>
  <c r="H9" i="75"/>
  <c r="T9" i="75" s="1"/>
  <c r="H9" i="76"/>
  <c r="T9" i="76" s="1"/>
  <c r="H9" i="55"/>
  <c r="T9" i="55" s="1"/>
  <c r="H9" i="56"/>
  <c r="T9" i="56" s="1"/>
  <c r="H9" i="57"/>
  <c r="T9" i="57" s="1"/>
  <c r="H9" i="58"/>
  <c r="T9" i="58" s="1"/>
  <c r="H9" i="66"/>
  <c r="T9" i="66" s="1"/>
  <c r="H9" i="67"/>
  <c r="T9" i="67" s="1"/>
  <c r="H9" i="69"/>
  <c r="T9" i="69" s="1"/>
  <c r="H9" i="70"/>
  <c r="T9" i="70" s="1"/>
  <c r="H9" i="71"/>
  <c r="T9" i="71" s="1"/>
  <c r="H9" i="68"/>
  <c r="T9" i="68" s="1"/>
  <c r="H9" i="77"/>
  <c r="T9" i="77" s="1"/>
  <c r="H9" i="78"/>
  <c r="T9" i="78" s="1"/>
  <c r="H9" i="30"/>
  <c r="T9" i="30" s="1"/>
  <c r="T9" i="7"/>
  <c r="E114" i="7" l="1"/>
  <c r="E114" i="20" l="1"/>
  <c r="E114" i="26"/>
  <c r="E114" i="27"/>
  <c r="E114" i="28"/>
  <c r="E114" i="31"/>
  <c r="E114" i="32"/>
  <c r="E114" i="33"/>
  <c r="E114" i="35"/>
  <c r="E114" i="23"/>
  <c r="E114" i="36"/>
  <c r="E114" i="37"/>
  <c r="E114" i="38"/>
  <c r="E114" i="39"/>
  <c r="E114" i="40"/>
  <c r="E114" i="42"/>
  <c r="E114" i="43"/>
  <c r="E114" i="44"/>
  <c r="E114" i="45"/>
  <c r="E114" i="47"/>
  <c r="E114" i="50"/>
  <c r="E114" i="51"/>
  <c r="E114" i="52"/>
  <c r="E114" i="75"/>
  <c r="E114" i="76"/>
  <c r="E114" i="58"/>
  <c r="E114" i="67"/>
  <c r="E114" i="69"/>
  <c r="E114" i="68"/>
  <c r="E114" i="30"/>
  <c r="E113" i="37"/>
  <c r="E114" i="60" s="1"/>
  <c r="E113" i="44"/>
  <c r="E113" i="68"/>
  <c r="E113" i="30"/>
  <c r="E115" i="60" l="1"/>
  <c r="H69" i="32"/>
  <c r="H72" i="32"/>
  <c r="I10" i="16" l="1"/>
  <c r="U10" i="16" s="1"/>
  <c r="I10" i="17"/>
  <c r="U10" i="17" s="1"/>
  <c r="I10" i="18"/>
  <c r="U10" i="18" s="1"/>
  <c r="I10" i="20"/>
  <c r="U10" i="20" s="1"/>
  <c r="I10" i="21"/>
  <c r="U10" i="21" s="1"/>
  <c r="I10" i="25"/>
  <c r="U10" i="25" s="1"/>
  <c r="I10" i="24"/>
  <c r="U10" i="24" s="1"/>
  <c r="I10" i="22"/>
  <c r="U10" i="22" s="1"/>
  <c r="I10" i="26"/>
  <c r="U10" i="26" s="1"/>
  <c r="I10" i="27"/>
  <c r="U10" i="27" s="1"/>
  <c r="I10" i="28"/>
  <c r="U10" i="28" s="1"/>
  <c r="I10" i="31"/>
  <c r="U10" i="31" s="1"/>
  <c r="I10" i="32"/>
  <c r="U10" i="32" s="1"/>
  <c r="I10" i="33"/>
  <c r="U10" i="33" s="1"/>
  <c r="I10" i="34"/>
  <c r="U10" i="34" s="1"/>
  <c r="I10" i="35"/>
  <c r="U10" i="35" s="1"/>
  <c r="I10" i="23"/>
  <c r="U10" i="23" s="1"/>
  <c r="I10" i="36"/>
  <c r="U10" i="36" s="1"/>
  <c r="I10" i="37"/>
  <c r="U10" i="37" s="1"/>
  <c r="I10" i="38"/>
  <c r="U10" i="38" s="1"/>
  <c r="I10" i="39"/>
  <c r="U10" i="39" s="1"/>
  <c r="I10" i="40"/>
  <c r="U10" i="40" s="1"/>
  <c r="I10" i="42"/>
  <c r="U10" i="42" s="1"/>
  <c r="I10" i="43"/>
  <c r="U10" i="43" s="1"/>
  <c r="I10" i="44"/>
  <c r="U10" i="44" s="1"/>
  <c r="I10" i="45"/>
  <c r="U10" i="45" s="1"/>
  <c r="I10" i="47"/>
  <c r="U10" i="47" s="1"/>
  <c r="I10" i="48"/>
  <c r="U10" i="48" s="1"/>
  <c r="I10" i="50"/>
  <c r="U10" i="50" s="1"/>
  <c r="I10" i="51"/>
  <c r="U10" i="51" s="1"/>
  <c r="I10" i="52"/>
  <c r="U10" i="52" s="1"/>
  <c r="I10" i="75"/>
  <c r="U10" i="75" s="1"/>
  <c r="I10" i="76"/>
  <c r="U10" i="76" s="1"/>
  <c r="I10" i="55"/>
  <c r="U10" i="55" s="1"/>
  <c r="I10" i="56"/>
  <c r="U10" i="56" s="1"/>
  <c r="I10" i="57"/>
  <c r="U10" i="57" s="1"/>
  <c r="I10" i="58"/>
  <c r="U10" i="58" s="1"/>
  <c r="I10" i="66"/>
  <c r="U10" i="66" s="1"/>
  <c r="I10" i="67"/>
  <c r="U10" i="67" s="1"/>
  <c r="I10" i="69"/>
  <c r="U10" i="69" s="1"/>
  <c r="I10" i="70"/>
  <c r="U10" i="70" s="1"/>
  <c r="I10" i="71"/>
  <c r="U10" i="71" s="1"/>
  <c r="I10" i="68"/>
  <c r="U10" i="68" s="1"/>
  <c r="I10" i="77"/>
  <c r="U10" i="77" s="1"/>
  <c r="I10" i="78"/>
  <c r="U10" i="78" s="1"/>
  <c r="I10" i="30"/>
  <c r="U10" i="30" s="1"/>
  <c r="D54" i="72" l="1"/>
  <c r="U54" i="72" s="1"/>
  <c r="E3" i="62" l="1"/>
  <c r="E14" i="62"/>
  <c r="E18" i="62" s="1"/>
  <c r="E24" i="62"/>
  <c r="N1" i="30"/>
  <c r="A3" i="30"/>
  <c r="N3" i="30" s="1"/>
  <c r="F4" i="30"/>
  <c r="P4" i="30"/>
  <c r="N7" i="30"/>
  <c r="C8" i="30"/>
  <c r="P8" i="30" s="1"/>
  <c r="H8" i="30"/>
  <c r="F14" i="30"/>
  <c r="F15" i="30"/>
  <c r="F16" i="30"/>
  <c r="F17" i="30"/>
  <c r="F18" i="30"/>
  <c r="F19" i="30"/>
  <c r="F20" i="30"/>
  <c r="F21" i="30"/>
  <c r="F22" i="30"/>
  <c r="F23" i="30"/>
  <c r="F24" i="30"/>
  <c r="F25" i="30"/>
  <c r="F26" i="30"/>
  <c r="F27" i="30"/>
  <c r="F28" i="30"/>
  <c r="F29" i="30"/>
  <c r="C30" i="30"/>
  <c r="D30" i="30"/>
  <c r="C44" i="30"/>
  <c r="D44" i="30"/>
  <c r="E38" i="30" s="1"/>
  <c r="H69" i="30"/>
  <c r="T69" i="30" s="1"/>
  <c r="H72" i="30"/>
  <c r="T72" i="30" s="1"/>
  <c r="F85" i="30"/>
  <c r="F88" i="30"/>
  <c r="R88" i="30" s="1"/>
  <c r="F90" i="30"/>
  <c r="F92" i="30"/>
  <c r="R92" i="30" s="1"/>
  <c r="F94" i="30"/>
  <c r="R94" i="30" s="1"/>
  <c r="F96" i="30"/>
  <c r="R96" i="30" s="1"/>
  <c r="F104" i="30"/>
  <c r="R104" i="30" s="1"/>
  <c r="F105" i="30"/>
  <c r="R105" i="30" s="1"/>
  <c r="F106" i="30"/>
  <c r="R106" i="30" s="1"/>
  <c r="G113" i="30"/>
  <c r="I113" i="30" s="1"/>
  <c r="G114" i="30"/>
  <c r="T114" i="30" s="1"/>
  <c r="U114" i="30" s="1"/>
  <c r="H121" i="30"/>
  <c r="H123" i="30" s="1"/>
  <c r="T123" i="30" s="1"/>
  <c r="R121" i="30"/>
  <c r="R122" i="30" s="1"/>
  <c r="F122" i="30"/>
  <c r="H122" i="30"/>
  <c r="I143" i="30"/>
  <c r="A152" i="30"/>
  <c r="A162" i="30"/>
  <c r="A164" i="30"/>
  <c r="A168" i="30"/>
  <c r="A172" i="30"/>
  <c r="A173" i="30"/>
  <c r="A174" i="30"/>
  <c r="A178" i="30"/>
  <c r="A179" i="30"/>
  <c r="A180" i="30"/>
  <c r="A182" i="30"/>
  <c r="A183" i="30"/>
  <c r="A184" i="30"/>
  <c r="A185" i="30"/>
  <c r="N1" i="78"/>
  <c r="A3" i="78"/>
  <c r="N3" i="78" s="1"/>
  <c r="F4" i="78"/>
  <c r="P4" i="78"/>
  <c r="N7" i="78"/>
  <c r="C8" i="78"/>
  <c r="P8" i="78" s="1"/>
  <c r="H8" i="78"/>
  <c r="T8" i="78" s="1"/>
  <c r="P105" i="78" s="1"/>
  <c r="F14" i="78"/>
  <c r="F15" i="78"/>
  <c r="F16" i="78"/>
  <c r="F17" i="78"/>
  <c r="F18" i="78"/>
  <c r="F19" i="78"/>
  <c r="F20" i="78"/>
  <c r="F21" i="78"/>
  <c r="F22" i="78"/>
  <c r="F23" i="78"/>
  <c r="F24" i="78"/>
  <c r="F25" i="78"/>
  <c r="F26" i="78"/>
  <c r="F27" i="78"/>
  <c r="F28" i="78"/>
  <c r="F29" i="78"/>
  <c r="C30" i="78"/>
  <c r="D30" i="78"/>
  <c r="C44" i="78"/>
  <c r="D44" i="78"/>
  <c r="H69" i="78"/>
  <c r="T69" i="78" s="1"/>
  <c r="H72" i="78"/>
  <c r="T72" i="78" s="1"/>
  <c r="F85" i="78"/>
  <c r="F88" i="78"/>
  <c r="F90" i="78"/>
  <c r="F92" i="78"/>
  <c r="F94" i="78"/>
  <c r="R94" i="78" s="1"/>
  <c r="F96" i="78"/>
  <c r="F104" i="78"/>
  <c r="R104" i="78" s="1"/>
  <c r="F105" i="78"/>
  <c r="R105" i="78" s="1"/>
  <c r="F106" i="78"/>
  <c r="R106" i="78" s="1"/>
  <c r="G113" i="78"/>
  <c r="T113" i="78" s="1"/>
  <c r="G114" i="78"/>
  <c r="I114" i="78" s="1"/>
  <c r="H121" i="78"/>
  <c r="R121" i="78"/>
  <c r="R122" i="78" s="1"/>
  <c r="F122" i="78"/>
  <c r="H122" i="78"/>
  <c r="I143" i="78"/>
  <c r="A152" i="78"/>
  <c r="A162" i="78"/>
  <c r="A164" i="78"/>
  <c r="A168" i="78"/>
  <c r="A172" i="78"/>
  <c r="A173" i="78"/>
  <c r="A174" i="78"/>
  <c r="A178" i="78"/>
  <c r="A179" i="78"/>
  <c r="A180" i="78"/>
  <c r="A182" i="78"/>
  <c r="A183" i="78"/>
  <c r="A184" i="78"/>
  <c r="A185" i="78"/>
  <c r="N1" i="77"/>
  <c r="A3" i="77"/>
  <c r="N3" i="77" s="1"/>
  <c r="F4" i="77"/>
  <c r="P4" i="77"/>
  <c r="N7" i="77"/>
  <c r="C8" i="77"/>
  <c r="P8" i="77" s="1"/>
  <c r="H8" i="77"/>
  <c r="T8" i="77" s="1"/>
  <c r="F14" i="77"/>
  <c r="F15" i="77"/>
  <c r="F16" i="77"/>
  <c r="F17" i="77"/>
  <c r="F18" i="77"/>
  <c r="F19" i="77"/>
  <c r="F20" i="77"/>
  <c r="F21" i="77"/>
  <c r="F22" i="77"/>
  <c r="F23" i="77"/>
  <c r="F24" i="77"/>
  <c r="F25" i="77"/>
  <c r="F26" i="77"/>
  <c r="F27" i="77"/>
  <c r="F28" i="77"/>
  <c r="F29" i="77"/>
  <c r="C30" i="77"/>
  <c r="D30" i="77"/>
  <c r="E121" i="77" s="1"/>
  <c r="C44" i="77"/>
  <c r="D44" i="77"/>
  <c r="E40" i="77" s="1"/>
  <c r="H69" i="77"/>
  <c r="T69" i="77" s="1"/>
  <c r="H72" i="77"/>
  <c r="T72" i="77" s="1"/>
  <c r="F85" i="77"/>
  <c r="R85" i="77" s="1"/>
  <c r="F88" i="77"/>
  <c r="F90" i="77"/>
  <c r="R90" i="77" s="1"/>
  <c r="F92" i="77"/>
  <c r="R92" i="77" s="1"/>
  <c r="F94" i="77"/>
  <c r="F96" i="77"/>
  <c r="F104" i="77"/>
  <c r="R104" i="77" s="1"/>
  <c r="F105" i="77"/>
  <c r="R105" i="77" s="1"/>
  <c r="F106" i="77"/>
  <c r="R106" i="77" s="1"/>
  <c r="G113" i="77"/>
  <c r="T113" i="77" s="1"/>
  <c r="G114" i="77"/>
  <c r="I114" i="77" s="1"/>
  <c r="H121" i="77"/>
  <c r="R121" i="77"/>
  <c r="R122" i="77" s="1"/>
  <c r="F122" i="77"/>
  <c r="H122" i="77"/>
  <c r="T122" i="77" s="1"/>
  <c r="I143" i="77"/>
  <c r="A152" i="77"/>
  <c r="A162" i="77"/>
  <c r="A164" i="77"/>
  <c r="A168" i="77"/>
  <c r="A172" i="77"/>
  <c r="A173" i="77"/>
  <c r="A174" i="77"/>
  <c r="A178" i="77"/>
  <c r="A179" i="77"/>
  <c r="A180" i="77"/>
  <c r="A182" i="77"/>
  <c r="A183" i="77"/>
  <c r="A184" i="77"/>
  <c r="A185" i="77"/>
  <c r="N1" i="68"/>
  <c r="A3" i="68"/>
  <c r="N3" i="68" s="1"/>
  <c r="F4" i="68"/>
  <c r="P4" i="68"/>
  <c r="N7" i="68"/>
  <c r="C8" i="68"/>
  <c r="P8" i="68" s="1"/>
  <c r="H8" i="68"/>
  <c r="E104" i="68" s="1"/>
  <c r="F14" i="68"/>
  <c r="F15" i="68"/>
  <c r="F16" i="68"/>
  <c r="F17" i="68"/>
  <c r="F18" i="68"/>
  <c r="F19" i="68"/>
  <c r="F20" i="68"/>
  <c r="F21" i="68"/>
  <c r="F22" i="68"/>
  <c r="F23" i="68"/>
  <c r="F24" i="68"/>
  <c r="F25" i="68"/>
  <c r="F26" i="68"/>
  <c r="F27" i="68"/>
  <c r="F28" i="68"/>
  <c r="F29" i="68"/>
  <c r="D30" i="68"/>
  <c r="C44" i="68"/>
  <c r="D44" i="68"/>
  <c r="E38" i="68" s="1"/>
  <c r="H69" i="68"/>
  <c r="T69" i="68" s="1"/>
  <c r="H72" i="68"/>
  <c r="T72" i="68" s="1"/>
  <c r="F85" i="68"/>
  <c r="R85" i="68" s="1"/>
  <c r="F88" i="68"/>
  <c r="R88" i="68" s="1"/>
  <c r="F90" i="68"/>
  <c r="R90" i="68" s="1"/>
  <c r="F92" i="68"/>
  <c r="R92" i="68" s="1"/>
  <c r="F94" i="68"/>
  <c r="R94" i="68" s="1"/>
  <c r="F96" i="68"/>
  <c r="R96" i="68" s="1"/>
  <c r="F104" i="68"/>
  <c r="R104" i="68" s="1"/>
  <c r="F105" i="68"/>
  <c r="R105" i="68" s="1"/>
  <c r="F106" i="68"/>
  <c r="R106" i="68" s="1"/>
  <c r="G113" i="68"/>
  <c r="G114" i="68"/>
  <c r="H121" i="68"/>
  <c r="T121" i="68" s="1"/>
  <c r="R121" i="68"/>
  <c r="R122" i="68" s="1"/>
  <c r="F122" i="68"/>
  <c r="H122" i="68"/>
  <c r="T122" i="68" s="1"/>
  <c r="I143" i="68"/>
  <c r="A152" i="68"/>
  <c r="A162" i="68"/>
  <c r="A164" i="68"/>
  <c r="A168" i="68"/>
  <c r="A172" i="68"/>
  <c r="A173" i="68"/>
  <c r="A174" i="68"/>
  <c r="A178" i="68"/>
  <c r="A179" i="68"/>
  <c r="A180" i="68"/>
  <c r="A182" i="68"/>
  <c r="A183" i="68"/>
  <c r="A184" i="68"/>
  <c r="A185" i="68"/>
  <c r="N1" i="71"/>
  <c r="A3" i="71"/>
  <c r="N3" i="71" s="1"/>
  <c r="F4" i="71"/>
  <c r="P4" i="71"/>
  <c r="N7" i="71"/>
  <c r="C8" i="71"/>
  <c r="P8" i="71" s="1"/>
  <c r="H8" i="71"/>
  <c r="F14" i="71"/>
  <c r="F15" i="71"/>
  <c r="F16" i="71"/>
  <c r="F17" i="71"/>
  <c r="F18" i="71"/>
  <c r="F19" i="71"/>
  <c r="F20" i="71"/>
  <c r="F22" i="71"/>
  <c r="F23" i="71"/>
  <c r="F24" i="71"/>
  <c r="F25" i="71"/>
  <c r="F26" i="71"/>
  <c r="F27" i="71"/>
  <c r="F28" i="71"/>
  <c r="F29" i="71"/>
  <c r="C30" i="71"/>
  <c r="D30" i="71"/>
  <c r="C44" i="71"/>
  <c r="D44" i="71"/>
  <c r="H69" i="71"/>
  <c r="T69" i="71" s="1"/>
  <c r="H72" i="71"/>
  <c r="T72" i="71" s="1"/>
  <c r="F85" i="71"/>
  <c r="R85" i="71" s="1"/>
  <c r="F88" i="71"/>
  <c r="R88" i="71" s="1"/>
  <c r="F90" i="71"/>
  <c r="R90" i="71" s="1"/>
  <c r="F92" i="71"/>
  <c r="F94" i="71"/>
  <c r="R94" i="71" s="1"/>
  <c r="F96" i="71"/>
  <c r="R96" i="71" s="1"/>
  <c r="F104" i="71"/>
  <c r="R104" i="71" s="1"/>
  <c r="F105" i="71"/>
  <c r="R105" i="71" s="1"/>
  <c r="F106" i="71"/>
  <c r="R106" i="71" s="1"/>
  <c r="G113" i="71"/>
  <c r="I113" i="71" s="1"/>
  <c r="G114" i="71"/>
  <c r="T114" i="71" s="1"/>
  <c r="U114" i="71" s="1"/>
  <c r="H121" i="71"/>
  <c r="H123" i="71" s="1"/>
  <c r="T123" i="71" s="1"/>
  <c r="R121" i="71"/>
  <c r="R122" i="71" s="1"/>
  <c r="F122" i="71"/>
  <c r="H122" i="71"/>
  <c r="T122" i="71" s="1"/>
  <c r="I143" i="71"/>
  <c r="A152" i="71"/>
  <c r="A162" i="71"/>
  <c r="A164" i="71"/>
  <c r="A168" i="71"/>
  <c r="A172" i="71"/>
  <c r="A173" i="71"/>
  <c r="A174" i="71"/>
  <c r="A178" i="71"/>
  <c r="A179" i="71"/>
  <c r="A180" i="71"/>
  <c r="A182" i="71"/>
  <c r="A183" i="71"/>
  <c r="A184" i="71"/>
  <c r="A185" i="71"/>
  <c r="N1" i="70"/>
  <c r="A3" i="70"/>
  <c r="N3" i="70" s="1"/>
  <c r="F4" i="70"/>
  <c r="P4" i="70"/>
  <c r="N7" i="70"/>
  <c r="C8" i="70"/>
  <c r="P8" i="70" s="1"/>
  <c r="H8" i="70"/>
  <c r="T8" i="70" s="1"/>
  <c r="F14" i="70"/>
  <c r="F15" i="70"/>
  <c r="F16" i="70"/>
  <c r="F17" i="70"/>
  <c r="F18" i="70"/>
  <c r="F19" i="70"/>
  <c r="F20" i="70"/>
  <c r="F21" i="70"/>
  <c r="F22" i="70"/>
  <c r="F23" i="70"/>
  <c r="F24" i="70"/>
  <c r="F25" i="70"/>
  <c r="F26" i="70"/>
  <c r="F27" i="70"/>
  <c r="F28" i="70"/>
  <c r="F29" i="70"/>
  <c r="C30" i="70"/>
  <c r="D30" i="70"/>
  <c r="C44" i="70"/>
  <c r="D44" i="70"/>
  <c r="H69" i="70"/>
  <c r="T69" i="70" s="1"/>
  <c r="H72" i="70"/>
  <c r="T72" i="70" s="1"/>
  <c r="F85" i="70"/>
  <c r="R85" i="70" s="1"/>
  <c r="F88" i="70"/>
  <c r="R88" i="70" s="1"/>
  <c r="F90" i="70"/>
  <c r="R90" i="70" s="1"/>
  <c r="F92" i="70"/>
  <c r="R92" i="70" s="1"/>
  <c r="F94" i="70"/>
  <c r="R94" i="70" s="1"/>
  <c r="F96" i="70"/>
  <c r="R96" i="70" s="1"/>
  <c r="F104" i="70"/>
  <c r="R104" i="70" s="1"/>
  <c r="F105" i="70"/>
  <c r="R105" i="70" s="1"/>
  <c r="F106" i="70"/>
  <c r="R106" i="70" s="1"/>
  <c r="G113" i="70"/>
  <c r="T113" i="70" s="1"/>
  <c r="G114" i="70"/>
  <c r="I114" i="70" s="1"/>
  <c r="H121" i="70"/>
  <c r="R121" i="70"/>
  <c r="R122" i="70" s="1"/>
  <c r="F122" i="70"/>
  <c r="H122" i="70"/>
  <c r="T122" i="70" s="1"/>
  <c r="I143" i="70"/>
  <c r="A152" i="70"/>
  <c r="A162" i="70"/>
  <c r="A164" i="70"/>
  <c r="A168" i="70"/>
  <c r="A172" i="70"/>
  <c r="A173" i="70"/>
  <c r="A174" i="70"/>
  <c r="A178" i="70"/>
  <c r="A179" i="70"/>
  <c r="A180" i="70"/>
  <c r="A182" i="70"/>
  <c r="A183" i="70"/>
  <c r="A184" i="70"/>
  <c r="A185" i="70"/>
  <c r="N1" i="69"/>
  <c r="A3" i="69"/>
  <c r="N3" i="69" s="1"/>
  <c r="F4" i="69"/>
  <c r="P4" i="69"/>
  <c r="N7" i="69"/>
  <c r="C8" i="69"/>
  <c r="P8" i="69" s="1"/>
  <c r="H8" i="69"/>
  <c r="F14" i="69"/>
  <c r="F15" i="69"/>
  <c r="F16" i="69"/>
  <c r="F17" i="69"/>
  <c r="F18" i="69"/>
  <c r="F19" i="69"/>
  <c r="F20" i="69"/>
  <c r="F21" i="69"/>
  <c r="F22" i="69"/>
  <c r="F23" i="69"/>
  <c r="F24" i="69"/>
  <c r="F25" i="69"/>
  <c r="F26" i="69"/>
  <c r="F27" i="69"/>
  <c r="F28" i="69"/>
  <c r="F29" i="69"/>
  <c r="C30" i="69"/>
  <c r="D30" i="69"/>
  <c r="C44" i="69"/>
  <c r="D44" i="69"/>
  <c r="H69" i="69"/>
  <c r="T69" i="69" s="1"/>
  <c r="H72" i="69"/>
  <c r="T72" i="69" s="1"/>
  <c r="F85" i="69"/>
  <c r="R85" i="69" s="1"/>
  <c r="F88" i="69"/>
  <c r="R88" i="69" s="1"/>
  <c r="F90" i="69"/>
  <c r="R90" i="69" s="1"/>
  <c r="F92" i="69"/>
  <c r="F94" i="69"/>
  <c r="R94" i="69" s="1"/>
  <c r="F96" i="69"/>
  <c r="R96" i="69" s="1"/>
  <c r="F104" i="69"/>
  <c r="R104" i="69" s="1"/>
  <c r="F105" i="69"/>
  <c r="R105" i="69" s="1"/>
  <c r="F106" i="69"/>
  <c r="R106" i="69" s="1"/>
  <c r="G113" i="69"/>
  <c r="I113" i="69" s="1"/>
  <c r="G114" i="69"/>
  <c r="T114" i="69" s="1"/>
  <c r="U114" i="69" s="1"/>
  <c r="H121" i="69"/>
  <c r="T121" i="69" s="1"/>
  <c r="R121" i="69"/>
  <c r="R122" i="69" s="1"/>
  <c r="F122" i="69"/>
  <c r="H122" i="69"/>
  <c r="T122" i="69" s="1"/>
  <c r="I143" i="69"/>
  <c r="A152" i="69"/>
  <c r="A162" i="69"/>
  <c r="A164" i="69"/>
  <c r="A168" i="69"/>
  <c r="A172" i="69"/>
  <c r="A173" i="69"/>
  <c r="A174" i="69"/>
  <c r="A178" i="69"/>
  <c r="A179" i="69"/>
  <c r="A180" i="69"/>
  <c r="A182" i="69"/>
  <c r="A183" i="69"/>
  <c r="A184" i="69"/>
  <c r="A185" i="69"/>
  <c r="N1" i="67"/>
  <c r="A3" i="67"/>
  <c r="N3" i="67" s="1"/>
  <c r="F4" i="67"/>
  <c r="P4" i="67"/>
  <c r="N7" i="67"/>
  <c r="C8" i="67"/>
  <c r="P8" i="67" s="1"/>
  <c r="H8" i="67"/>
  <c r="E104" i="67" s="1"/>
  <c r="F14" i="67"/>
  <c r="F15" i="67"/>
  <c r="F16" i="67"/>
  <c r="F17" i="67"/>
  <c r="F18" i="67"/>
  <c r="F19" i="67"/>
  <c r="F20" i="67"/>
  <c r="F21" i="67"/>
  <c r="F22" i="67"/>
  <c r="F23" i="67"/>
  <c r="F24" i="67"/>
  <c r="F25" i="67"/>
  <c r="F26" i="67"/>
  <c r="F27" i="67"/>
  <c r="F28" i="67"/>
  <c r="F29" i="67"/>
  <c r="C30" i="67"/>
  <c r="D30" i="67"/>
  <c r="E121" i="67" s="1"/>
  <c r="C44" i="67"/>
  <c r="D44" i="67"/>
  <c r="E39" i="67" s="1"/>
  <c r="H69" i="67"/>
  <c r="T69" i="67" s="1"/>
  <c r="H72" i="67"/>
  <c r="T72" i="67" s="1"/>
  <c r="F85" i="67"/>
  <c r="R85" i="67" s="1"/>
  <c r="F88" i="67"/>
  <c r="R88" i="67" s="1"/>
  <c r="F90" i="67"/>
  <c r="R90" i="67" s="1"/>
  <c r="F92" i="67"/>
  <c r="R92" i="67" s="1"/>
  <c r="F94" i="67"/>
  <c r="R94" i="67" s="1"/>
  <c r="F96" i="67"/>
  <c r="R96" i="67" s="1"/>
  <c r="F104" i="67"/>
  <c r="R104" i="67" s="1"/>
  <c r="F105" i="67"/>
  <c r="R105" i="67" s="1"/>
  <c r="F106" i="67"/>
  <c r="R106" i="67" s="1"/>
  <c r="G113" i="67"/>
  <c r="T113" i="67" s="1"/>
  <c r="G114" i="67"/>
  <c r="T114" i="67" s="1"/>
  <c r="U114" i="67" s="1"/>
  <c r="H121" i="67"/>
  <c r="H123" i="67" s="1"/>
  <c r="T123" i="67" s="1"/>
  <c r="R121" i="67"/>
  <c r="R122" i="67" s="1"/>
  <c r="F122" i="67"/>
  <c r="H122" i="67"/>
  <c r="T122" i="67" s="1"/>
  <c r="I143" i="67"/>
  <c r="A152" i="67"/>
  <c r="A162" i="67"/>
  <c r="A164" i="67"/>
  <c r="A168" i="67"/>
  <c r="A172" i="67"/>
  <c r="A173" i="67"/>
  <c r="A174" i="67"/>
  <c r="A178" i="67"/>
  <c r="A179" i="67"/>
  <c r="A180" i="67"/>
  <c r="A182" i="67"/>
  <c r="A183" i="67"/>
  <c r="A184" i="67"/>
  <c r="A185" i="67"/>
  <c r="N1" i="66"/>
  <c r="A3" i="66"/>
  <c r="N3" i="66" s="1"/>
  <c r="F4" i="66"/>
  <c r="P4" i="66"/>
  <c r="N7" i="66"/>
  <c r="C8" i="66"/>
  <c r="P8" i="66" s="1"/>
  <c r="H8" i="66"/>
  <c r="E105" i="66" s="1"/>
  <c r="F14" i="66"/>
  <c r="F15" i="66"/>
  <c r="F16" i="66"/>
  <c r="F17" i="66"/>
  <c r="F18" i="66"/>
  <c r="F19" i="66"/>
  <c r="F20" i="66"/>
  <c r="F21" i="66"/>
  <c r="F22" i="66"/>
  <c r="F23" i="66"/>
  <c r="F24" i="66"/>
  <c r="F25" i="66"/>
  <c r="F26" i="66"/>
  <c r="F27" i="66"/>
  <c r="F28" i="66"/>
  <c r="F29" i="66"/>
  <c r="C30" i="66"/>
  <c r="D30" i="66"/>
  <c r="C44" i="66"/>
  <c r="D44" i="66"/>
  <c r="E39" i="66" s="1"/>
  <c r="H69" i="66"/>
  <c r="T69" i="66" s="1"/>
  <c r="H72" i="66"/>
  <c r="T72" i="66" s="1"/>
  <c r="F85" i="66"/>
  <c r="R85" i="66" s="1"/>
  <c r="F88" i="66"/>
  <c r="R88" i="66" s="1"/>
  <c r="F90" i="66"/>
  <c r="R90" i="66" s="1"/>
  <c r="F92" i="66"/>
  <c r="R92" i="66" s="1"/>
  <c r="F94" i="66"/>
  <c r="R94" i="66" s="1"/>
  <c r="F96" i="66"/>
  <c r="R96" i="66" s="1"/>
  <c r="F104" i="66"/>
  <c r="R104" i="66" s="1"/>
  <c r="F105" i="66"/>
  <c r="R105" i="66" s="1"/>
  <c r="F106" i="66"/>
  <c r="R106" i="66" s="1"/>
  <c r="G113" i="66"/>
  <c r="T113" i="66" s="1"/>
  <c r="G114" i="66"/>
  <c r="T114" i="66" s="1"/>
  <c r="U114" i="66" s="1"/>
  <c r="H121" i="66"/>
  <c r="R121" i="66"/>
  <c r="R122" i="66" s="1"/>
  <c r="F122" i="66"/>
  <c r="H122" i="66"/>
  <c r="T122" i="66" s="1"/>
  <c r="I143" i="66"/>
  <c r="A152" i="66"/>
  <c r="A162" i="66"/>
  <c r="A164" i="66"/>
  <c r="A168" i="66"/>
  <c r="A172" i="66"/>
  <c r="A173" i="66"/>
  <c r="A174" i="66"/>
  <c r="A178" i="66"/>
  <c r="A179" i="66"/>
  <c r="A180" i="66"/>
  <c r="A182" i="66"/>
  <c r="A183" i="66"/>
  <c r="A184" i="66"/>
  <c r="A185" i="66"/>
  <c r="N1" i="58"/>
  <c r="A3" i="58"/>
  <c r="N3" i="58" s="1"/>
  <c r="F4" i="58"/>
  <c r="P4" i="58"/>
  <c r="N7" i="58"/>
  <c r="C8" i="58"/>
  <c r="P8" i="58" s="1"/>
  <c r="H8" i="58"/>
  <c r="T8" i="58" s="1"/>
  <c r="F14" i="58"/>
  <c r="F15" i="58"/>
  <c r="F16" i="58"/>
  <c r="F17" i="58"/>
  <c r="F18" i="58"/>
  <c r="F19" i="58"/>
  <c r="F20" i="58"/>
  <c r="F21" i="58"/>
  <c r="F22" i="58"/>
  <c r="F23" i="58"/>
  <c r="F24" i="58"/>
  <c r="F25" i="58"/>
  <c r="F26" i="58"/>
  <c r="F27" i="58"/>
  <c r="F28" i="58"/>
  <c r="F29" i="58"/>
  <c r="D30" i="58"/>
  <c r="C44" i="58"/>
  <c r="D44" i="58"/>
  <c r="H69" i="58"/>
  <c r="T69" i="58" s="1"/>
  <c r="H72" i="58"/>
  <c r="T72" i="58" s="1"/>
  <c r="F85" i="58"/>
  <c r="F88" i="58"/>
  <c r="R88" i="58" s="1"/>
  <c r="F90" i="58"/>
  <c r="F92" i="58"/>
  <c r="R92" i="58" s="1"/>
  <c r="F94" i="58"/>
  <c r="R94" i="58" s="1"/>
  <c r="F96" i="58"/>
  <c r="R96" i="58" s="1"/>
  <c r="F104" i="58"/>
  <c r="R104" i="58" s="1"/>
  <c r="F105" i="58"/>
  <c r="R105" i="58" s="1"/>
  <c r="F106" i="58"/>
  <c r="R106" i="58" s="1"/>
  <c r="G113" i="58"/>
  <c r="I113" i="58" s="1"/>
  <c r="G114" i="58"/>
  <c r="T114" i="58" s="1"/>
  <c r="U114" i="58" s="1"/>
  <c r="H121" i="58"/>
  <c r="T121" i="58" s="1"/>
  <c r="R121" i="58"/>
  <c r="R122" i="58" s="1"/>
  <c r="F122" i="58"/>
  <c r="H122" i="58"/>
  <c r="T122" i="58" s="1"/>
  <c r="I143" i="58"/>
  <c r="A152" i="58"/>
  <c r="A162" i="58"/>
  <c r="A164" i="58"/>
  <c r="A168" i="58"/>
  <c r="A172" i="58"/>
  <c r="A173" i="58"/>
  <c r="A174" i="58"/>
  <c r="A178" i="58"/>
  <c r="A179" i="58"/>
  <c r="A180" i="58"/>
  <c r="A182" i="58"/>
  <c r="A183" i="58"/>
  <c r="A184" i="58"/>
  <c r="A185" i="58"/>
  <c r="N1" i="57"/>
  <c r="A3" i="57"/>
  <c r="N3" i="57" s="1"/>
  <c r="F4" i="57"/>
  <c r="P4" i="57"/>
  <c r="N7" i="57"/>
  <c r="C8" i="57"/>
  <c r="P8" i="57" s="1"/>
  <c r="H8" i="57"/>
  <c r="E105" i="57" s="1"/>
  <c r="F14" i="57"/>
  <c r="F15" i="57"/>
  <c r="F16" i="57"/>
  <c r="F17" i="57"/>
  <c r="F18" i="57"/>
  <c r="F19" i="57"/>
  <c r="F20" i="57"/>
  <c r="F21" i="57"/>
  <c r="F22" i="57"/>
  <c r="F23" i="57"/>
  <c r="F24" i="57"/>
  <c r="F25" i="57"/>
  <c r="F26" i="57"/>
  <c r="F27" i="57"/>
  <c r="F28" i="57"/>
  <c r="F29" i="57"/>
  <c r="C30" i="57"/>
  <c r="D30" i="57"/>
  <c r="E121" i="57" s="1"/>
  <c r="C44" i="57"/>
  <c r="D44" i="57"/>
  <c r="E40" i="57" s="1"/>
  <c r="H69" i="57"/>
  <c r="T69" i="57" s="1"/>
  <c r="H72" i="57"/>
  <c r="T72" i="57" s="1"/>
  <c r="F85" i="57"/>
  <c r="R85" i="57" s="1"/>
  <c r="F88" i="57"/>
  <c r="R88" i="57" s="1"/>
  <c r="F90" i="57"/>
  <c r="R90" i="57" s="1"/>
  <c r="F92" i="57"/>
  <c r="R92" i="57" s="1"/>
  <c r="F94" i="57"/>
  <c r="R94" i="57" s="1"/>
  <c r="F96" i="57"/>
  <c r="R96" i="57" s="1"/>
  <c r="F104" i="57"/>
  <c r="R104" i="57" s="1"/>
  <c r="F105" i="57"/>
  <c r="R105" i="57" s="1"/>
  <c r="F106" i="57"/>
  <c r="R106" i="57" s="1"/>
  <c r="G113" i="57"/>
  <c r="T113" i="57" s="1"/>
  <c r="G114" i="57"/>
  <c r="H121" i="57"/>
  <c r="R121" i="57"/>
  <c r="R122" i="57" s="1"/>
  <c r="F122" i="57"/>
  <c r="H122" i="57"/>
  <c r="T122" i="57" s="1"/>
  <c r="I143" i="57"/>
  <c r="A152" i="57"/>
  <c r="A162" i="57"/>
  <c r="A164" i="57"/>
  <c r="A168" i="57"/>
  <c r="A172" i="57"/>
  <c r="A173" i="57"/>
  <c r="A174" i="57"/>
  <c r="A178" i="57"/>
  <c r="A179" i="57"/>
  <c r="A180" i="57"/>
  <c r="A182" i="57"/>
  <c r="A183" i="57"/>
  <c r="A184" i="57"/>
  <c r="A185" i="57"/>
  <c r="N1" i="56"/>
  <c r="A3" i="56"/>
  <c r="N3" i="56" s="1"/>
  <c r="F4" i="56"/>
  <c r="P4" i="56"/>
  <c r="N7" i="56"/>
  <c r="C8" i="56"/>
  <c r="P8" i="56" s="1"/>
  <c r="H8" i="56"/>
  <c r="T8" i="56" s="1"/>
  <c r="F14" i="56"/>
  <c r="F15" i="56"/>
  <c r="F16" i="56"/>
  <c r="F17" i="56"/>
  <c r="F18" i="56"/>
  <c r="F19" i="56"/>
  <c r="F20" i="56"/>
  <c r="F21" i="56"/>
  <c r="F22" i="56"/>
  <c r="F23" i="56"/>
  <c r="F24" i="56"/>
  <c r="F25" i="56"/>
  <c r="F26" i="56"/>
  <c r="F27" i="56"/>
  <c r="F28" i="56"/>
  <c r="F29" i="56"/>
  <c r="C30" i="56"/>
  <c r="D30" i="56"/>
  <c r="C44" i="56"/>
  <c r="D44" i="56"/>
  <c r="H69" i="56"/>
  <c r="T69" i="56" s="1"/>
  <c r="H72" i="56"/>
  <c r="T72" i="56" s="1"/>
  <c r="F85" i="56"/>
  <c r="R85" i="56" s="1"/>
  <c r="F88" i="56"/>
  <c r="R88" i="56" s="1"/>
  <c r="F90" i="56"/>
  <c r="R90" i="56" s="1"/>
  <c r="F92" i="56"/>
  <c r="F94" i="56"/>
  <c r="R94" i="56" s="1"/>
  <c r="F96" i="56"/>
  <c r="R96" i="56" s="1"/>
  <c r="F104" i="56"/>
  <c r="R104" i="56" s="1"/>
  <c r="F105" i="56"/>
  <c r="R105" i="56" s="1"/>
  <c r="F106" i="56"/>
  <c r="R106" i="56" s="1"/>
  <c r="G113" i="56"/>
  <c r="I113" i="56" s="1"/>
  <c r="G114" i="56"/>
  <c r="T114" i="56" s="1"/>
  <c r="U114" i="56" s="1"/>
  <c r="H121" i="56"/>
  <c r="T121" i="56" s="1"/>
  <c r="R121" i="56"/>
  <c r="R122" i="56" s="1"/>
  <c r="F122" i="56"/>
  <c r="H122" i="56"/>
  <c r="I143" i="56"/>
  <c r="A152" i="56"/>
  <c r="A162" i="56"/>
  <c r="A164" i="56"/>
  <c r="A168" i="56"/>
  <c r="A172" i="56"/>
  <c r="A173" i="56"/>
  <c r="A174" i="56"/>
  <c r="A178" i="56"/>
  <c r="A179" i="56"/>
  <c r="A180" i="56"/>
  <c r="A182" i="56"/>
  <c r="A183" i="56"/>
  <c r="A184" i="56"/>
  <c r="A185" i="56"/>
  <c r="N1" i="55"/>
  <c r="A3" i="55"/>
  <c r="N3" i="55" s="1"/>
  <c r="F4" i="55"/>
  <c r="P4" i="55"/>
  <c r="N7" i="55"/>
  <c r="C8" i="55"/>
  <c r="P8" i="55" s="1"/>
  <c r="H8" i="55"/>
  <c r="F14" i="55"/>
  <c r="F15" i="55"/>
  <c r="F16" i="55"/>
  <c r="F17" i="55"/>
  <c r="F18" i="55"/>
  <c r="F19" i="55"/>
  <c r="F20" i="55"/>
  <c r="F21" i="55"/>
  <c r="F22" i="55"/>
  <c r="F23" i="55"/>
  <c r="F24" i="55"/>
  <c r="F25" i="55"/>
  <c r="F26" i="55"/>
  <c r="F27" i="55"/>
  <c r="F28" i="55"/>
  <c r="F29" i="55"/>
  <c r="C30" i="55"/>
  <c r="D30" i="55"/>
  <c r="C44" i="55"/>
  <c r="D44" i="55"/>
  <c r="E38" i="55" s="1"/>
  <c r="H69" i="55"/>
  <c r="T69" i="55" s="1"/>
  <c r="H72" i="55"/>
  <c r="T72" i="55" s="1"/>
  <c r="F85" i="55"/>
  <c r="F88" i="55"/>
  <c r="R88" i="55" s="1"/>
  <c r="F90" i="55"/>
  <c r="F92" i="55"/>
  <c r="R92" i="55" s="1"/>
  <c r="F94" i="55"/>
  <c r="F96" i="55"/>
  <c r="R96" i="55" s="1"/>
  <c r="F104" i="55"/>
  <c r="R104" i="55" s="1"/>
  <c r="F105" i="55"/>
  <c r="R105" i="55" s="1"/>
  <c r="F106" i="55"/>
  <c r="R106" i="55" s="1"/>
  <c r="G113" i="55"/>
  <c r="T113" i="55" s="1"/>
  <c r="G114" i="55"/>
  <c r="T114" i="55" s="1"/>
  <c r="U114" i="55" s="1"/>
  <c r="H121" i="55"/>
  <c r="T121" i="55" s="1"/>
  <c r="R121" i="55"/>
  <c r="R122" i="55" s="1"/>
  <c r="F122" i="55"/>
  <c r="H122" i="55"/>
  <c r="T122" i="55" s="1"/>
  <c r="I143" i="55"/>
  <c r="A152" i="55"/>
  <c r="A162" i="55"/>
  <c r="A164" i="55"/>
  <c r="A168" i="55"/>
  <c r="A172" i="55"/>
  <c r="A173" i="55"/>
  <c r="A174" i="55"/>
  <c r="A178" i="55"/>
  <c r="A179" i="55"/>
  <c r="A180" i="55"/>
  <c r="A182" i="55"/>
  <c r="A183" i="55"/>
  <c r="A184" i="55"/>
  <c r="A185" i="55"/>
  <c r="N1" i="76"/>
  <c r="A3" i="76"/>
  <c r="N3" i="76" s="1"/>
  <c r="F4" i="76"/>
  <c r="P4" i="76"/>
  <c r="N7" i="76"/>
  <c r="C8" i="76"/>
  <c r="P8" i="76" s="1"/>
  <c r="H8" i="76"/>
  <c r="F14" i="76"/>
  <c r="F15" i="76"/>
  <c r="F16" i="76"/>
  <c r="F17" i="76"/>
  <c r="F18" i="76"/>
  <c r="F19" i="76"/>
  <c r="F20" i="76"/>
  <c r="F21" i="76"/>
  <c r="F22" i="76"/>
  <c r="F23" i="76"/>
  <c r="F24" i="76"/>
  <c r="F25" i="76"/>
  <c r="F26" i="76"/>
  <c r="F27" i="76"/>
  <c r="F28" i="76"/>
  <c r="F29" i="76"/>
  <c r="C30" i="76"/>
  <c r="D30" i="76"/>
  <c r="C44" i="76"/>
  <c r="D44" i="76"/>
  <c r="E41" i="76" s="1"/>
  <c r="H69" i="76"/>
  <c r="T69" i="76" s="1"/>
  <c r="H72" i="76"/>
  <c r="T72" i="76" s="1"/>
  <c r="F85" i="76"/>
  <c r="R85" i="76" s="1"/>
  <c r="F88" i="76"/>
  <c r="R88" i="76" s="1"/>
  <c r="F90" i="76"/>
  <c r="R90" i="76" s="1"/>
  <c r="F92" i="76"/>
  <c r="F94" i="76"/>
  <c r="R94" i="76" s="1"/>
  <c r="F96" i="76"/>
  <c r="R96" i="76" s="1"/>
  <c r="F104" i="76"/>
  <c r="R104" i="76" s="1"/>
  <c r="F105" i="76"/>
  <c r="R105" i="76" s="1"/>
  <c r="F106" i="76"/>
  <c r="R106" i="76" s="1"/>
  <c r="G113" i="76"/>
  <c r="I113" i="76" s="1"/>
  <c r="G114" i="76"/>
  <c r="H121" i="76"/>
  <c r="H123" i="76" s="1"/>
  <c r="R121" i="76"/>
  <c r="R122" i="76" s="1"/>
  <c r="F122" i="76"/>
  <c r="H122" i="76"/>
  <c r="T122" i="76" s="1"/>
  <c r="I143" i="76"/>
  <c r="A152" i="76"/>
  <c r="A162" i="76"/>
  <c r="A164" i="76"/>
  <c r="A168" i="76"/>
  <c r="A172" i="76"/>
  <c r="A173" i="76"/>
  <c r="A174" i="76"/>
  <c r="A178" i="76"/>
  <c r="A179" i="76"/>
  <c r="A180" i="76"/>
  <c r="A182" i="76"/>
  <c r="A183" i="76"/>
  <c r="A184" i="76"/>
  <c r="A185" i="76"/>
  <c r="N1" i="75"/>
  <c r="A3" i="75"/>
  <c r="N3" i="75" s="1"/>
  <c r="F4" i="75"/>
  <c r="P4" i="75"/>
  <c r="N7" i="75"/>
  <c r="C8" i="75"/>
  <c r="P8" i="75" s="1"/>
  <c r="H8" i="75"/>
  <c r="F14" i="75"/>
  <c r="F15" i="75"/>
  <c r="F16" i="75"/>
  <c r="F17" i="75"/>
  <c r="F18" i="75"/>
  <c r="F19" i="75"/>
  <c r="F20" i="75"/>
  <c r="F21" i="75"/>
  <c r="F22" i="75"/>
  <c r="F23" i="75"/>
  <c r="F24" i="75"/>
  <c r="F25" i="75"/>
  <c r="F26" i="75"/>
  <c r="F27" i="75"/>
  <c r="F28" i="75"/>
  <c r="F29" i="75"/>
  <c r="C30" i="75"/>
  <c r="D30" i="75"/>
  <c r="C44" i="75"/>
  <c r="D44" i="75"/>
  <c r="H69" i="75"/>
  <c r="T69" i="75" s="1"/>
  <c r="H72" i="75"/>
  <c r="T72" i="75" s="1"/>
  <c r="F85" i="75"/>
  <c r="F88" i="75"/>
  <c r="R88" i="75" s="1"/>
  <c r="F90" i="75"/>
  <c r="F92" i="75"/>
  <c r="R92" i="75" s="1"/>
  <c r="F94" i="75"/>
  <c r="R94" i="75" s="1"/>
  <c r="F96" i="75"/>
  <c r="R96" i="75" s="1"/>
  <c r="F104" i="75"/>
  <c r="R104" i="75" s="1"/>
  <c r="F105" i="75"/>
  <c r="R105" i="75" s="1"/>
  <c r="F106" i="75"/>
  <c r="R106" i="75" s="1"/>
  <c r="G113" i="75"/>
  <c r="I113" i="75" s="1"/>
  <c r="G114" i="75"/>
  <c r="T114" i="75" s="1"/>
  <c r="U114" i="75" s="1"/>
  <c r="H121" i="75"/>
  <c r="T121" i="75" s="1"/>
  <c r="R121" i="75"/>
  <c r="R122" i="75" s="1"/>
  <c r="F122" i="75"/>
  <c r="H122" i="75"/>
  <c r="I143" i="75"/>
  <c r="A152" i="75"/>
  <c r="A162" i="75"/>
  <c r="A164" i="75"/>
  <c r="A168" i="75"/>
  <c r="A172" i="75"/>
  <c r="A173" i="75"/>
  <c r="A174" i="75"/>
  <c r="A178" i="75"/>
  <c r="A179" i="75"/>
  <c r="A180" i="75"/>
  <c r="A182" i="75"/>
  <c r="A183" i="75"/>
  <c r="A184" i="75"/>
  <c r="A185" i="75"/>
  <c r="N1" i="52"/>
  <c r="A3" i="52"/>
  <c r="N3" i="52" s="1"/>
  <c r="F4" i="52"/>
  <c r="P4" i="52"/>
  <c r="N7" i="52"/>
  <c r="C8" i="52"/>
  <c r="P8" i="52" s="1"/>
  <c r="H8" i="52"/>
  <c r="T8" i="52" s="1"/>
  <c r="F14" i="52"/>
  <c r="F15" i="52"/>
  <c r="F16" i="52"/>
  <c r="F17" i="52"/>
  <c r="F18" i="52"/>
  <c r="F19" i="52"/>
  <c r="F20" i="52"/>
  <c r="F21" i="52"/>
  <c r="F22" i="52"/>
  <c r="F23" i="52"/>
  <c r="F24" i="52"/>
  <c r="F25" i="52"/>
  <c r="F26" i="52"/>
  <c r="F27" i="52"/>
  <c r="F28" i="52"/>
  <c r="F29" i="52"/>
  <c r="C30" i="52"/>
  <c r="D30" i="52"/>
  <c r="C44" i="52"/>
  <c r="D44" i="52"/>
  <c r="E42" i="52" s="1"/>
  <c r="H69" i="52"/>
  <c r="T69" i="52" s="1"/>
  <c r="H72" i="52"/>
  <c r="T72" i="52" s="1"/>
  <c r="F85" i="52"/>
  <c r="R85" i="52" s="1"/>
  <c r="F88" i="52"/>
  <c r="R88" i="52" s="1"/>
  <c r="F90" i="52"/>
  <c r="R90" i="52" s="1"/>
  <c r="F92" i="52"/>
  <c r="F94" i="52"/>
  <c r="F96" i="52"/>
  <c r="R96" i="52" s="1"/>
  <c r="F104" i="52"/>
  <c r="R104" i="52" s="1"/>
  <c r="F105" i="52"/>
  <c r="R105" i="52" s="1"/>
  <c r="F106" i="52"/>
  <c r="R106" i="52" s="1"/>
  <c r="G113" i="52"/>
  <c r="I113" i="52" s="1"/>
  <c r="G114" i="52"/>
  <c r="I114" i="52" s="1"/>
  <c r="H121" i="52"/>
  <c r="T121" i="52" s="1"/>
  <c r="R121" i="52"/>
  <c r="R122" i="52" s="1"/>
  <c r="F122" i="52"/>
  <c r="H122" i="52"/>
  <c r="T122" i="52" s="1"/>
  <c r="I143" i="52"/>
  <c r="A152" i="52"/>
  <c r="A162" i="52"/>
  <c r="A164" i="52"/>
  <c r="A168" i="52"/>
  <c r="A172" i="52"/>
  <c r="A173" i="52"/>
  <c r="A174" i="52"/>
  <c r="A178" i="52"/>
  <c r="A179" i="52"/>
  <c r="A180" i="52"/>
  <c r="A182" i="52"/>
  <c r="A183" i="52"/>
  <c r="A184" i="52"/>
  <c r="A185" i="52"/>
  <c r="N1" i="51"/>
  <c r="A3" i="51"/>
  <c r="N3" i="51" s="1"/>
  <c r="F4" i="51"/>
  <c r="P4" i="51"/>
  <c r="N7" i="51"/>
  <c r="C8" i="51"/>
  <c r="P8" i="51" s="1"/>
  <c r="H8" i="51"/>
  <c r="T8" i="51" s="1"/>
  <c r="P104" i="51" s="1"/>
  <c r="F14" i="51"/>
  <c r="F15" i="51"/>
  <c r="F16" i="51"/>
  <c r="F17" i="51"/>
  <c r="F18" i="51"/>
  <c r="F19" i="51"/>
  <c r="F20" i="51"/>
  <c r="F21" i="51"/>
  <c r="F22" i="51"/>
  <c r="F23" i="51"/>
  <c r="F24" i="51"/>
  <c r="F25" i="51"/>
  <c r="F26" i="51"/>
  <c r="F27" i="51"/>
  <c r="F28" i="51"/>
  <c r="F29" i="51"/>
  <c r="C30" i="51"/>
  <c r="D30" i="51"/>
  <c r="C44" i="51"/>
  <c r="D44" i="51"/>
  <c r="E40" i="51" s="1"/>
  <c r="H69" i="51"/>
  <c r="T69" i="51" s="1"/>
  <c r="H72" i="51"/>
  <c r="T72" i="51" s="1"/>
  <c r="F85" i="51"/>
  <c r="R85" i="51" s="1"/>
  <c r="F88" i="51"/>
  <c r="R88" i="51" s="1"/>
  <c r="F90" i="51"/>
  <c r="R90" i="51" s="1"/>
  <c r="F92" i="51"/>
  <c r="R92" i="51" s="1"/>
  <c r="F94" i="51"/>
  <c r="F96" i="51"/>
  <c r="F104" i="51"/>
  <c r="R104" i="51" s="1"/>
  <c r="F105" i="51"/>
  <c r="R105" i="51" s="1"/>
  <c r="F106" i="51"/>
  <c r="R106" i="51" s="1"/>
  <c r="G113" i="51"/>
  <c r="I113" i="51" s="1"/>
  <c r="G114" i="51"/>
  <c r="T114" i="51" s="1"/>
  <c r="U114" i="51" s="1"/>
  <c r="H121" i="51"/>
  <c r="T121" i="51" s="1"/>
  <c r="R121" i="51"/>
  <c r="R122" i="51" s="1"/>
  <c r="F122" i="51"/>
  <c r="H122" i="51"/>
  <c r="T122" i="51" s="1"/>
  <c r="I143" i="51"/>
  <c r="A152" i="51"/>
  <c r="A162" i="51"/>
  <c r="A164" i="51"/>
  <c r="A168" i="51"/>
  <c r="A172" i="51"/>
  <c r="A173" i="51"/>
  <c r="A174" i="51"/>
  <c r="A178" i="51"/>
  <c r="A179" i="51"/>
  <c r="A180" i="51"/>
  <c r="A182" i="51"/>
  <c r="A183" i="51"/>
  <c r="A184" i="51"/>
  <c r="A185" i="51"/>
  <c r="N1" i="50"/>
  <c r="A3" i="50"/>
  <c r="N3" i="50" s="1"/>
  <c r="F4" i="50"/>
  <c r="P4" i="50"/>
  <c r="N7" i="50"/>
  <c r="C8" i="50"/>
  <c r="P8" i="50" s="1"/>
  <c r="H8" i="50"/>
  <c r="E104" i="50" s="1"/>
  <c r="F14" i="50"/>
  <c r="F15" i="50"/>
  <c r="F16" i="50"/>
  <c r="F17" i="50"/>
  <c r="F18" i="50"/>
  <c r="F19" i="50"/>
  <c r="F20" i="50"/>
  <c r="F21" i="50"/>
  <c r="F22" i="50"/>
  <c r="F23" i="50"/>
  <c r="F24" i="50"/>
  <c r="F25" i="50"/>
  <c r="F26" i="50"/>
  <c r="F27" i="50"/>
  <c r="F28" i="50"/>
  <c r="F29" i="50"/>
  <c r="C30" i="50"/>
  <c r="D30" i="50"/>
  <c r="C44" i="50"/>
  <c r="D44" i="50"/>
  <c r="E40" i="50" s="1"/>
  <c r="H69" i="50"/>
  <c r="T69" i="50" s="1"/>
  <c r="H72" i="50"/>
  <c r="T72" i="50" s="1"/>
  <c r="F85" i="50"/>
  <c r="R85" i="50" s="1"/>
  <c r="F88" i="50"/>
  <c r="R88" i="50" s="1"/>
  <c r="F90" i="50"/>
  <c r="R90" i="50" s="1"/>
  <c r="F92" i="50"/>
  <c r="R92" i="50" s="1"/>
  <c r="F94" i="50"/>
  <c r="R94" i="50" s="1"/>
  <c r="F96" i="50"/>
  <c r="R96" i="50" s="1"/>
  <c r="F104" i="50"/>
  <c r="R104" i="50" s="1"/>
  <c r="F105" i="50"/>
  <c r="R105" i="50" s="1"/>
  <c r="F106" i="50"/>
  <c r="R106" i="50" s="1"/>
  <c r="G113" i="50"/>
  <c r="T113" i="50" s="1"/>
  <c r="G114" i="50"/>
  <c r="I114" i="50" s="1"/>
  <c r="H121" i="50"/>
  <c r="R121" i="50"/>
  <c r="R122" i="50" s="1"/>
  <c r="F122" i="50"/>
  <c r="H122" i="50"/>
  <c r="T122" i="50" s="1"/>
  <c r="I143" i="50"/>
  <c r="A152" i="50"/>
  <c r="A162" i="50"/>
  <c r="A164" i="50"/>
  <c r="A168" i="50"/>
  <c r="A172" i="50"/>
  <c r="A173" i="50"/>
  <c r="A174" i="50"/>
  <c r="A178" i="50"/>
  <c r="A179" i="50"/>
  <c r="A180" i="50"/>
  <c r="A182" i="50"/>
  <c r="A183" i="50"/>
  <c r="A184" i="50"/>
  <c r="A185" i="50"/>
  <c r="N1" i="48"/>
  <c r="A3" i="48"/>
  <c r="N3" i="48" s="1"/>
  <c r="F4" i="48"/>
  <c r="P4" i="48"/>
  <c r="N7" i="48"/>
  <c r="C8" i="48"/>
  <c r="P8" i="48" s="1"/>
  <c r="H8" i="48"/>
  <c r="F14" i="48"/>
  <c r="F15" i="48"/>
  <c r="F16" i="48"/>
  <c r="F17" i="48"/>
  <c r="F18" i="48"/>
  <c r="F19" i="48"/>
  <c r="F20" i="48"/>
  <c r="F21" i="48"/>
  <c r="F22" i="48"/>
  <c r="F23" i="48"/>
  <c r="F24" i="48"/>
  <c r="F25" i="48"/>
  <c r="F26" i="48"/>
  <c r="F27" i="48"/>
  <c r="F28" i="48"/>
  <c r="F29" i="48"/>
  <c r="C30" i="48"/>
  <c r="D30" i="48"/>
  <c r="C44" i="48"/>
  <c r="D44" i="48"/>
  <c r="H69" i="48"/>
  <c r="T69" i="48" s="1"/>
  <c r="H72" i="48"/>
  <c r="T72" i="48" s="1"/>
  <c r="F85" i="48"/>
  <c r="R85" i="48" s="1"/>
  <c r="F88" i="48"/>
  <c r="F90" i="48"/>
  <c r="R90" i="48" s="1"/>
  <c r="F92" i="48"/>
  <c r="F94" i="48"/>
  <c r="R94" i="48" s="1"/>
  <c r="F96" i="48"/>
  <c r="F104" i="48"/>
  <c r="R104" i="48" s="1"/>
  <c r="F105" i="48"/>
  <c r="R105" i="48" s="1"/>
  <c r="F106" i="48"/>
  <c r="R106" i="48" s="1"/>
  <c r="G113" i="48"/>
  <c r="T113" i="48" s="1"/>
  <c r="G114" i="48"/>
  <c r="I114" i="48" s="1"/>
  <c r="H121" i="48"/>
  <c r="R121" i="48"/>
  <c r="R122" i="48" s="1"/>
  <c r="F122" i="48"/>
  <c r="H122" i="48"/>
  <c r="I143" i="48"/>
  <c r="A152" i="48"/>
  <c r="A162" i="48"/>
  <c r="A164" i="48"/>
  <c r="A168" i="48"/>
  <c r="A172" i="48"/>
  <c r="A173" i="48"/>
  <c r="A174" i="48"/>
  <c r="A178" i="48"/>
  <c r="A179" i="48"/>
  <c r="A180" i="48"/>
  <c r="A182" i="48"/>
  <c r="A183" i="48"/>
  <c r="A184" i="48"/>
  <c r="A185" i="48"/>
  <c r="N1" i="47"/>
  <c r="A3" i="47"/>
  <c r="N3" i="47" s="1"/>
  <c r="F4" i="47"/>
  <c r="P4" i="47"/>
  <c r="N7" i="47"/>
  <c r="C8" i="47"/>
  <c r="P8" i="47" s="1"/>
  <c r="H8" i="47"/>
  <c r="F14" i="47"/>
  <c r="F15" i="47"/>
  <c r="F16" i="47"/>
  <c r="F17" i="47"/>
  <c r="F18" i="47"/>
  <c r="F19" i="47"/>
  <c r="F20" i="47"/>
  <c r="F21" i="47"/>
  <c r="F22" i="47"/>
  <c r="F23" i="47"/>
  <c r="F24" i="47"/>
  <c r="F25" i="47"/>
  <c r="F26" i="47"/>
  <c r="F27" i="47"/>
  <c r="F28" i="47"/>
  <c r="F29" i="47"/>
  <c r="C30" i="47"/>
  <c r="D30" i="47"/>
  <c r="C44" i="47"/>
  <c r="D44" i="47"/>
  <c r="H69" i="47"/>
  <c r="T69" i="47" s="1"/>
  <c r="H72" i="47"/>
  <c r="T72" i="47" s="1"/>
  <c r="F85" i="47"/>
  <c r="R85" i="47" s="1"/>
  <c r="F88" i="47"/>
  <c r="R88" i="47" s="1"/>
  <c r="F90" i="47"/>
  <c r="R90" i="47" s="1"/>
  <c r="F92" i="47"/>
  <c r="F94" i="47"/>
  <c r="R94" i="47" s="1"/>
  <c r="F96" i="47"/>
  <c r="R96" i="47" s="1"/>
  <c r="F104" i="47"/>
  <c r="R104" i="47" s="1"/>
  <c r="F105" i="47"/>
  <c r="R105" i="47" s="1"/>
  <c r="F106" i="47"/>
  <c r="R106" i="47" s="1"/>
  <c r="G113" i="47"/>
  <c r="T113" i="47" s="1"/>
  <c r="G114" i="47"/>
  <c r="I114" i="47" s="1"/>
  <c r="H121" i="47"/>
  <c r="R121" i="47"/>
  <c r="R122" i="47" s="1"/>
  <c r="F122" i="47"/>
  <c r="H122" i="47"/>
  <c r="T122" i="47" s="1"/>
  <c r="I143" i="47"/>
  <c r="A152" i="47"/>
  <c r="A162" i="47"/>
  <c r="A164" i="47"/>
  <c r="A168" i="47"/>
  <c r="A172" i="47"/>
  <c r="A173" i="47"/>
  <c r="A174" i="47"/>
  <c r="A178" i="47"/>
  <c r="A179" i="47"/>
  <c r="A180" i="47"/>
  <c r="A182" i="47"/>
  <c r="A183" i="47"/>
  <c r="A184" i="47"/>
  <c r="A185" i="47"/>
  <c r="N1" i="45"/>
  <c r="A3" i="45"/>
  <c r="N3" i="45" s="1"/>
  <c r="F4" i="45"/>
  <c r="P4" i="45"/>
  <c r="N7" i="45"/>
  <c r="C8" i="45"/>
  <c r="P8" i="45" s="1"/>
  <c r="H8" i="45"/>
  <c r="T8" i="45" s="1"/>
  <c r="P104" i="45" s="1"/>
  <c r="F14" i="45"/>
  <c r="F15" i="45"/>
  <c r="F16" i="45"/>
  <c r="F17" i="45"/>
  <c r="F18" i="45"/>
  <c r="F19" i="45"/>
  <c r="F20" i="45"/>
  <c r="F21" i="45"/>
  <c r="F22" i="45"/>
  <c r="F23" i="45"/>
  <c r="F24" i="45"/>
  <c r="F25" i="45"/>
  <c r="F26" i="45"/>
  <c r="F27" i="45"/>
  <c r="F28" i="45"/>
  <c r="F29" i="45"/>
  <c r="C30" i="45"/>
  <c r="D30" i="45"/>
  <c r="C44" i="45"/>
  <c r="D44" i="45"/>
  <c r="E40" i="45" s="1"/>
  <c r="H69" i="45"/>
  <c r="T69" i="45" s="1"/>
  <c r="H72" i="45"/>
  <c r="T72" i="45" s="1"/>
  <c r="F85" i="45"/>
  <c r="R85" i="45" s="1"/>
  <c r="F88" i="45"/>
  <c r="R88" i="45" s="1"/>
  <c r="F90" i="45"/>
  <c r="R90" i="45" s="1"/>
  <c r="F92" i="45"/>
  <c r="F94" i="45"/>
  <c r="F96" i="45"/>
  <c r="R96" i="45" s="1"/>
  <c r="F104" i="45"/>
  <c r="R104" i="45" s="1"/>
  <c r="F105" i="45"/>
  <c r="R105" i="45" s="1"/>
  <c r="F106" i="45"/>
  <c r="R106" i="45" s="1"/>
  <c r="G113" i="45"/>
  <c r="G114" i="45"/>
  <c r="I114" i="45" s="1"/>
  <c r="H121" i="45"/>
  <c r="R121" i="45"/>
  <c r="R122" i="45" s="1"/>
  <c r="F122" i="45"/>
  <c r="H122" i="45"/>
  <c r="T122" i="45" s="1"/>
  <c r="I143" i="45"/>
  <c r="A152" i="45"/>
  <c r="A162" i="45"/>
  <c r="A164" i="45"/>
  <c r="A168" i="45"/>
  <c r="A172" i="45"/>
  <c r="A173" i="45"/>
  <c r="A174" i="45"/>
  <c r="A178" i="45"/>
  <c r="A179" i="45"/>
  <c r="A180" i="45"/>
  <c r="A182" i="45"/>
  <c r="A183" i="45"/>
  <c r="A184" i="45"/>
  <c r="A185" i="45"/>
  <c r="N1" i="44"/>
  <c r="A3" i="44"/>
  <c r="N3" i="44" s="1"/>
  <c r="F4" i="44"/>
  <c r="P4" i="44"/>
  <c r="N7" i="44"/>
  <c r="C8" i="44"/>
  <c r="P8" i="44" s="1"/>
  <c r="H8" i="44"/>
  <c r="F14" i="44"/>
  <c r="F15" i="44"/>
  <c r="F16" i="44"/>
  <c r="F17" i="44"/>
  <c r="F18" i="44"/>
  <c r="F19" i="44"/>
  <c r="F20" i="44"/>
  <c r="F21" i="44"/>
  <c r="F22" i="44"/>
  <c r="F23" i="44"/>
  <c r="F24" i="44"/>
  <c r="F25" i="44"/>
  <c r="F26" i="44"/>
  <c r="F27" i="44"/>
  <c r="F28" i="44"/>
  <c r="F29" i="44"/>
  <c r="C30" i="44"/>
  <c r="D30" i="44"/>
  <c r="C44" i="44"/>
  <c r="D44" i="44"/>
  <c r="H69" i="44"/>
  <c r="T69" i="44" s="1"/>
  <c r="H72" i="44"/>
  <c r="T72" i="44" s="1"/>
  <c r="F85" i="44"/>
  <c r="R85" i="44" s="1"/>
  <c r="F88" i="44"/>
  <c r="F90" i="44"/>
  <c r="R90" i="44" s="1"/>
  <c r="F92" i="44"/>
  <c r="R92" i="44" s="1"/>
  <c r="F94" i="44"/>
  <c r="R94" i="44" s="1"/>
  <c r="F96" i="44"/>
  <c r="R96" i="44" s="1"/>
  <c r="F104" i="44"/>
  <c r="R104" i="44" s="1"/>
  <c r="F105" i="44"/>
  <c r="R105" i="44" s="1"/>
  <c r="F106" i="44"/>
  <c r="R106" i="44" s="1"/>
  <c r="G113" i="44"/>
  <c r="I113" i="44" s="1"/>
  <c r="G114" i="44"/>
  <c r="T114" i="44" s="1"/>
  <c r="U114" i="44" s="1"/>
  <c r="H121" i="44"/>
  <c r="H123" i="44" s="1"/>
  <c r="R121" i="44"/>
  <c r="R122" i="44" s="1"/>
  <c r="F122" i="44"/>
  <c r="H122" i="44"/>
  <c r="I143" i="44"/>
  <c r="A152" i="44"/>
  <c r="A162" i="44"/>
  <c r="A164" i="44"/>
  <c r="A168" i="44"/>
  <c r="A172" i="44"/>
  <c r="A173" i="44"/>
  <c r="A174" i="44"/>
  <c r="A178" i="44"/>
  <c r="A179" i="44"/>
  <c r="A180" i="44"/>
  <c r="A182" i="44"/>
  <c r="A183" i="44"/>
  <c r="A184" i="44"/>
  <c r="A185" i="44"/>
  <c r="N1" i="43"/>
  <c r="A3" i="43"/>
  <c r="N3" i="43" s="1"/>
  <c r="F4" i="43"/>
  <c r="P4" i="43"/>
  <c r="N7" i="43"/>
  <c r="C8" i="43"/>
  <c r="P8" i="43" s="1"/>
  <c r="H8" i="43"/>
  <c r="T8" i="43" s="1"/>
  <c r="F14" i="43"/>
  <c r="F15" i="43"/>
  <c r="F16" i="43"/>
  <c r="F17" i="43"/>
  <c r="F18" i="43"/>
  <c r="F19" i="43"/>
  <c r="F20" i="43"/>
  <c r="F21" i="43"/>
  <c r="F22" i="43"/>
  <c r="F23" i="43"/>
  <c r="F24" i="43"/>
  <c r="F25" i="43"/>
  <c r="F26" i="43"/>
  <c r="F27" i="43"/>
  <c r="F28" i="43"/>
  <c r="F29" i="43"/>
  <c r="C30" i="43"/>
  <c r="D30" i="43"/>
  <c r="C44" i="43"/>
  <c r="D44" i="43"/>
  <c r="E38" i="43" s="1"/>
  <c r="H69" i="43"/>
  <c r="T69" i="43" s="1"/>
  <c r="H72" i="43"/>
  <c r="T72" i="43" s="1"/>
  <c r="F85" i="43"/>
  <c r="R85" i="43" s="1"/>
  <c r="F88" i="43"/>
  <c r="R88" i="43" s="1"/>
  <c r="F90" i="43"/>
  <c r="R90" i="43" s="1"/>
  <c r="F92" i="43"/>
  <c r="R92" i="43" s="1"/>
  <c r="F94" i="43"/>
  <c r="R94" i="43" s="1"/>
  <c r="F96" i="43"/>
  <c r="R96" i="43" s="1"/>
  <c r="F104" i="43"/>
  <c r="R104" i="43" s="1"/>
  <c r="F105" i="43"/>
  <c r="R105" i="43" s="1"/>
  <c r="F106" i="43"/>
  <c r="R106" i="43" s="1"/>
  <c r="G113" i="43"/>
  <c r="G114" i="43"/>
  <c r="I114" i="43" s="1"/>
  <c r="H121" i="43"/>
  <c r="H123" i="43" s="1"/>
  <c r="R121" i="43"/>
  <c r="R122" i="43" s="1"/>
  <c r="F122" i="43"/>
  <c r="H122" i="43"/>
  <c r="T122" i="43" s="1"/>
  <c r="I143" i="43"/>
  <c r="A152" i="43"/>
  <c r="A162" i="43"/>
  <c r="A164" i="43"/>
  <c r="A168" i="43"/>
  <c r="A172" i="43"/>
  <c r="A173" i="43"/>
  <c r="A174" i="43"/>
  <c r="A178" i="43"/>
  <c r="A179" i="43"/>
  <c r="A180" i="43"/>
  <c r="A182" i="43"/>
  <c r="A183" i="43"/>
  <c r="A184" i="43"/>
  <c r="A185" i="43"/>
  <c r="N1" i="42"/>
  <c r="A3" i="42"/>
  <c r="N3" i="42" s="1"/>
  <c r="F4" i="42"/>
  <c r="P4" i="42"/>
  <c r="N7" i="42"/>
  <c r="C8" i="42"/>
  <c r="P8" i="42" s="1"/>
  <c r="H8" i="42"/>
  <c r="E106" i="42" s="1"/>
  <c r="F14" i="42"/>
  <c r="F15" i="42"/>
  <c r="F16" i="42"/>
  <c r="F17" i="42"/>
  <c r="F18" i="42"/>
  <c r="F19" i="42"/>
  <c r="F20" i="42"/>
  <c r="F21" i="42"/>
  <c r="F22" i="42"/>
  <c r="F23" i="42"/>
  <c r="F24" i="42"/>
  <c r="F25" i="42"/>
  <c r="F26" i="42"/>
  <c r="F27" i="42"/>
  <c r="F28" i="42"/>
  <c r="F29" i="42"/>
  <c r="C30" i="42"/>
  <c r="D30" i="42"/>
  <c r="C44" i="42"/>
  <c r="D44" i="42"/>
  <c r="E39" i="42" s="1"/>
  <c r="H69" i="42"/>
  <c r="T69" i="42" s="1"/>
  <c r="H72" i="42"/>
  <c r="T72" i="42" s="1"/>
  <c r="F85" i="42"/>
  <c r="F88" i="42"/>
  <c r="R88" i="42" s="1"/>
  <c r="F90" i="42"/>
  <c r="F92" i="42"/>
  <c r="R92" i="42" s="1"/>
  <c r="F94" i="42"/>
  <c r="F96" i="42"/>
  <c r="R96" i="42" s="1"/>
  <c r="F104" i="42"/>
  <c r="R104" i="42" s="1"/>
  <c r="F105" i="42"/>
  <c r="R105" i="42" s="1"/>
  <c r="F106" i="42"/>
  <c r="R106" i="42" s="1"/>
  <c r="G113" i="42"/>
  <c r="I113" i="42" s="1"/>
  <c r="G114" i="42"/>
  <c r="I114" i="42" s="1"/>
  <c r="H121" i="42"/>
  <c r="H123" i="42" s="1"/>
  <c r="T123" i="42" s="1"/>
  <c r="R121" i="42"/>
  <c r="R122" i="42" s="1"/>
  <c r="F122" i="42"/>
  <c r="H122" i="42"/>
  <c r="T122" i="42" s="1"/>
  <c r="I143" i="42"/>
  <c r="A152" i="42"/>
  <c r="A162" i="42"/>
  <c r="A164" i="42"/>
  <c r="A168" i="42"/>
  <c r="A172" i="42"/>
  <c r="A173" i="42"/>
  <c r="A174" i="42"/>
  <c r="A178" i="42"/>
  <c r="A179" i="42"/>
  <c r="A180" i="42"/>
  <c r="A182" i="42"/>
  <c r="A183" i="42"/>
  <c r="A184" i="42"/>
  <c r="A185" i="42"/>
  <c r="N1" i="40"/>
  <c r="A3" i="40"/>
  <c r="N3" i="40" s="1"/>
  <c r="F4" i="40"/>
  <c r="P4" i="40"/>
  <c r="N7" i="40"/>
  <c r="C8" i="40"/>
  <c r="P8" i="40" s="1"/>
  <c r="H8" i="40"/>
  <c r="F14" i="40"/>
  <c r="F15" i="40"/>
  <c r="F16" i="40"/>
  <c r="F17" i="40"/>
  <c r="F18" i="40"/>
  <c r="F19" i="40"/>
  <c r="F20" i="40"/>
  <c r="F21" i="40"/>
  <c r="F22" i="40"/>
  <c r="F23" i="40"/>
  <c r="F24" i="40"/>
  <c r="F25" i="40"/>
  <c r="F26" i="40"/>
  <c r="F27" i="40"/>
  <c r="F28" i="40"/>
  <c r="F29" i="40"/>
  <c r="C30" i="40"/>
  <c r="D30" i="40"/>
  <c r="E121" i="40" s="1"/>
  <c r="C44" i="40"/>
  <c r="D44" i="40"/>
  <c r="E38" i="40" s="1"/>
  <c r="H69" i="40"/>
  <c r="T69" i="40" s="1"/>
  <c r="H72" i="40"/>
  <c r="T72" i="40" s="1"/>
  <c r="F85" i="40"/>
  <c r="R85" i="40" s="1"/>
  <c r="F88" i="40"/>
  <c r="R88" i="40" s="1"/>
  <c r="F90" i="40"/>
  <c r="R90" i="40" s="1"/>
  <c r="F92" i="40"/>
  <c r="R92" i="40" s="1"/>
  <c r="F94" i="40"/>
  <c r="F96" i="40"/>
  <c r="R96" i="40" s="1"/>
  <c r="F104" i="40"/>
  <c r="R104" i="40" s="1"/>
  <c r="F105" i="40"/>
  <c r="R105" i="40" s="1"/>
  <c r="F106" i="40"/>
  <c r="R106" i="40" s="1"/>
  <c r="G113" i="40"/>
  <c r="I113" i="40" s="1"/>
  <c r="G114" i="40"/>
  <c r="I114" i="40" s="1"/>
  <c r="H121" i="40"/>
  <c r="H123" i="40" s="1"/>
  <c r="T123" i="40" s="1"/>
  <c r="R121" i="40"/>
  <c r="R122" i="40" s="1"/>
  <c r="F122" i="40"/>
  <c r="H122" i="40"/>
  <c r="I143" i="40"/>
  <c r="A152" i="40"/>
  <c r="A162" i="40"/>
  <c r="A164" i="40"/>
  <c r="A168" i="40"/>
  <c r="A172" i="40"/>
  <c r="A173" i="40"/>
  <c r="A174" i="40"/>
  <c r="A178" i="40"/>
  <c r="A179" i="40"/>
  <c r="A180" i="40"/>
  <c r="A182" i="40"/>
  <c r="A183" i="40"/>
  <c r="A184" i="40"/>
  <c r="A185" i="40"/>
  <c r="N1" i="39"/>
  <c r="A3" i="39"/>
  <c r="N3" i="39" s="1"/>
  <c r="F4" i="39"/>
  <c r="P4" i="39"/>
  <c r="N7" i="39"/>
  <c r="C8" i="39"/>
  <c r="P8" i="39" s="1"/>
  <c r="H8" i="39"/>
  <c r="E104" i="39" s="1"/>
  <c r="F14" i="39"/>
  <c r="F15" i="39"/>
  <c r="F16" i="39"/>
  <c r="F17" i="39"/>
  <c r="F18" i="39"/>
  <c r="F19" i="39"/>
  <c r="F20" i="39"/>
  <c r="F21" i="39"/>
  <c r="F22" i="39"/>
  <c r="F23" i="39"/>
  <c r="F24" i="39"/>
  <c r="F25" i="39"/>
  <c r="F26" i="39"/>
  <c r="F27" i="39"/>
  <c r="F28" i="39"/>
  <c r="F29" i="39"/>
  <c r="C30" i="39"/>
  <c r="D30" i="39"/>
  <c r="C44" i="39"/>
  <c r="D44" i="39"/>
  <c r="E39" i="39" s="1"/>
  <c r="H69" i="39"/>
  <c r="T69" i="39" s="1"/>
  <c r="H72" i="39"/>
  <c r="T72" i="39" s="1"/>
  <c r="F85" i="39"/>
  <c r="F88" i="39"/>
  <c r="R88" i="39" s="1"/>
  <c r="F90" i="39"/>
  <c r="F92" i="39"/>
  <c r="R92" i="39" s="1"/>
  <c r="F94" i="39"/>
  <c r="R94" i="39" s="1"/>
  <c r="F96" i="39"/>
  <c r="R96" i="39" s="1"/>
  <c r="F104" i="39"/>
  <c r="R104" i="39" s="1"/>
  <c r="F105" i="39"/>
  <c r="R105" i="39" s="1"/>
  <c r="F106" i="39"/>
  <c r="R106" i="39" s="1"/>
  <c r="G113" i="39"/>
  <c r="I113" i="39" s="1"/>
  <c r="G114" i="39"/>
  <c r="H121" i="39"/>
  <c r="T121" i="39" s="1"/>
  <c r="R121" i="39"/>
  <c r="R122" i="39" s="1"/>
  <c r="F122" i="39"/>
  <c r="H122" i="39"/>
  <c r="I143" i="39"/>
  <c r="A152" i="39"/>
  <c r="A162" i="39"/>
  <c r="A164" i="39"/>
  <c r="A168" i="39"/>
  <c r="A172" i="39"/>
  <c r="A173" i="39"/>
  <c r="A174" i="39"/>
  <c r="A178" i="39"/>
  <c r="A179" i="39"/>
  <c r="A180" i="39"/>
  <c r="A182" i="39"/>
  <c r="A183" i="39"/>
  <c r="A184" i="39"/>
  <c r="A185" i="39"/>
  <c r="N1" i="38"/>
  <c r="A3" i="38"/>
  <c r="N3" i="38" s="1"/>
  <c r="F4" i="38"/>
  <c r="P4" i="38"/>
  <c r="N7" i="38"/>
  <c r="C8" i="38"/>
  <c r="P8" i="38" s="1"/>
  <c r="H8" i="38"/>
  <c r="E104" i="38" s="1"/>
  <c r="F14" i="38"/>
  <c r="F15" i="38"/>
  <c r="F16" i="38"/>
  <c r="F17" i="38"/>
  <c r="F18" i="38"/>
  <c r="F19" i="38"/>
  <c r="F20" i="38"/>
  <c r="F21" i="38"/>
  <c r="F22" i="38"/>
  <c r="F23" i="38"/>
  <c r="F24" i="38"/>
  <c r="F25" i="38"/>
  <c r="F26" i="38"/>
  <c r="F27" i="38"/>
  <c r="F28" i="38"/>
  <c r="F29" i="38"/>
  <c r="C30" i="38"/>
  <c r="D30" i="38"/>
  <c r="C44" i="38"/>
  <c r="D44" i="38"/>
  <c r="E40" i="38" s="1"/>
  <c r="H69" i="38"/>
  <c r="T69" i="38" s="1"/>
  <c r="H72" i="38"/>
  <c r="T72" i="38" s="1"/>
  <c r="F85" i="38"/>
  <c r="R85" i="38" s="1"/>
  <c r="F88" i="38"/>
  <c r="R88" i="38" s="1"/>
  <c r="F90" i="38"/>
  <c r="R90" i="38" s="1"/>
  <c r="F92" i="38"/>
  <c r="R92" i="38" s="1"/>
  <c r="F94" i="38"/>
  <c r="R94" i="38" s="1"/>
  <c r="F96" i="38"/>
  <c r="R96" i="38" s="1"/>
  <c r="F104" i="38"/>
  <c r="R104" i="38" s="1"/>
  <c r="F105" i="38"/>
  <c r="R105" i="38" s="1"/>
  <c r="F106" i="38"/>
  <c r="R106" i="38" s="1"/>
  <c r="G113" i="38"/>
  <c r="G114" i="38"/>
  <c r="I114" i="38" s="1"/>
  <c r="H121" i="38"/>
  <c r="R121" i="38"/>
  <c r="R122" i="38" s="1"/>
  <c r="F122" i="38"/>
  <c r="H122" i="38"/>
  <c r="I143" i="38"/>
  <c r="A152" i="38"/>
  <c r="A162" i="38"/>
  <c r="A164" i="38"/>
  <c r="A168" i="38"/>
  <c r="A172" i="38"/>
  <c r="A173" i="38"/>
  <c r="A174" i="38"/>
  <c r="A178" i="38"/>
  <c r="A179" i="38"/>
  <c r="A180" i="38"/>
  <c r="A182" i="38"/>
  <c r="A183" i="38"/>
  <c r="A184" i="38"/>
  <c r="A185" i="38"/>
  <c r="N1" i="37"/>
  <c r="A3" i="37"/>
  <c r="N3" i="37" s="1"/>
  <c r="F4" i="37"/>
  <c r="P4" i="37"/>
  <c r="N7" i="37"/>
  <c r="C8" i="37"/>
  <c r="P8" i="37" s="1"/>
  <c r="H8" i="37"/>
  <c r="F14" i="37"/>
  <c r="F15" i="37"/>
  <c r="F16" i="37"/>
  <c r="F17" i="37"/>
  <c r="F18" i="37"/>
  <c r="F19" i="37"/>
  <c r="F20" i="37"/>
  <c r="F21" i="37"/>
  <c r="F22" i="37"/>
  <c r="F23" i="37"/>
  <c r="F24" i="37"/>
  <c r="F25" i="37"/>
  <c r="F26" i="37"/>
  <c r="F27" i="37"/>
  <c r="F28" i="37"/>
  <c r="F29" i="37"/>
  <c r="C30" i="37"/>
  <c r="D30" i="37"/>
  <c r="C44" i="37"/>
  <c r="D44" i="37"/>
  <c r="H69" i="37"/>
  <c r="T69" i="37" s="1"/>
  <c r="H72" i="37"/>
  <c r="T72" i="37" s="1"/>
  <c r="F85" i="37"/>
  <c r="R85" i="37" s="1"/>
  <c r="F88" i="37"/>
  <c r="F90" i="37"/>
  <c r="R90" i="37" s="1"/>
  <c r="F92" i="37"/>
  <c r="R92" i="37" s="1"/>
  <c r="F94" i="37"/>
  <c r="F96" i="37"/>
  <c r="F104" i="37"/>
  <c r="R104" i="37" s="1"/>
  <c r="F105" i="37"/>
  <c r="R105" i="37" s="1"/>
  <c r="F106" i="37"/>
  <c r="R106" i="37" s="1"/>
  <c r="G113" i="37"/>
  <c r="G114" i="37"/>
  <c r="I114" i="37" s="1"/>
  <c r="H121" i="37"/>
  <c r="R121" i="37"/>
  <c r="R122" i="37" s="1"/>
  <c r="F122" i="37"/>
  <c r="H122" i="37"/>
  <c r="T122" i="37" s="1"/>
  <c r="I143" i="37"/>
  <c r="A152" i="37"/>
  <c r="A162" i="37"/>
  <c r="A164" i="37"/>
  <c r="A168" i="37"/>
  <c r="A172" i="37"/>
  <c r="A173" i="37"/>
  <c r="A174" i="37"/>
  <c r="A178" i="37"/>
  <c r="A179" i="37"/>
  <c r="A180" i="37"/>
  <c r="A182" i="37"/>
  <c r="A183" i="37"/>
  <c r="A184" i="37"/>
  <c r="A185" i="37"/>
  <c r="N1" i="36"/>
  <c r="A3" i="36"/>
  <c r="N3" i="36" s="1"/>
  <c r="F4" i="36"/>
  <c r="P4" i="36"/>
  <c r="N7" i="36"/>
  <c r="C8" i="36"/>
  <c r="P8" i="36" s="1"/>
  <c r="H8" i="36"/>
  <c r="F14" i="36"/>
  <c r="F15" i="36"/>
  <c r="F16" i="36"/>
  <c r="F17" i="36"/>
  <c r="F18" i="36"/>
  <c r="F19" i="36"/>
  <c r="F20" i="36"/>
  <c r="F21" i="36"/>
  <c r="F22" i="36"/>
  <c r="F23" i="36"/>
  <c r="F24" i="36"/>
  <c r="F25" i="36"/>
  <c r="F26" i="36"/>
  <c r="F27" i="36"/>
  <c r="F28" i="36"/>
  <c r="F29" i="36"/>
  <c r="C30" i="36"/>
  <c r="D30" i="36"/>
  <c r="E121" i="36" s="1"/>
  <c r="C44" i="36"/>
  <c r="D44" i="36"/>
  <c r="H69" i="36"/>
  <c r="T69" i="36" s="1"/>
  <c r="H72" i="36"/>
  <c r="T72" i="36" s="1"/>
  <c r="F85" i="36"/>
  <c r="R85" i="36" s="1"/>
  <c r="F88" i="36"/>
  <c r="R88" i="36" s="1"/>
  <c r="F90" i="36"/>
  <c r="R90" i="36" s="1"/>
  <c r="F92" i="36"/>
  <c r="R92" i="36" s="1"/>
  <c r="F94" i="36"/>
  <c r="F96" i="36"/>
  <c r="R96" i="36" s="1"/>
  <c r="F104" i="36"/>
  <c r="R104" i="36" s="1"/>
  <c r="F105" i="36"/>
  <c r="R105" i="36" s="1"/>
  <c r="F106" i="36"/>
  <c r="R106" i="36" s="1"/>
  <c r="G113" i="36"/>
  <c r="T113" i="36" s="1"/>
  <c r="G114" i="36"/>
  <c r="H121" i="36"/>
  <c r="R121" i="36"/>
  <c r="R122" i="36" s="1"/>
  <c r="F122" i="36"/>
  <c r="H122" i="36"/>
  <c r="T122" i="36" s="1"/>
  <c r="I143" i="36"/>
  <c r="A152" i="36"/>
  <c r="A162" i="36"/>
  <c r="A164" i="36"/>
  <c r="A168" i="36"/>
  <c r="A172" i="36"/>
  <c r="A173" i="36"/>
  <c r="A174" i="36"/>
  <c r="A178" i="36"/>
  <c r="A179" i="36"/>
  <c r="A180" i="36"/>
  <c r="A182" i="36"/>
  <c r="A183" i="36"/>
  <c r="A184" i="36"/>
  <c r="A185" i="36"/>
  <c r="N1" i="23"/>
  <c r="A3" i="23"/>
  <c r="N3" i="23" s="1"/>
  <c r="F4" i="23"/>
  <c r="P4" i="23"/>
  <c r="N7" i="23"/>
  <c r="C8" i="23"/>
  <c r="P8" i="23" s="1"/>
  <c r="H8" i="23"/>
  <c r="E105" i="23" s="1"/>
  <c r="F14" i="23"/>
  <c r="F15" i="23"/>
  <c r="F16" i="23"/>
  <c r="F17" i="23"/>
  <c r="F18" i="23"/>
  <c r="F19" i="23"/>
  <c r="F20" i="23"/>
  <c r="F21" i="23"/>
  <c r="F22" i="23"/>
  <c r="F23" i="23"/>
  <c r="F24" i="23"/>
  <c r="F25" i="23"/>
  <c r="F26" i="23"/>
  <c r="F27" i="23"/>
  <c r="F28" i="23"/>
  <c r="F29" i="23"/>
  <c r="C30" i="23"/>
  <c r="D30" i="23"/>
  <c r="C44" i="23"/>
  <c r="D44" i="23"/>
  <c r="E39" i="23" s="1"/>
  <c r="H69" i="23"/>
  <c r="T69" i="23" s="1"/>
  <c r="H72" i="23"/>
  <c r="T72" i="23" s="1"/>
  <c r="F85" i="23"/>
  <c r="R85" i="23" s="1"/>
  <c r="F88" i="23"/>
  <c r="F90" i="23"/>
  <c r="R90" i="23" s="1"/>
  <c r="F92" i="23"/>
  <c r="F94" i="23"/>
  <c r="R94" i="23" s="1"/>
  <c r="F96" i="23"/>
  <c r="F104" i="23"/>
  <c r="R104" i="23" s="1"/>
  <c r="F105" i="23"/>
  <c r="R105" i="23" s="1"/>
  <c r="F106" i="23"/>
  <c r="R106" i="23" s="1"/>
  <c r="G113" i="23"/>
  <c r="T113" i="23" s="1"/>
  <c r="G114" i="23"/>
  <c r="I114" i="23" s="1"/>
  <c r="H121" i="23"/>
  <c r="T121" i="23" s="1"/>
  <c r="R121" i="23"/>
  <c r="R122" i="23" s="1"/>
  <c r="F122" i="23"/>
  <c r="H122" i="23"/>
  <c r="T122" i="23" s="1"/>
  <c r="I143" i="23"/>
  <c r="A152" i="23"/>
  <c r="A162" i="23"/>
  <c r="A164" i="23"/>
  <c r="A168" i="23"/>
  <c r="A172" i="23"/>
  <c r="A173" i="23"/>
  <c r="A174" i="23"/>
  <c r="A178" i="23"/>
  <c r="A179" i="23"/>
  <c r="A180" i="23"/>
  <c r="A182" i="23"/>
  <c r="A183" i="23"/>
  <c r="A184" i="23"/>
  <c r="A185" i="23"/>
  <c r="N1" i="35"/>
  <c r="A3" i="35"/>
  <c r="N3" i="35" s="1"/>
  <c r="F4" i="35"/>
  <c r="P4" i="35"/>
  <c r="N7" i="35"/>
  <c r="C8" i="35"/>
  <c r="P8" i="35" s="1"/>
  <c r="H8" i="35"/>
  <c r="T8" i="35" s="1"/>
  <c r="F14" i="35"/>
  <c r="F15" i="35"/>
  <c r="F16" i="35"/>
  <c r="F17" i="35"/>
  <c r="F18" i="35"/>
  <c r="F19" i="35"/>
  <c r="F20" i="35"/>
  <c r="F21" i="35"/>
  <c r="F22" i="35"/>
  <c r="F23" i="35"/>
  <c r="F24" i="35"/>
  <c r="F25" i="35"/>
  <c r="F26" i="35"/>
  <c r="F27" i="35"/>
  <c r="F28" i="35"/>
  <c r="F29" i="35"/>
  <c r="C30" i="35"/>
  <c r="D30" i="35"/>
  <c r="C44" i="35"/>
  <c r="D44" i="35"/>
  <c r="E40" i="35" s="1"/>
  <c r="H69" i="35"/>
  <c r="T69" i="35" s="1"/>
  <c r="H72" i="35"/>
  <c r="T72" i="35" s="1"/>
  <c r="F85" i="35"/>
  <c r="R85" i="35" s="1"/>
  <c r="F88" i="35"/>
  <c r="R88" i="35" s="1"/>
  <c r="F90" i="35"/>
  <c r="R90" i="35" s="1"/>
  <c r="F92" i="35"/>
  <c r="R92" i="35" s="1"/>
  <c r="F94" i="35"/>
  <c r="R94" i="35" s="1"/>
  <c r="F96" i="35"/>
  <c r="R96" i="35" s="1"/>
  <c r="F104" i="35"/>
  <c r="R104" i="35" s="1"/>
  <c r="F105" i="35"/>
  <c r="R105" i="35" s="1"/>
  <c r="F106" i="35"/>
  <c r="R106" i="35" s="1"/>
  <c r="G113" i="35"/>
  <c r="G114" i="35"/>
  <c r="T114" i="35" s="1"/>
  <c r="U114" i="35" s="1"/>
  <c r="H121" i="35"/>
  <c r="R121" i="35"/>
  <c r="R122" i="35" s="1"/>
  <c r="F122" i="35"/>
  <c r="H122" i="35"/>
  <c r="T122" i="35" s="1"/>
  <c r="I143" i="35"/>
  <c r="A152" i="35"/>
  <c r="A162" i="35"/>
  <c r="A164" i="35"/>
  <c r="A168" i="35"/>
  <c r="A172" i="35"/>
  <c r="A173" i="35"/>
  <c r="A174" i="35"/>
  <c r="A178" i="35"/>
  <c r="A179" i="35"/>
  <c r="A180" i="35"/>
  <c r="A182" i="35"/>
  <c r="A183" i="35"/>
  <c r="A184" i="35"/>
  <c r="A185" i="35"/>
  <c r="N1" i="34"/>
  <c r="A3" i="34"/>
  <c r="N3" i="34" s="1"/>
  <c r="F4" i="34"/>
  <c r="P4" i="34"/>
  <c r="N7" i="34"/>
  <c r="C8" i="34"/>
  <c r="P8" i="34" s="1"/>
  <c r="H8" i="34"/>
  <c r="E106" i="34" s="1"/>
  <c r="F14" i="34"/>
  <c r="F15" i="34"/>
  <c r="F16" i="34"/>
  <c r="F17" i="34"/>
  <c r="F18" i="34"/>
  <c r="F19" i="34"/>
  <c r="F20" i="34"/>
  <c r="F21" i="34"/>
  <c r="F22" i="34"/>
  <c r="F23" i="34"/>
  <c r="F24" i="34"/>
  <c r="F25" i="34"/>
  <c r="F26" i="34"/>
  <c r="F27" i="34"/>
  <c r="F28" i="34"/>
  <c r="F29" i="34"/>
  <c r="C30" i="34"/>
  <c r="D30" i="34"/>
  <c r="C44" i="34"/>
  <c r="D44" i="34"/>
  <c r="H69" i="34"/>
  <c r="T69" i="34" s="1"/>
  <c r="H72" i="34"/>
  <c r="T72" i="34" s="1"/>
  <c r="F85" i="34"/>
  <c r="F88" i="34"/>
  <c r="R88" i="34" s="1"/>
  <c r="F90" i="34"/>
  <c r="F92" i="34"/>
  <c r="R92" i="34" s="1"/>
  <c r="F94" i="34"/>
  <c r="F96" i="34"/>
  <c r="F104" i="34"/>
  <c r="R104" i="34" s="1"/>
  <c r="F105" i="34"/>
  <c r="R105" i="34" s="1"/>
  <c r="F106" i="34"/>
  <c r="R106" i="34" s="1"/>
  <c r="G113" i="34"/>
  <c r="G114" i="34"/>
  <c r="T114" i="34" s="1"/>
  <c r="U114" i="34" s="1"/>
  <c r="H121" i="34"/>
  <c r="R121" i="34"/>
  <c r="R122" i="34" s="1"/>
  <c r="F122" i="34"/>
  <c r="H122" i="34"/>
  <c r="T122" i="34" s="1"/>
  <c r="I143" i="34"/>
  <c r="A152" i="34"/>
  <c r="A162" i="34"/>
  <c r="A164" i="34"/>
  <c r="A168" i="34"/>
  <c r="A172" i="34"/>
  <c r="A173" i="34"/>
  <c r="A174" i="34"/>
  <c r="A178" i="34"/>
  <c r="A179" i="34"/>
  <c r="A180" i="34"/>
  <c r="A182" i="34"/>
  <c r="A183" i="34"/>
  <c r="A184" i="34"/>
  <c r="A185" i="34"/>
  <c r="N1" i="33"/>
  <c r="A3" i="33"/>
  <c r="N3" i="33" s="1"/>
  <c r="F4" i="33"/>
  <c r="P4" i="33"/>
  <c r="N7" i="33"/>
  <c r="C8" i="33"/>
  <c r="P8" i="33" s="1"/>
  <c r="H8" i="33"/>
  <c r="E104" i="33" s="1"/>
  <c r="F14" i="33"/>
  <c r="F15" i="33"/>
  <c r="F16" i="33"/>
  <c r="F17" i="33"/>
  <c r="F18" i="33"/>
  <c r="F19" i="33"/>
  <c r="F20" i="33"/>
  <c r="F21" i="33"/>
  <c r="F22" i="33"/>
  <c r="F23" i="33"/>
  <c r="F24" i="33"/>
  <c r="F25" i="33"/>
  <c r="F26" i="33"/>
  <c r="F27" i="33"/>
  <c r="F28" i="33"/>
  <c r="F29" i="33"/>
  <c r="C30" i="33"/>
  <c r="D30" i="33"/>
  <c r="C44" i="33"/>
  <c r="D44" i="33"/>
  <c r="E38" i="33" s="1"/>
  <c r="H69" i="33"/>
  <c r="T69" i="33" s="1"/>
  <c r="H72" i="33"/>
  <c r="T72" i="33" s="1"/>
  <c r="F85" i="33"/>
  <c r="R85" i="33" s="1"/>
  <c r="F88" i="33"/>
  <c r="R88" i="33" s="1"/>
  <c r="F90" i="33"/>
  <c r="R90" i="33" s="1"/>
  <c r="F92" i="33"/>
  <c r="F94" i="33"/>
  <c r="R94" i="33" s="1"/>
  <c r="F96" i="33"/>
  <c r="R96" i="33" s="1"/>
  <c r="F104" i="33"/>
  <c r="R104" i="33" s="1"/>
  <c r="F105" i="33"/>
  <c r="R105" i="33" s="1"/>
  <c r="F106" i="33"/>
  <c r="R106" i="33" s="1"/>
  <c r="G113" i="33"/>
  <c r="I113" i="33" s="1"/>
  <c r="G114" i="33"/>
  <c r="H121" i="33"/>
  <c r="R121" i="33"/>
  <c r="R122" i="33" s="1"/>
  <c r="F122" i="33"/>
  <c r="H122" i="33"/>
  <c r="T122" i="33" s="1"/>
  <c r="I143" i="33"/>
  <c r="A152" i="33"/>
  <c r="A162" i="33"/>
  <c r="A164" i="33"/>
  <c r="A168" i="33"/>
  <c r="A172" i="33"/>
  <c r="A173" i="33"/>
  <c r="A174" i="33"/>
  <c r="A178" i="33"/>
  <c r="A179" i="33"/>
  <c r="A180" i="33"/>
  <c r="A182" i="33"/>
  <c r="A183" i="33"/>
  <c r="A184" i="33"/>
  <c r="A185" i="33"/>
  <c r="N1" i="32"/>
  <c r="A3" i="32"/>
  <c r="N3" i="32" s="1"/>
  <c r="F4" i="32"/>
  <c r="P4" i="32"/>
  <c r="N7" i="32"/>
  <c r="C8" i="32"/>
  <c r="P8" i="32" s="1"/>
  <c r="H8" i="32"/>
  <c r="T8" i="32" s="1"/>
  <c r="P104" i="32" s="1"/>
  <c r="F14" i="32"/>
  <c r="F15" i="32"/>
  <c r="F16" i="32"/>
  <c r="F17" i="32"/>
  <c r="F18" i="32"/>
  <c r="F19" i="32"/>
  <c r="F20" i="32"/>
  <c r="F21" i="32"/>
  <c r="F22" i="32"/>
  <c r="F23" i="32"/>
  <c r="F24" i="32"/>
  <c r="F25" i="32"/>
  <c r="F26" i="32"/>
  <c r="F27" i="32"/>
  <c r="F28" i="32"/>
  <c r="F29" i="32"/>
  <c r="C30" i="32"/>
  <c r="D30" i="32"/>
  <c r="C44" i="32"/>
  <c r="D44" i="32"/>
  <c r="T69" i="32"/>
  <c r="T72" i="32"/>
  <c r="F85" i="32"/>
  <c r="R85" i="32" s="1"/>
  <c r="F88" i="32"/>
  <c r="R88" i="32" s="1"/>
  <c r="F90" i="32"/>
  <c r="R90" i="32" s="1"/>
  <c r="F92" i="32"/>
  <c r="F94" i="32"/>
  <c r="R94" i="32" s="1"/>
  <c r="F96" i="32"/>
  <c r="R96" i="32" s="1"/>
  <c r="F104" i="32"/>
  <c r="R104" i="32" s="1"/>
  <c r="F105" i="32"/>
  <c r="R105" i="32" s="1"/>
  <c r="F106" i="32"/>
  <c r="R106" i="32" s="1"/>
  <c r="G113" i="32"/>
  <c r="I113" i="32" s="1"/>
  <c r="G114" i="32"/>
  <c r="I114" i="32" s="1"/>
  <c r="H121" i="32"/>
  <c r="H123" i="32" s="1"/>
  <c r="T123" i="32" s="1"/>
  <c r="R121" i="32"/>
  <c r="R122" i="32" s="1"/>
  <c r="F122" i="32"/>
  <c r="H122" i="32"/>
  <c r="T122" i="32" s="1"/>
  <c r="I143" i="32"/>
  <c r="A152" i="32"/>
  <c r="A162" i="32"/>
  <c r="A164" i="32"/>
  <c r="A168" i="32"/>
  <c r="A172" i="32"/>
  <c r="A173" i="32"/>
  <c r="A174" i="32"/>
  <c r="A178" i="32"/>
  <c r="A179" i="32"/>
  <c r="A180" i="32"/>
  <c r="A182" i="32"/>
  <c r="A183" i="32"/>
  <c r="A184" i="32"/>
  <c r="A185" i="32"/>
  <c r="N1" i="31"/>
  <c r="A3" i="31"/>
  <c r="N3" i="31" s="1"/>
  <c r="F4" i="31"/>
  <c r="P4" i="31"/>
  <c r="N7" i="31"/>
  <c r="C8" i="31"/>
  <c r="P8" i="31" s="1"/>
  <c r="H8" i="31"/>
  <c r="T8" i="31" s="1"/>
  <c r="F14" i="31"/>
  <c r="F15" i="31"/>
  <c r="F16" i="31"/>
  <c r="F17" i="31"/>
  <c r="F18" i="31"/>
  <c r="F19" i="31"/>
  <c r="F20" i="31"/>
  <c r="F21" i="31"/>
  <c r="F22" i="31"/>
  <c r="F23" i="31"/>
  <c r="F24" i="31"/>
  <c r="F25" i="31"/>
  <c r="F26" i="31"/>
  <c r="F27" i="31"/>
  <c r="F28" i="31"/>
  <c r="F29" i="31"/>
  <c r="C30" i="31"/>
  <c r="D30" i="31"/>
  <c r="C44" i="31"/>
  <c r="D44" i="31"/>
  <c r="E42" i="31" s="1"/>
  <c r="H69" i="31"/>
  <c r="T69" i="31" s="1"/>
  <c r="H72" i="31"/>
  <c r="T72" i="31" s="1"/>
  <c r="F85" i="31"/>
  <c r="R85" i="31" s="1"/>
  <c r="F88" i="31"/>
  <c r="R88" i="31" s="1"/>
  <c r="F90" i="31"/>
  <c r="R90" i="31" s="1"/>
  <c r="F92" i="31"/>
  <c r="R92" i="31" s="1"/>
  <c r="F94" i="31"/>
  <c r="R94" i="31" s="1"/>
  <c r="F96" i="31"/>
  <c r="R96" i="31" s="1"/>
  <c r="F104" i="31"/>
  <c r="R104" i="31" s="1"/>
  <c r="F105" i="31"/>
  <c r="R105" i="31" s="1"/>
  <c r="F106" i="31"/>
  <c r="R106" i="31" s="1"/>
  <c r="G113" i="31"/>
  <c r="T113" i="31" s="1"/>
  <c r="G114" i="31"/>
  <c r="I114" i="31" s="1"/>
  <c r="H121" i="31"/>
  <c r="R121" i="31"/>
  <c r="R122" i="31" s="1"/>
  <c r="F122" i="31"/>
  <c r="H122" i="31"/>
  <c r="T122" i="31" s="1"/>
  <c r="I143" i="31"/>
  <c r="A152" i="31"/>
  <c r="A162" i="31"/>
  <c r="A164" i="31"/>
  <c r="A168" i="31"/>
  <c r="A172" i="31"/>
  <c r="A173" i="31"/>
  <c r="A174" i="31"/>
  <c r="A178" i="31"/>
  <c r="A179" i="31"/>
  <c r="A180" i="31"/>
  <c r="A182" i="31"/>
  <c r="A183" i="31"/>
  <c r="A184" i="31"/>
  <c r="A185" i="31"/>
  <c r="N1" i="28"/>
  <c r="A3" i="28"/>
  <c r="N3" i="28" s="1"/>
  <c r="F4" i="28"/>
  <c r="P4" i="28"/>
  <c r="N7" i="28"/>
  <c r="C8" i="28"/>
  <c r="P8" i="28" s="1"/>
  <c r="H8" i="28"/>
  <c r="F14" i="28"/>
  <c r="F15" i="28"/>
  <c r="F16" i="28"/>
  <c r="F17" i="28"/>
  <c r="F18" i="28"/>
  <c r="F19" i="28"/>
  <c r="F20" i="28"/>
  <c r="F21" i="28"/>
  <c r="F22" i="28"/>
  <c r="F23" i="28"/>
  <c r="F24" i="28"/>
  <c r="F25" i="28"/>
  <c r="F26" i="28"/>
  <c r="F27" i="28"/>
  <c r="F28" i="28"/>
  <c r="F29" i="28"/>
  <c r="C30" i="28"/>
  <c r="D30" i="28"/>
  <c r="C44" i="28"/>
  <c r="D44" i="28"/>
  <c r="E38" i="28" s="1"/>
  <c r="H69" i="28"/>
  <c r="T69" i="28" s="1"/>
  <c r="H72" i="28"/>
  <c r="T72" i="28" s="1"/>
  <c r="F85" i="28"/>
  <c r="R85" i="28" s="1"/>
  <c r="F88" i="28"/>
  <c r="F90" i="28"/>
  <c r="R90" i="28" s="1"/>
  <c r="F92" i="28"/>
  <c r="R92" i="28" s="1"/>
  <c r="F94" i="28"/>
  <c r="R94" i="28" s="1"/>
  <c r="F96" i="28"/>
  <c r="F104" i="28"/>
  <c r="R104" i="28" s="1"/>
  <c r="F105" i="28"/>
  <c r="R105" i="28" s="1"/>
  <c r="F106" i="28"/>
  <c r="R106" i="28" s="1"/>
  <c r="G113" i="28"/>
  <c r="T113" i="28" s="1"/>
  <c r="G114" i="28"/>
  <c r="I114" i="28" s="1"/>
  <c r="H121" i="28"/>
  <c r="H123" i="28" s="1"/>
  <c r="R121" i="28"/>
  <c r="R122" i="28" s="1"/>
  <c r="F122" i="28"/>
  <c r="H122" i="28"/>
  <c r="T122" i="28" s="1"/>
  <c r="I143" i="28"/>
  <c r="A152" i="28"/>
  <c r="A162" i="28"/>
  <c r="A164" i="28"/>
  <c r="A168" i="28"/>
  <c r="A172" i="28"/>
  <c r="A173" i="28"/>
  <c r="A174" i="28"/>
  <c r="A178" i="28"/>
  <c r="A179" i="28"/>
  <c r="A180" i="28"/>
  <c r="A182" i="28"/>
  <c r="A183" i="28"/>
  <c r="A184" i="28"/>
  <c r="A185" i="28"/>
  <c r="N1" i="27"/>
  <c r="A3" i="27"/>
  <c r="N3" i="27" s="1"/>
  <c r="F4" i="27"/>
  <c r="P4" i="27"/>
  <c r="N7" i="27"/>
  <c r="C8" i="27"/>
  <c r="P8" i="27" s="1"/>
  <c r="H8" i="27"/>
  <c r="F14" i="27"/>
  <c r="F15" i="27"/>
  <c r="F16" i="27"/>
  <c r="F17" i="27"/>
  <c r="F18" i="27"/>
  <c r="F19" i="27"/>
  <c r="F20" i="27"/>
  <c r="F21" i="27"/>
  <c r="F22" i="27"/>
  <c r="F23" i="27"/>
  <c r="F24" i="27"/>
  <c r="F25" i="27"/>
  <c r="F26" i="27"/>
  <c r="F27" i="27"/>
  <c r="F28" i="27"/>
  <c r="F29" i="27"/>
  <c r="C30" i="27"/>
  <c r="D30" i="27"/>
  <c r="C44" i="27"/>
  <c r="D44" i="27"/>
  <c r="H69" i="27"/>
  <c r="T69" i="27" s="1"/>
  <c r="H72" i="27"/>
  <c r="T72" i="27" s="1"/>
  <c r="F85" i="27"/>
  <c r="R85" i="27" s="1"/>
  <c r="F88" i="27"/>
  <c r="R88" i="27" s="1"/>
  <c r="F90" i="27"/>
  <c r="R90" i="27" s="1"/>
  <c r="F92" i="27"/>
  <c r="F94" i="27"/>
  <c r="R94" i="27" s="1"/>
  <c r="F96" i="27"/>
  <c r="R96" i="27" s="1"/>
  <c r="F104" i="27"/>
  <c r="R104" i="27" s="1"/>
  <c r="F105" i="27"/>
  <c r="R105" i="27" s="1"/>
  <c r="F106" i="27"/>
  <c r="R106" i="27" s="1"/>
  <c r="G113" i="27"/>
  <c r="I113" i="27" s="1"/>
  <c r="G114" i="27"/>
  <c r="I114" i="27" s="1"/>
  <c r="H121" i="27"/>
  <c r="H123" i="27" s="1"/>
  <c r="T123" i="27" s="1"/>
  <c r="R121" i="27"/>
  <c r="R122" i="27" s="1"/>
  <c r="F122" i="27"/>
  <c r="H122" i="27"/>
  <c r="T122" i="27" s="1"/>
  <c r="I143" i="27"/>
  <c r="A152" i="27"/>
  <c r="A162" i="27"/>
  <c r="A164" i="27"/>
  <c r="A168" i="27"/>
  <c r="A172" i="27"/>
  <c r="A173" i="27"/>
  <c r="A174" i="27"/>
  <c r="A178" i="27"/>
  <c r="A179" i="27"/>
  <c r="A180" i="27"/>
  <c r="A182" i="27"/>
  <c r="A183" i="27"/>
  <c r="A184" i="27"/>
  <c r="A185" i="27"/>
  <c r="N1" i="26"/>
  <c r="A3" i="26"/>
  <c r="N3" i="26" s="1"/>
  <c r="F4" i="26"/>
  <c r="P4" i="26"/>
  <c r="N7" i="26"/>
  <c r="C8" i="26"/>
  <c r="P8" i="26" s="1"/>
  <c r="H8" i="26"/>
  <c r="T8" i="26" s="1"/>
  <c r="F14" i="26"/>
  <c r="F15" i="26"/>
  <c r="F16" i="26"/>
  <c r="F17" i="26"/>
  <c r="F18" i="26"/>
  <c r="F19" i="26"/>
  <c r="F20" i="26"/>
  <c r="F21" i="26"/>
  <c r="F22" i="26"/>
  <c r="F23" i="26"/>
  <c r="F24" i="26"/>
  <c r="F25" i="26"/>
  <c r="F26" i="26"/>
  <c r="F27" i="26"/>
  <c r="F28" i="26"/>
  <c r="F29" i="26"/>
  <c r="C30" i="26"/>
  <c r="D30" i="26"/>
  <c r="C44" i="26"/>
  <c r="D44" i="26"/>
  <c r="E40" i="26" s="1"/>
  <c r="H69" i="26"/>
  <c r="T69" i="26" s="1"/>
  <c r="H72" i="26"/>
  <c r="T72" i="26" s="1"/>
  <c r="F85" i="26"/>
  <c r="R85" i="26" s="1"/>
  <c r="F88" i="26"/>
  <c r="R88" i="26" s="1"/>
  <c r="F90" i="26"/>
  <c r="R90" i="26" s="1"/>
  <c r="F92" i="26"/>
  <c r="R92" i="26" s="1"/>
  <c r="F94" i="26"/>
  <c r="R94" i="26" s="1"/>
  <c r="F96" i="26"/>
  <c r="R96" i="26" s="1"/>
  <c r="F104" i="26"/>
  <c r="R104" i="26" s="1"/>
  <c r="F105" i="26"/>
  <c r="R105" i="26" s="1"/>
  <c r="F106" i="26"/>
  <c r="R106" i="26" s="1"/>
  <c r="G113" i="26"/>
  <c r="I113" i="26" s="1"/>
  <c r="G114" i="26"/>
  <c r="I114" i="26" s="1"/>
  <c r="H121" i="26"/>
  <c r="R121" i="26"/>
  <c r="R122" i="26" s="1"/>
  <c r="F122" i="26"/>
  <c r="H122" i="26"/>
  <c r="T122" i="26" s="1"/>
  <c r="I143" i="26"/>
  <c r="A152" i="26"/>
  <c r="A162" i="26"/>
  <c r="A164" i="26"/>
  <c r="A168" i="26"/>
  <c r="A172" i="26"/>
  <c r="A173" i="26"/>
  <c r="A174" i="26"/>
  <c r="A178" i="26"/>
  <c r="A179" i="26"/>
  <c r="A180" i="26"/>
  <c r="A182" i="26"/>
  <c r="A183" i="26"/>
  <c r="A184" i="26"/>
  <c r="A185" i="26"/>
  <c r="N1" i="22"/>
  <c r="A3" i="22"/>
  <c r="N3" i="22" s="1"/>
  <c r="F4" i="22"/>
  <c r="P4" i="22"/>
  <c r="N7" i="22"/>
  <c r="C8" i="22"/>
  <c r="P8" i="22" s="1"/>
  <c r="H8" i="22"/>
  <c r="E104" i="22" s="1"/>
  <c r="F14" i="22"/>
  <c r="F15" i="22"/>
  <c r="F16" i="22"/>
  <c r="F17" i="22"/>
  <c r="F18" i="22"/>
  <c r="F19" i="22"/>
  <c r="F20" i="22"/>
  <c r="F21" i="22"/>
  <c r="F22" i="22"/>
  <c r="F23" i="22"/>
  <c r="F24" i="22"/>
  <c r="F25" i="22"/>
  <c r="F26" i="22"/>
  <c r="F27" i="22"/>
  <c r="F28" i="22"/>
  <c r="F29" i="22"/>
  <c r="C30" i="22"/>
  <c r="D30" i="22"/>
  <c r="C44" i="22"/>
  <c r="D44" i="22"/>
  <c r="E43" i="22" s="1"/>
  <c r="H69" i="22"/>
  <c r="T69" i="22" s="1"/>
  <c r="H72" i="22"/>
  <c r="T72" i="22" s="1"/>
  <c r="F85" i="22"/>
  <c r="R85" i="22" s="1"/>
  <c r="F88" i="22"/>
  <c r="F90" i="22"/>
  <c r="R90" i="22" s="1"/>
  <c r="F92" i="22"/>
  <c r="R92" i="22" s="1"/>
  <c r="F94" i="22"/>
  <c r="R94" i="22" s="1"/>
  <c r="F96" i="22"/>
  <c r="F104" i="22"/>
  <c r="R104" i="22" s="1"/>
  <c r="F105" i="22"/>
  <c r="R105" i="22" s="1"/>
  <c r="F106" i="22"/>
  <c r="R106" i="22" s="1"/>
  <c r="G113" i="22"/>
  <c r="G114" i="22"/>
  <c r="I114" i="22" s="1"/>
  <c r="H121" i="22"/>
  <c r="T121" i="22" s="1"/>
  <c r="R121" i="22"/>
  <c r="R122" i="22" s="1"/>
  <c r="F122" i="22"/>
  <c r="H122" i="22"/>
  <c r="T122" i="22" s="1"/>
  <c r="I143" i="22"/>
  <c r="A152" i="22"/>
  <c r="A162" i="22"/>
  <c r="A164" i="22"/>
  <c r="A168" i="22"/>
  <c r="A172" i="22"/>
  <c r="A173" i="22"/>
  <c r="A174" i="22"/>
  <c r="A178" i="22"/>
  <c r="A179" i="22"/>
  <c r="A180" i="22"/>
  <c r="A182" i="22"/>
  <c r="A183" i="22"/>
  <c r="A184" i="22"/>
  <c r="A185" i="22"/>
  <c r="N1" i="24"/>
  <c r="A3" i="24"/>
  <c r="N3" i="24" s="1"/>
  <c r="F4" i="24"/>
  <c r="P4" i="24"/>
  <c r="N7" i="24"/>
  <c r="C8" i="24"/>
  <c r="P8" i="24" s="1"/>
  <c r="H8" i="24"/>
  <c r="E105" i="24" s="1"/>
  <c r="F14" i="24"/>
  <c r="F15" i="24"/>
  <c r="F16" i="24"/>
  <c r="F17" i="24"/>
  <c r="F18" i="24"/>
  <c r="F19" i="24"/>
  <c r="F20" i="24"/>
  <c r="F21" i="24"/>
  <c r="F22" i="24"/>
  <c r="F23" i="24"/>
  <c r="F24" i="24"/>
  <c r="F25" i="24"/>
  <c r="F26" i="24"/>
  <c r="F27" i="24"/>
  <c r="F28" i="24"/>
  <c r="F29" i="24"/>
  <c r="C30" i="24"/>
  <c r="D30" i="24"/>
  <c r="C44" i="24"/>
  <c r="D44" i="24"/>
  <c r="E39" i="24" s="1"/>
  <c r="H69" i="24"/>
  <c r="T69" i="24" s="1"/>
  <c r="H72" i="24"/>
  <c r="T72" i="24" s="1"/>
  <c r="F85" i="24"/>
  <c r="R85" i="24" s="1"/>
  <c r="F88" i="24"/>
  <c r="R88" i="24" s="1"/>
  <c r="F90" i="24"/>
  <c r="R90" i="24" s="1"/>
  <c r="F92" i="24"/>
  <c r="R92" i="24" s="1"/>
  <c r="F94" i="24"/>
  <c r="R94" i="24" s="1"/>
  <c r="F96" i="24"/>
  <c r="R96" i="24" s="1"/>
  <c r="F104" i="24"/>
  <c r="R104" i="24" s="1"/>
  <c r="F105" i="24"/>
  <c r="R105" i="24" s="1"/>
  <c r="F106" i="24"/>
  <c r="R106" i="24" s="1"/>
  <c r="G113" i="24"/>
  <c r="T113" i="24" s="1"/>
  <c r="G114" i="24"/>
  <c r="I114" i="24" s="1"/>
  <c r="H121" i="24"/>
  <c r="H123" i="24" s="1"/>
  <c r="R121" i="24"/>
  <c r="R122" i="24" s="1"/>
  <c r="F122" i="24"/>
  <c r="H122" i="24"/>
  <c r="T122" i="24" s="1"/>
  <c r="I143" i="24"/>
  <c r="A152" i="24"/>
  <c r="A162" i="24"/>
  <c r="A164" i="24"/>
  <c r="A168" i="24"/>
  <c r="A172" i="24"/>
  <c r="A173" i="24"/>
  <c r="A174" i="24"/>
  <c r="A178" i="24"/>
  <c r="A179" i="24"/>
  <c r="A180" i="24"/>
  <c r="A182" i="24"/>
  <c r="A183" i="24"/>
  <c r="A184" i="24"/>
  <c r="A185" i="24"/>
  <c r="N1" i="25"/>
  <c r="A3" i="25"/>
  <c r="N3" i="25" s="1"/>
  <c r="F4" i="25"/>
  <c r="P4" i="25"/>
  <c r="N7" i="25"/>
  <c r="C8" i="25"/>
  <c r="P8" i="25" s="1"/>
  <c r="H8" i="25"/>
  <c r="T8" i="25" s="1"/>
  <c r="P104" i="25" s="1"/>
  <c r="F14" i="25"/>
  <c r="F15" i="25"/>
  <c r="F16" i="25"/>
  <c r="F17" i="25"/>
  <c r="F18" i="25"/>
  <c r="F19" i="25"/>
  <c r="F20" i="25"/>
  <c r="F21" i="25"/>
  <c r="F22" i="25"/>
  <c r="F23" i="25"/>
  <c r="F24" i="25"/>
  <c r="F25" i="25"/>
  <c r="F26" i="25"/>
  <c r="F27" i="25"/>
  <c r="F28" i="25"/>
  <c r="F29" i="25"/>
  <c r="C30" i="25"/>
  <c r="D30" i="25"/>
  <c r="C44" i="25"/>
  <c r="D44" i="25"/>
  <c r="H69" i="25"/>
  <c r="T69" i="25" s="1"/>
  <c r="H72" i="25"/>
  <c r="T72" i="25" s="1"/>
  <c r="F85" i="25"/>
  <c r="R85" i="25" s="1"/>
  <c r="F88" i="25"/>
  <c r="R88" i="25" s="1"/>
  <c r="F90" i="25"/>
  <c r="R90" i="25" s="1"/>
  <c r="F92" i="25"/>
  <c r="R92" i="25" s="1"/>
  <c r="F94" i="25"/>
  <c r="R94" i="25" s="1"/>
  <c r="F96" i="25"/>
  <c r="R96" i="25" s="1"/>
  <c r="F104" i="25"/>
  <c r="R104" i="25" s="1"/>
  <c r="F105" i="25"/>
  <c r="R105" i="25" s="1"/>
  <c r="F106" i="25"/>
  <c r="R106" i="25" s="1"/>
  <c r="G113" i="25"/>
  <c r="T113" i="25" s="1"/>
  <c r="G114" i="25"/>
  <c r="I114" i="25" s="1"/>
  <c r="H121" i="25"/>
  <c r="R121" i="25"/>
  <c r="R122" i="25" s="1"/>
  <c r="F122" i="25"/>
  <c r="H122" i="25"/>
  <c r="T122" i="25" s="1"/>
  <c r="I143" i="25"/>
  <c r="A152" i="25"/>
  <c r="A162" i="25"/>
  <c r="A164" i="25"/>
  <c r="A168" i="25"/>
  <c r="A172" i="25"/>
  <c r="A173" i="25"/>
  <c r="A174" i="25"/>
  <c r="A178" i="25"/>
  <c r="A179" i="25"/>
  <c r="A180" i="25"/>
  <c r="A182" i="25"/>
  <c r="A183" i="25"/>
  <c r="A184" i="25"/>
  <c r="A185" i="25"/>
  <c r="N1" i="21"/>
  <c r="A3" i="21"/>
  <c r="N3" i="21" s="1"/>
  <c r="F4" i="21"/>
  <c r="P4" i="21"/>
  <c r="N7" i="21"/>
  <c r="C8" i="21"/>
  <c r="P8" i="21" s="1"/>
  <c r="H8" i="21"/>
  <c r="E104" i="21" s="1"/>
  <c r="F14" i="21"/>
  <c r="F15" i="21"/>
  <c r="F16" i="21"/>
  <c r="F17" i="21"/>
  <c r="F18" i="21"/>
  <c r="F19" i="21"/>
  <c r="F20" i="21"/>
  <c r="F21" i="21"/>
  <c r="F22" i="21"/>
  <c r="F23" i="21"/>
  <c r="F24" i="21"/>
  <c r="F25" i="21"/>
  <c r="F26" i="21"/>
  <c r="F27" i="21"/>
  <c r="F28" i="21"/>
  <c r="F29" i="21"/>
  <c r="C30" i="21"/>
  <c r="D30" i="21"/>
  <c r="C44" i="21"/>
  <c r="D44" i="21"/>
  <c r="E40" i="21" s="1"/>
  <c r="H69" i="21"/>
  <c r="T69" i="21" s="1"/>
  <c r="H72" i="21"/>
  <c r="T72" i="21" s="1"/>
  <c r="F85" i="21"/>
  <c r="R85" i="21" s="1"/>
  <c r="F88" i="21"/>
  <c r="F90" i="21"/>
  <c r="R90" i="21" s="1"/>
  <c r="F92" i="21"/>
  <c r="F94" i="21"/>
  <c r="R94" i="21" s="1"/>
  <c r="F96" i="21"/>
  <c r="F104" i="21"/>
  <c r="R104" i="21" s="1"/>
  <c r="F105" i="21"/>
  <c r="R105" i="21" s="1"/>
  <c r="F106" i="21"/>
  <c r="R106" i="21" s="1"/>
  <c r="G113" i="21"/>
  <c r="T113" i="21" s="1"/>
  <c r="G114" i="21"/>
  <c r="I114" i="21" s="1"/>
  <c r="H121" i="21"/>
  <c r="R121" i="21"/>
  <c r="R122" i="21" s="1"/>
  <c r="F122" i="21"/>
  <c r="H122" i="21"/>
  <c r="T122" i="21" s="1"/>
  <c r="I143" i="21"/>
  <c r="A152" i="21"/>
  <c r="A162" i="21"/>
  <c r="A164" i="21"/>
  <c r="A168" i="21"/>
  <c r="A172" i="21"/>
  <c r="A173" i="21"/>
  <c r="A174" i="21"/>
  <c r="A178" i="21"/>
  <c r="A179" i="21"/>
  <c r="A180" i="21"/>
  <c r="A182" i="21"/>
  <c r="A183" i="21"/>
  <c r="A184" i="21"/>
  <c r="A185" i="21"/>
  <c r="N1" i="20"/>
  <c r="A3" i="20"/>
  <c r="N3" i="20" s="1"/>
  <c r="F4" i="20"/>
  <c r="P4" i="20"/>
  <c r="N7" i="20"/>
  <c r="C8" i="20"/>
  <c r="P8" i="20" s="1"/>
  <c r="H8" i="20"/>
  <c r="T8" i="20" s="1"/>
  <c r="F14" i="20"/>
  <c r="F15" i="20"/>
  <c r="F16" i="20"/>
  <c r="F17" i="20"/>
  <c r="F18" i="20"/>
  <c r="F19" i="20"/>
  <c r="F20" i="20"/>
  <c r="F21" i="20"/>
  <c r="F22" i="20"/>
  <c r="F23" i="20"/>
  <c r="F24" i="20"/>
  <c r="F25" i="20"/>
  <c r="F26" i="20"/>
  <c r="F27" i="20"/>
  <c r="F28" i="20"/>
  <c r="F29" i="20"/>
  <c r="C30" i="20"/>
  <c r="D30" i="20"/>
  <c r="C44" i="20"/>
  <c r="D44" i="20"/>
  <c r="E38" i="20" s="1"/>
  <c r="H69" i="20"/>
  <c r="T69" i="20" s="1"/>
  <c r="H72" i="20"/>
  <c r="T72" i="20" s="1"/>
  <c r="F85" i="20"/>
  <c r="R85" i="20" s="1"/>
  <c r="F88" i="20"/>
  <c r="R88" i="20" s="1"/>
  <c r="F90" i="20"/>
  <c r="R90" i="20" s="1"/>
  <c r="F92" i="20"/>
  <c r="R92" i="20" s="1"/>
  <c r="F94" i="20"/>
  <c r="R94" i="20" s="1"/>
  <c r="F96" i="20"/>
  <c r="R96" i="20" s="1"/>
  <c r="F104" i="20"/>
  <c r="R104" i="20" s="1"/>
  <c r="F105" i="20"/>
  <c r="R105" i="20" s="1"/>
  <c r="F106" i="20"/>
  <c r="R106" i="20" s="1"/>
  <c r="G113" i="20"/>
  <c r="G114" i="20"/>
  <c r="H121" i="20"/>
  <c r="H123" i="20" s="1"/>
  <c r="T123" i="20" s="1"/>
  <c r="R121" i="20"/>
  <c r="R122" i="20" s="1"/>
  <c r="F122" i="20"/>
  <c r="H122" i="20"/>
  <c r="T122" i="20" s="1"/>
  <c r="I143" i="20"/>
  <c r="A152" i="20"/>
  <c r="A162" i="20"/>
  <c r="A164" i="20"/>
  <c r="A168" i="20"/>
  <c r="A172" i="20"/>
  <c r="A173" i="20"/>
  <c r="A174" i="20"/>
  <c r="A178" i="20"/>
  <c r="A179" i="20"/>
  <c r="A180" i="20"/>
  <c r="A182" i="20"/>
  <c r="A183" i="20"/>
  <c r="A184" i="20"/>
  <c r="A185" i="20"/>
  <c r="N1" i="18"/>
  <c r="A3" i="18"/>
  <c r="N3" i="18" s="1"/>
  <c r="F4" i="18"/>
  <c r="P4" i="18"/>
  <c r="N7" i="18"/>
  <c r="C8" i="18"/>
  <c r="P8" i="18" s="1"/>
  <c r="H8" i="18"/>
  <c r="T8" i="18" s="1"/>
  <c r="P106" i="18" s="1"/>
  <c r="F14" i="18"/>
  <c r="F15" i="18"/>
  <c r="F16" i="18"/>
  <c r="F17" i="18"/>
  <c r="F18" i="18"/>
  <c r="F19" i="18"/>
  <c r="F20" i="18"/>
  <c r="F21" i="18"/>
  <c r="F22" i="18"/>
  <c r="F23" i="18"/>
  <c r="F24" i="18"/>
  <c r="F25" i="18"/>
  <c r="F26" i="18"/>
  <c r="F27" i="18"/>
  <c r="F28" i="18"/>
  <c r="F29" i="18"/>
  <c r="C30" i="18"/>
  <c r="D30" i="18"/>
  <c r="E15" i="18" s="1"/>
  <c r="C44" i="18"/>
  <c r="D44" i="18"/>
  <c r="E38" i="18" s="1"/>
  <c r="H69" i="18"/>
  <c r="T69" i="18" s="1"/>
  <c r="H72" i="18"/>
  <c r="T72" i="18" s="1"/>
  <c r="F85" i="18"/>
  <c r="R85" i="18" s="1"/>
  <c r="F88" i="18"/>
  <c r="R88" i="18" s="1"/>
  <c r="F90" i="18"/>
  <c r="R90" i="18" s="1"/>
  <c r="F92" i="18"/>
  <c r="R92" i="18" s="1"/>
  <c r="F94" i="18"/>
  <c r="F96" i="18"/>
  <c r="R96" i="18" s="1"/>
  <c r="F104" i="18"/>
  <c r="R104" i="18" s="1"/>
  <c r="F105" i="18"/>
  <c r="R105" i="18" s="1"/>
  <c r="F106" i="18"/>
  <c r="R106" i="18" s="1"/>
  <c r="G113" i="18"/>
  <c r="T113" i="18" s="1"/>
  <c r="G114" i="18"/>
  <c r="I114" i="18" s="1"/>
  <c r="H121" i="18"/>
  <c r="R121" i="18"/>
  <c r="R122" i="18" s="1"/>
  <c r="F122" i="18"/>
  <c r="H122" i="18"/>
  <c r="I143" i="18"/>
  <c r="A152" i="18"/>
  <c r="A162" i="18"/>
  <c r="A164" i="18"/>
  <c r="A168" i="18"/>
  <c r="A172" i="18"/>
  <c r="A173" i="18"/>
  <c r="A174" i="18"/>
  <c r="A178" i="18"/>
  <c r="A179" i="18"/>
  <c r="A180" i="18"/>
  <c r="A182" i="18"/>
  <c r="A183" i="18"/>
  <c r="A184" i="18"/>
  <c r="A185" i="18"/>
  <c r="N1" i="17"/>
  <c r="A3" i="17"/>
  <c r="N3" i="17" s="1"/>
  <c r="F4" i="17"/>
  <c r="P4" i="17"/>
  <c r="N7" i="17"/>
  <c r="C8" i="17"/>
  <c r="P8" i="17" s="1"/>
  <c r="H8" i="17"/>
  <c r="E105" i="17" s="1"/>
  <c r="F14" i="17"/>
  <c r="F15" i="17"/>
  <c r="F16" i="17"/>
  <c r="F17" i="17"/>
  <c r="F18" i="17"/>
  <c r="F19" i="17"/>
  <c r="F20" i="17"/>
  <c r="F21" i="17"/>
  <c r="F22" i="17"/>
  <c r="F23" i="17"/>
  <c r="F24" i="17"/>
  <c r="F25" i="17"/>
  <c r="F26" i="17"/>
  <c r="F27" i="17"/>
  <c r="F28" i="17"/>
  <c r="F29" i="17"/>
  <c r="C30" i="17"/>
  <c r="D30" i="17"/>
  <c r="C44" i="17"/>
  <c r="D44" i="17"/>
  <c r="E43" i="17" s="1"/>
  <c r="H69" i="17"/>
  <c r="T69" i="17" s="1"/>
  <c r="H72" i="17"/>
  <c r="T72" i="17" s="1"/>
  <c r="F85" i="17"/>
  <c r="R85" i="17" s="1"/>
  <c r="F88" i="17"/>
  <c r="F90" i="17"/>
  <c r="R90" i="17" s="1"/>
  <c r="F92" i="17"/>
  <c r="F94" i="17"/>
  <c r="R94" i="17" s="1"/>
  <c r="F96" i="17"/>
  <c r="F104" i="17"/>
  <c r="R104" i="17" s="1"/>
  <c r="F105" i="17"/>
  <c r="R105" i="17" s="1"/>
  <c r="F106" i="17"/>
  <c r="R106" i="17" s="1"/>
  <c r="G113" i="17"/>
  <c r="T113" i="17" s="1"/>
  <c r="G114" i="17"/>
  <c r="T114" i="17" s="1"/>
  <c r="U114" i="17" s="1"/>
  <c r="H121" i="17"/>
  <c r="H123" i="17" s="1"/>
  <c r="R121" i="17"/>
  <c r="R122" i="17" s="1"/>
  <c r="F122" i="17"/>
  <c r="H122" i="17"/>
  <c r="T122" i="17" s="1"/>
  <c r="I143" i="17"/>
  <c r="A152" i="17"/>
  <c r="A162" i="17"/>
  <c r="A164" i="17"/>
  <c r="A168" i="17"/>
  <c r="A172" i="17"/>
  <c r="A173" i="17"/>
  <c r="A174" i="17"/>
  <c r="A178" i="17"/>
  <c r="A179" i="17"/>
  <c r="A180" i="17"/>
  <c r="A182" i="17"/>
  <c r="A183" i="17"/>
  <c r="A184" i="17"/>
  <c r="A185" i="17"/>
  <c r="N1" i="16"/>
  <c r="A3" i="16"/>
  <c r="N3" i="16" s="1"/>
  <c r="F4" i="16"/>
  <c r="P4" i="16"/>
  <c r="N7" i="16"/>
  <c r="C8" i="16"/>
  <c r="P8" i="16" s="1"/>
  <c r="H8" i="16"/>
  <c r="F14" i="16"/>
  <c r="F15" i="16"/>
  <c r="F16" i="16"/>
  <c r="F17" i="16"/>
  <c r="F18" i="16"/>
  <c r="F19" i="16"/>
  <c r="F20" i="16"/>
  <c r="F21" i="16"/>
  <c r="F22" i="16"/>
  <c r="F23" i="16"/>
  <c r="F24" i="16"/>
  <c r="F25" i="16"/>
  <c r="F26" i="16"/>
  <c r="F27" i="16"/>
  <c r="F28" i="16"/>
  <c r="F29" i="16"/>
  <c r="C30" i="16"/>
  <c r="D30" i="16"/>
  <c r="C44" i="16"/>
  <c r="D44" i="16"/>
  <c r="E39" i="16" s="1"/>
  <c r="H69" i="16"/>
  <c r="H72" i="16"/>
  <c r="T72" i="16" s="1"/>
  <c r="F85" i="16"/>
  <c r="F88" i="16"/>
  <c r="R88" i="16" s="1"/>
  <c r="F90" i="16"/>
  <c r="F92" i="16"/>
  <c r="R92" i="16" s="1"/>
  <c r="F94" i="16"/>
  <c r="R94" i="16" s="1"/>
  <c r="F96" i="16"/>
  <c r="R96" i="16" s="1"/>
  <c r="F104" i="16"/>
  <c r="R104" i="16" s="1"/>
  <c r="F105" i="16"/>
  <c r="R105" i="16" s="1"/>
  <c r="F106" i="16"/>
  <c r="R106" i="16" s="1"/>
  <c r="G113" i="16"/>
  <c r="I113" i="16" s="1"/>
  <c r="G114" i="16"/>
  <c r="H121" i="16"/>
  <c r="R121" i="16"/>
  <c r="R122" i="16" s="1"/>
  <c r="F122" i="16"/>
  <c r="H122" i="16"/>
  <c r="I143" i="16"/>
  <c r="A152" i="16"/>
  <c r="A162" i="16"/>
  <c r="A164" i="16"/>
  <c r="A168" i="16"/>
  <c r="A172" i="16"/>
  <c r="A173" i="16"/>
  <c r="A174" i="16"/>
  <c r="A178" i="16"/>
  <c r="A179" i="16"/>
  <c r="A180" i="16"/>
  <c r="A182" i="16"/>
  <c r="A183" i="16"/>
  <c r="A184" i="16"/>
  <c r="A185" i="16"/>
  <c r="N1" i="7"/>
  <c r="N3" i="7"/>
  <c r="P4" i="7"/>
  <c r="T8" i="7"/>
  <c r="P104" i="7" s="1"/>
  <c r="C30" i="7"/>
  <c r="D30" i="7"/>
  <c r="E18" i="7" s="1"/>
  <c r="I35" i="7"/>
  <c r="U35" i="7" s="1"/>
  <c r="C44" i="7"/>
  <c r="D44" i="7"/>
  <c r="E38" i="7" s="1"/>
  <c r="I38" i="7" s="1"/>
  <c r="T69" i="7"/>
  <c r="T72" i="7"/>
  <c r="R85" i="7"/>
  <c r="R88" i="7"/>
  <c r="R90" i="7"/>
  <c r="R92" i="7"/>
  <c r="R94" i="7"/>
  <c r="R96" i="7"/>
  <c r="E104" i="7"/>
  <c r="E105" i="60" s="1"/>
  <c r="R104" i="7"/>
  <c r="E105" i="7"/>
  <c r="E106" i="60" s="1"/>
  <c r="R105" i="7"/>
  <c r="E106" i="7"/>
  <c r="E107" i="60" s="1"/>
  <c r="R106" i="7"/>
  <c r="I113" i="7"/>
  <c r="T113" i="7"/>
  <c r="T114" i="7"/>
  <c r="U114" i="7" s="1"/>
  <c r="H121" i="7"/>
  <c r="R121" i="7"/>
  <c r="R122" i="7" s="1"/>
  <c r="F122" i="7"/>
  <c r="H122" i="7"/>
  <c r="T122" i="7" s="1"/>
  <c r="A3" i="60"/>
  <c r="A7" i="60"/>
  <c r="C8" i="60"/>
  <c r="H8" i="60"/>
  <c r="I10" i="60"/>
  <c r="F14" i="60"/>
  <c r="F15" i="60"/>
  <c r="F16" i="60"/>
  <c r="F17" i="60"/>
  <c r="F18" i="60"/>
  <c r="F19" i="60"/>
  <c r="F20" i="60"/>
  <c r="F21" i="60"/>
  <c r="F22" i="60"/>
  <c r="F23" i="60"/>
  <c r="F24" i="60"/>
  <c r="F25" i="60"/>
  <c r="F26" i="60"/>
  <c r="F27" i="60"/>
  <c r="F28" i="60"/>
  <c r="F29" i="60"/>
  <c r="C31" i="60"/>
  <c r="D31" i="60"/>
  <c r="E122" i="60" s="1"/>
  <c r="I122" i="60" s="1"/>
  <c r="C39" i="60"/>
  <c r="D39" i="60"/>
  <c r="C40" i="60"/>
  <c r="D40" i="60"/>
  <c r="C41" i="60"/>
  <c r="D41" i="60"/>
  <c r="C42" i="60"/>
  <c r="D42" i="60"/>
  <c r="C43" i="60"/>
  <c r="D43" i="60"/>
  <c r="C44" i="60"/>
  <c r="D44" i="60"/>
  <c r="B2" i="64"/>
  <c r="A37" i="64"/>
  <c r="A53" i="64" s="1"/>
  <c r="A60" i="64" s="1"/>
  <c r="A72" i="64" s="1"/>
  <c r="A80" i="64" s="1"/>
  <c r="A90" i="64" s="1"/>
  <c r="A101" i="64" s="1"/>
  <c r="A110" i="64" s="1"/>
  <c r="A118" i="64" s="1"/>
  <c r="A125" i="64" s="1"/>
  <c r="A134" i="64" s="1"/>
  <c r="A143" i="64" s="1"/>
  <c r="A152" i="64" s="1"/>
  <c r="A162" i="64" s="1"/>
  <c r="A171" i="64" s="1"/>
  <c r="A179" i="64" s="1"/>
  <c r="A186" i="64" s="1"/>
  <c r="A194" i="64" s="1"/>
  <c r="A205" i="64" s="1"/>
  <c r="A213" i="64" s="1"/>
  <c r="A224" i="64" s="1"/>
  <c r="A234" i="64" s="1"/>
  <c r="A243" i="64" s="1"/>
  <c r="A253" i="64" s="1"/>
  <c r="A263" i="64" s="1"/>
  <c r="A271" i="64" s="1"/>
  <c r="A279" i="64" s="1"/>
  <c r="A288" i="64" s="1"/>
  <c r="A298" i="64" s="1"/>
  <c r="A306" i="64" s="1"/>
  <c r="A315" i="64" s="1"/>
  <c r="A324" i="64" s="1"/>
  <c r="A334" i="64" s="1"/>
  <c r="A344" i="64" s="1"/>
  <c r="A355" i="64" s="1"/>
  <c r="A362" i="64" s="1"/>
  <c r="A371" i="64" s="1"/>
  <c r="A380" i="64" s="1"/>
  <c r="A387" i="64" s="1"/>
  <c r="A396" i="64" s="1"/>
  <c r="A406" i="64" s="1"/>
  <c r="A416" i="64" s="1"/>
  <c r="A425" i="64" s="1"/>
  <c r="A433" i="64" s="1"/>
  <c r="A443" i="64" s="1"/>
  <c r="A452" i="64" s="1"/>
  <c r="L42" i="64"/>
  <c r="D9" i="72"/>
  <c r="D10" i="72"/>
  <c r="U10" i="72" s="1"/>
  <c r="D11" i="72"/>
  <c r="U11" i="72" s="1"/>
  <c r="D12" i="72"/>
  <c r="D13" i="72"/>
  <c r="D14" i="72"/>
  <c r="D15" i="72"/>
  <c r="U15" i="72" s="1"/>
  <c r="D16" i="72"/>
  <c r="U16" i="72" s="1"/>
  <c r="D17" i="72"/>
  <c r="U17" i="72" s="1"/>
  <c r="D18" i="72"/>
  <c r="D19" i="72"/>
  <c r="D20" i="72"/>
  <c r="U20" i="72" s="1"/>
  <c r="D21" i="72"/>
  <c r="U21" i="72" s="1"/>
  <c r="D22" i="72"/>
  <c r="U22" i="72" s="1"/>
  <c r="D23" i="72"/>
  <c r="D24" i="72"/>
  <c r="U24" i="72" s="1"/>
  <c r="D25" i="72"/>
  <c r="U25" i="72" s="1"/>
  <c r="D26" i="72"/>
  <c r="U26" i="72" s="1"/>
  <c r="D27" i="72"/>
  <c r="D28" i="72"/>
  <c r="U28" i="72" s="1"/>
  <c r="D29" i="72"/>
  <c r="D30" i="72"/>
  <c r="U30" i="72" s="1"/>
  <c r="D31" i="72"/>
  <c r="U31" i="72" s="1"/>
  <c r="D32" i="72"/>
  <c r="D33" i="72"/>
  <c r="D34" i="72"/>
  <c r="U34" i="72" s="1"/>
  <c r="D35" i="72"/>
  <c r="U35" i="72" s="1"/>
  <c r="D36" i="72"/>
  <c r="U36" i="72" s="1"/>
  <c r="D37" i="72"/>
  <c r="D38" i="72"/>
  <c r="D39" i="72"/>
  <c r="U39" i="72" s="1"/>
  <c r="D40" i="72"/>
  <c r="U40" i="72" s="1"/>
  <c r="D41" i="72"/>
  <c r="U41" i="72" s="1"/>
  <c r="D42" i="72"/>
  <c r="D43" i="72"/>
  <c r="U43" i="72" s="1"/>
  <c r="D44" i="72"/>
  <c r="U44" i="72" s="1"/>
  <c r="D45" i="72"/>
  <c r="D46" i="72"/>
  <c r="U46" i="72" s="1"/>
  <c r="D47" i="72"/>
  <c r="U47" i="72" s="1"/>
  <c r="D48" i="72"/>
  <c r="U48" i="72" s="1"/>
  <c r="D49" i="72"/>
  <c r="U49" i="72" s="1"/>
  <c r="D50" i="72"/>
  <c r="U50" i="72" s="1"/>
  <c r="D51" i="72"/>
  <c r="U51" i="72" s="1"/>
  <c r="D52" i="72"/>
  <c r="U52" i="72" s="1"/>
  <c r="D53" i="72"/>
  <c r="U53" i="72" s="1"/>
  <c r="E15" i="24" l="1"/>
  <c r="E14" i="24"/>
  <c r="T69" i="16"/>
  <c r="E121" i="22"/>
  <c r="E22" i="22"/>
  <c r="E19" i="22"/>
  <c r="J19" i="22" s="1"/>
  <c r="E104" i="32"/>
  <c r="E105" i="32"/>
  <c r="P106" i="32"/>
  <c r="E16" i="18"/>
  <c r="H16" i="18" s="1"/>
  <c r="I16" i="18" s="1"/>
  <c r="E121" i="18"/>
  <c r="I121" i="18" s="1"/>
  <c r="E17" i="51"/>
  <c r="E121" i="51"/>
  <c r="I121" i="51" s="1"/>
  <c r="E22" i="71"/>
  <c r="H22" i="71" s="1"/>
  <c r="I22" i="71" s="1"/>
  <c r="E121" i="71"/>
  <c r="I121" i="71" s="1"/>
  <c r="E25" i="17"/>
  <c r="H25" i="17" s="1"/>
  <c r="I25" i="17" s="1"/>
  <c r="E121" i="17"/>
  <c r="I121" i="17" s="1"/>
  <c r="E17" i="23"/>
  <c r="E121" i="23"/>
  <c r="I121" i="23" s="1"/>
  <c r="E25" i="50"/>
  <c r="H25" i="50" s="1"/>
  <c r="I25" i="50" s="1"/>
  <c r="E121" i="50"/>
  <c r="I121" i="50" s="1"/>
  <c r="E28" i="70"/>
  <c r="H28" i="70" s="1"/>
  <c r="I28" i="70" s="1"/>
  <c r="E121" i="70"/>
  <c r="I121" i="70" s="1"/>
  <c r="E22" i="16"/>
  <c r="H22" i="16" s="1"/>
  <c r="I22" i="16" s="1"/>
  <c r="E121" i="16"/>
  <c r="E19" i="35"/>
  <c r="J19" i="35" s="1"/>
  <c r="E121" i="35"/>
  <c r="I121" i="35" s="1"/>
  <c r="E23" i="48"/>
  <c r="H23" i="48" s="1"/>
  <c r="I23" i="48" s="1"/>
  <c r="E121" i="48"/>
  <c r="I121" i="48" s="1"/>
  <c r="E24" i="69"/>
  <c r="H24" i="69" s="1"/>
  <c r="I24" i="69" s="1"/>
  <c r="E121" i="69"/>
  <c r="I121" i="69" s="1"/>
  <c r="E25" i="31"/>
  <c r="H25" i="31" s="1"/>
  <c r="I25" i="31" s="1"/>
  <c r="E121" i="31"/>
  <c r="I121" i="31" s="1"/>
  <c r="E14" i="34"/>
  <c r="H14" i="34" s="1"/>
  <c r="I14" i="34" s="1"/>
  <c r="E121" i="34"/>
  <c r="I121" i="34" s="1"/>
  <c r="E22" i="47"/>
  <c r="H22" i="47" s="1"/>
  <c r="I22" i="47" s="1"/>
  <c r="E121" i="47"/>
  <c r="I121" i="47" s="1"/>
  <c r="E25" i="28"/>
  <c r="H25" i="28" s="1"/>
  <c r="I25" i="28" s="1"/>
  <c r="E121" i="28"/>
  <c r="I121" i="28" s="1"/>
  <c r="E19" i="33"/>
  <c r="E121" i="33"/>
  <c r="I121" i="33" s="1"/>
  <c r="E25" i="45"/>
  <c r="H25" i="45" s="1"/>
  <c r="I25" i="45" s="1"/>
  <c r="E121" i="45"/>
  <c r="I121" i="45" s="1"/>
  <c r="E18" i="66"/>
  <c r="H18" i="66" s="1"/>
  <c r="I18" i="66" s="1"/>
  <c r="E121" i="66"/>
  <c r="I121" i="66" s="1"/>
  <c r="E16" i="27"/>
  <c r="H16" i="27" s="1"/>
  <c r="I16" i="27" s="1"/>
  <c r="E121" i="27"/>
  <c r="I121" i="27" s="1"/>
  <c r="E26" i="32"/>
  <c r="H26" i="32" s="1"/>
  <c r="I26" i="32" s="1"/>
  <c r="E121" i="32"/>
  <c r="I121" i="32" s="1"/>
  <c r="E19" i="44"/>
  <c r="E121" i="44"/>
  <c r="I121" i="44" s="1"/>
  <c r="E25" i="58"/>
  <c r="H25" i="58" s="1"/>
  <c r="I25" i="58" s="1"/>
  <c r="E121" i="58"/>
  <c r="I121" i="58" s="1"/>
  <c r="E18" i="26"/>
  <c r="H18" i="26" s="1"/>
  <c r="I18" i="26" s="1"/>
  <c r="E121" i="26"/>
  <c r="I121" i="26" s="1"/>
  <c r="E18" i="43"/>
  <c r="H18" i="43" s="1"/>
  <c r="I18" i="43" s="1"/>
  <c r="E121" i="43"/>
  <c r="I121" i="43" s="1"/>
  <c r="E22" i="42"/>
  <c r="H22" i="42" s="1"/>
  <c r="I22" i="42" s="1"/>
  <c r="E121" i="42"/>
  <c r="I121" i="42" s="1"/>
  <c r="E18" i="56"/>
  <c r="H18" i="56" s="1"/>
  <c r="I18" i="56" s="1"/>
  <c r="E121" i="56"/>
  <c r="I121" i="56" s="1"/>
  <c r="E25" i="24"/>
  <c r="H25" i="24" s="1"/>
  <c r="I25" i="24" s="1"/>
  <c r="E121" i="24"/>
  <c r="I121" i="24" s="1"/>
  <c r="E19" i="55"/>
  <c r="E121" i="55"/>
  <c r="I121" i="55" s="1"/>
  <c r="E19" i="30"/>
  <c r="E121" i="30"/>
  <c r="I121" i="30" s="1"/>
  <c r="E22" i="25"/>
  <c r="H22" i="25" s="1"/>
  <c r="I22" i="25" s="1"/>
  <c r="E121" i="25"/>
  <c r="I121" i="25" s="1"/>
  <c r="E26" i="39"/>
  <c r="H26" i="39" s="1"/>
  <c r="I26" i="39" s="1"/>
  <c r="E121" i="39"/>
  <c r="I121" i="39" s="1"/>
  <c r="E22" i="76"/>
  <c r="H22" i="76" s="1"/>
  <c r="I22" i="76" s="1"/>
  <c r="E121" i="76"/>
  <c r="I121" i="76" s="1"/>
  <c r="E24" i="78"/>
  <c r="H24" i="78" s="1"/>
  <c r="I24" i="78" s="1"/>
  <c r="E121" i="78"/>
  <c r="I121" i="78" s="1"/>
  <c r="E14" i="21"/>
  <c r="H14" i="21" s="1"/>
  <c r="I14" i="21" s="1"/>
  <c r="E121" i="21"/>
  <c r="I121" i="21" s="1"/>
  <c r="E25" i="38"/>
  <c r="H25" i="38" s="1"/>
  <c r="I25" i="38" s="1"/>
  <c r="E121" i="38"/>
  <c r="I121" i="38" s="1"/>
  <c r="E22" i="75"/>
  <c r="H22" i="75" s="1"/>
  <c r="I22" i="75" s="1"/>
  <c r="E121" i="75"/>
  <c r="I121" i="75" s="1"/>
  <c r="E15" i="7"/>
  <c r="E121" i="7"/>
  <c r="E29" i="20"/>
  <c r="H29" i="20" s="1"/>
  <c r="I29" i="20" s="1"/>
  <c r="E121" i="20"/>
  <c r="I121" i="20" s="1"/>
  <c r="E22" i="37"/>
  <c r="H22" i="37" s="1"/>
  <c r="I22" i="37" s="1"/>
  <c r="E121" i="37"/>
  <c r="I121" i="37" s="1"/>
  <c r="E25" i="52"/>
  <c r="H25" i="52" s="1"/>
  <c r="I25" i="52" s="1"/>
  <c r="E121" i="52"/>
  <c r="I121" i="52" s="1"/>
  <c r="E24" i="68"/>
  <c r="H24" i="68" s="1"/>
  <c r="I24" i="68" s="1"/>
  <c r="E121" i="68"/>
  <c r="I121" i="68" s="1"/>
  <c r="T121" i="76"/>
  <c r="H123" i="23"/>
  <c r="T123" i="23" s="1"/>
  <c r="I42" i="52"/>
  <c r="T121" i="27"/>
  <c r="T121" i="44"/>
  <c r="I40" i="38"/>
  <c r="I38" i="40"/>
  <c r="I41" i="76"/>
  <c r="I38" i="28"/>
  <c r="I38" i="43"/>
  <c r="I39" i="42"/>
  <c r="I38" i="68"/>
  <c r="I38" i="20"/>
  <c r="P105" i="32"/>
  <c r="I39" i="16"/>
  <c r="I38" i="18"/>
  <c r="I38" i="55"/>
  <c r="I43" i="17"/>
  <c r="I40" i="21"/>
  <c r="I40" i="35"/>
  <c r="I39" i="24"/>
  <c r="I40" i="26"/>
  <c r="I38" i="33"/>
  <c r="I40" i="50"/>
  <c r="H123" i="52"/>
  <c r="T123" i="52" s="1"/>
  <c r="I40" i="57"/>
  <c r="I39" i="66"/>
  <c r="T121" i="71"/>
  <c r="I40" i="77"/>
  <c r="I38" i="30"/>
  <c r="I40" i="45"/>
  <c r="H123" i="56"/>
  <c r="T123" i="56" s="1"/>
  <c r="I43" i="22"/>
  <c r="I39" i="23"/>
  <c r="I40" i="51"/>
  <c r="I39" i="67"/>
  <c r="I42" i="31"/>
  <c r="I39" i="39"/>
  <c r="E42" i="57"/>
  <c r="I42" i="57" s="1"/>
  <c r="E105" i="18"/>
  <c r="E27" i="47"/>
  <c r="H27" i="47" s="1"/>
  <c r="I27" i="47" s="1"/>
  <c r="E38" i="57"/>
  <c r="I38" i="57" s="1"/>
  <c r="E104" i="18"/>
  <c r="E29" i="52"/>
  <c r="H29" i="52" s="1"/>
  <c r="I29" i="52" s="1"/>
  <c r="E38" i="39"/>
  <c r="I38" i="39" s="1"/>
  <c r="E42" i="77"/>
  <c r="I42" i="77" s="1"/>
  <c r="H123" i="75"/>
  <c r="T123" i="75" s="1"/>
  <c r="T121" i="67"/>
  <c r="H123" i="68"/>
  <c r="I123" i="68" s="1"/>
  <c r="E23" i="78"/>
  <c r="H23" i="78" s="1"/>
  <c r="I23" i="78" s="1"/>
  <c r="E23" i="52"/>
  <c r="H23" i="52" s="1"/>
  <c r="I23" i="52" s="1"/>
  <c r="E106" i="18"/>
  <c r="E39" i="40"/>
  <c r="I39" i="40" s="1"/>
  <c r="E40" i="40"/>
  <c r="I40" i="40" s="1"/>
  <c r="E23" i="69"/>
  <c r="H23" i="69" s="1"/>
  <c r="I23" i="69" s="1"/>
  <c r="E39" i="68"/>
  <c r="I39" i="68" s="1"/>
  <c r="E39" i="18"/>
  <c r="I39" i="18" s="1"/>
  <c r="T121" i="32"/>
  <c r="E39" i="22"/>
  <c r="I39" i="22" s="1"/>
  <c r="E41" i="33"/>
  <c r="I41" i="33" s="1"/>
  <c r="E18" i="75"/>
  <c r="H18" i="75" s="1"/>
  <c r="I18" i="75" s="1"/>
  <c r="E40" i="33"/>
  <c r="I40" i="33" s="1"/>
  <c r="E16" i="52"/>
  <c r="H16" i="52" s="1"/>
  <c r="I16" i="52" s="1"/>
  <c r="E14" i="20"/>
  <c r="H14" i="20" s="1"/>
  <c r="I14" i="20" s="1"/>
  <c r="E21" i="71"/>
  <c r="H21" i="71" s="1"/>
  <c r="I21" i="71" s="1"/>
  <c r="E43" i="68"/>
  <c r="I43" i="68" s="1"/>
  <c r="E21" i="44"/>
  <c r="H21" i="44" s="1"/>
  <c r="I21" i="44" s="1"/>
  <c r="E38" i="22"/>
  <c r="I38" i="22" s="1"/>
  <c r="E24" i="27"/>
  <c r="H24" i="27" s="1"/>
  <c r="I24" i="27" s="1"/>
  <c r="E38" i="51"/>
  <c r="I38" i="51" s="1"/>
  <c r="E39" i="77"/>
  <c r="I39" i="77" s="1"/>
  <c r="E43" i="20"/>
  <c r="I43" i="20" s="1"/>
  <c r="E43" i="24"/>
  <c r="I43" i="24" s="1"/>
  <c r="E39" i="26"/>
  <c r="I39" i="26" s="1"/>
  <c r="T121" i="40"/>
  <c r="E28" i="58"/>
  <c r="H28" i="58" s="1"/>
  <c r="I28" i="58" s="1"/>
  <c r="H123" i="69"/>
  <c r="T123" i="69" s="1"/>
  <c r="E42" i="20"/>
  <c r="I42" i="20" s="1"/>
  <c r="E42" i="24"/>
  <c r="I42" i="24" s="1"/>
  <c r="E38" i="26"/>
  <c r="I38" i="26" s="1"/>
  <c r="E23" i="27"/>
  <c r="H23" i="27" s="1"/>
  <c r="I23" i="27" s="1"/>
  <c r="E16" i="33"/>
  <c r="H16" i="33" s="1"/>
  <c r="I16" i="33" s="1"/>
  <c r="E26" i="70"/>
  <c r="H26" i="70" s="1"/>
  <c r="I26" i="70" s="1"/>
  <c r="E21" i="78"/>
  <c r="H21" i="78" s="1"/>
  <c r="I21" i="78" s="1"/>
  <c r="E40" i="20"/>
  <c r="I40" i="20" s="1"/>
  <c r="E41" i="24"/>
  <c r="I41" i="24" s="1"/>
  <c r="E43" i="33"/>
  <c r="I43" i="33" s="1"/>
  <c r="E39" i="20"/>
  <c r="I39" i="20" s="1"/>
  <c r="E40" i="24"/>
  <c r="I40" i="24" s="1"/>
  <c r="E42" i="33"/>
  <c r="I42" i="33" s="1"/>
  <c r="E20" i="23"/>
  <c r="H20" i="23" s="1"/>
  <c r="I20" i="23" s="1"/>
  <c r="T121" i="42"/>
  <c r="E27" i="44"/>
  <c r="E42" i="68"/>
  <c r="I42" i="68" s="1"/>
  <c r="E40" i="18"/>
  <c r="I40" i="18" s="1"/>
  <c r="E38" i="24"/>
  <c r="I38" i="24" s="1"/>
  <c r="E24" i="33"/>
  <c r="H24" i="33" s="1"/>
  <c r="I24" i="33" s="1"/>
  <c r="E40" i="76"/>
  <c r="I40" i="76" s="1"/>
  <c r="E41" i="57"/>
  <c r="I41" i="57" s="1"/>
  <c r="E41" i="68"/>
  <c r="I41" i="68" s="1"/>
  <c r="E28" i="78"/>
  <c r="H28" i="78" s="1"/>
  <c r="I28" i="78" s="1"/>
  <c r="E15" i="44"/>
  <c r="J15" i="44" s="1"/>
  <c r="E39" i="76"/>
  <c r="I39" i="76" s="1"/>
  <c r="E39" i="57"/>
  <c r="I39" i="57" s="1"/>
  <c r="E40" i="68"/>
  <c r="I40" i="68" s="1"/>
  <c r="E41" i="21"/>
  <c r="I41" i="21" s="1"/>
  <c r="E39" i="28"/>
  <c r="I39" i="28" s="1"/>
  <c r="E39" i="33"/>
  <c r="I39" i="33" s="1"/>
  <c r="T121" i="43"/>
  <c r="E20" i="47"/>
  <c r="H20" i="47" s="1"/>
  <c r="I20" i="47" s="1"/>
  <c r="E38" i="76"/>
  <c r="I38" i="76" s="1"/>
  <c r="E42" i="22"/>
  <c r="I42" i="22" s="1"/>
  <c r="E43" i="43"/>
  <c r="I43" i="43" s="1"/>
  <c r="E23" i="66"/>
  <c r="H23" i="66" s="1"/>
  <c r="I23" i="66" s="1"/>
  <c r="E41" i="22"/>
  <c r="I41" i="22" s="1"/>
  <c r="E17" i="27"/>
  <c r="P105" i="7"/>
  <c r="T121" i="20"/>
  <c r="E40" i="22"/>
  <c r="I40" i="22" s="1"/>
  <c r="E24" i="35"/>
  <c r="H24" i="35" s="1"/>
  <c r="I24" i="35" s="1"/>
  <c r="E41" i="39"/>
  <c r="I41" i="39" s="1"/>
  <c r="E104" i="78"/>
  <c r="E106" i="32"/>
  <c r="E104" i="25"/>
  <c r="E106" i="23"/>
  <c r="E104" i="52"/>
  <c r="I114" i="69"/>
  <c r="E105" i="35"/>
  <c r="E106" i="43"/>
  <c r="I114" i="51"/>
  <c r="E23" i="68"/>
  <c r="H23" i="68" s="1"/>
  <c r="I23" i="68" s="1"/>
  <c r="E21" i="68"/>
  <c r="H21" i="68" s="1"/>
  <c r="I21" i="68" s="1"/>
  <c r="E24" i="71"/>
  <c r="H24" i="71" s="1"/>
  <c r="I24" i="71" s="1"/>
  <c r="E23" i="71"/>
  <c r="H23" i="71" s="1"/>
  <c r="I23" i="71" s="1"/>
  <c r="E14" i="71"/>
  <c r="H14" i="71" s="1"/>
  <c r="I14" i="71" s="1"/>
  <c r="I122" i="70"/>
  <c r="E21" i="70"/>
  <c r="H21" i="70" s="1"/>
  <c r="I21" i="70" s="1"/>
  <c r="E20" i="70"/>
  <c r="H20" i="70" s="1"/>
  <c r="I20" i="70" s="1"/>
  <c r="E22" i="69"/>
  <c r="H22" i="69" s="1"/>
  <c r="I22" i="69" s="1"/>
  <c r="E21" i="69"/>
  <c r="H21" i="69" s="1"/>
  <c r="I21" i="69" s="1"/>
  <c r="E24" i="66"/>
  <c r="H24" i="66" s="1"/>
  <c r="I24" i="66" s="1"/>
  <c r="E22" i="58"/>
  <c r="H22" i="58" s="1"/>
  <c r="I22" i="58" s="1"/>
  <c r="E21" i="58"/>
  <c r="H21" i="58" s="1"/>
  <c r="I21" i="58" s="1"/>
  <c r="E27" i="55"/>
  <c r="H27" i="55" s="1"/>
  <c r="I27" i="55" s="1"/>
  <c r="E14" i="55"/>
  <c r="H14" i="55" s="1"/>
  <c r="I14" i="55" s="1"/>
  <c r="I122" i="52"/>
  <c r="E28" i="52"/>
  <c r="H28" i="52" s="1"/>
  <c r="I28" i="52" s="1"/>
  <c r="E15" i="52"/>
  <c r="E27" i="52"/>
  <c r="H27" i="52" s="1"/>
  <c r="I27" i="52" s="1"/>
  <c r="E20" i="52"/>
  <c r="H20" i="52" s="1"/>
  <c r="I20" i="52" s="1"/>
  <c r="E26" i="52"/>
  <c r="H26" i="52" s="1"/>
  <c r="I26" i="52" s="1"/>
  <c r="E19" i="52"/>
  <c r="J19" i="52" s="1"/>
  <c r="E18" i="52"/>
  <c r="H18" i="52" s="1"/>
  <c r="I18" i="52" s="1"/>
  <c r="E24" i="52"/>
  <c r="H24" i="52" s="1"/>
  <c r="I24" i="52" s="1"/>
  <c r="E17" i="52"/>
  <c r="E22" i="48"/>
  <c r="H22" i="48" s="1"/>
  <c r="I22" i="48" s="1"/>
  <c r="E21" i="48"/>
  <c r="H21" i="48" s="1"/>
  <c r="I21" i="48" s="1"/>
  <c r="E19" i="47"/>
  <c r="E25" i="47"/>
  <c r="H25" i="47" s="1"/>
  <c r="I25" i="47" s="1"/>
  <c r="E24" i="47"/>
  <c r="H24" i="47" s="1"/>
  <c r="I24" i="47" s="1"/>
  <c r="E17" i="47"/>
  <c r="E15" i="47"/>
  <c r="E29" i="47"/>
  <c r="H29" i="47" s="1"/>
  <c r="I29" i="47" s="1"/>
  <c r="I123" i="44"/>
  <c r="E17" i="44"/>
  <c r="E22" i="44"/>
  <c r="H22" i="44" s="1"/>
  <c r="I22" i="44" s="1"/>
  <c r="E14" i="44"/>
  <c r="H14" i="44" s="1"/>
  <c r="I14" i="44" s="1"/>
  <c r="I123" i="43"/>
  <c r="E19" i="43"/>
  <c r="I122" i="42"/>
  <c r="E23" i="42"/>
  <c r="H23" i="42" s="1"/>
  <c r="I23" i="42" s="1"/>
  <c r="E14" i="42"/>
  <c r="H14" i="42" s="1"/>
  <c r="I14" i="42" s="1"/>
  <c r="E29" i="42"/>
  <c r="H29" i="42" s="1"/>
  <c r="I29" i="42" s="1"/>
  <c r="E20" i="42"/>
  <c r="H20" i="42" s="1"/>
  <c r="I20" i="42" s="1"/>
  <c r="E28" i="42"/>
  <c r="H28" i="42" s="1"/>
  <c r="I28" i="42" s="1"/>
  <c r="E27" i="42"/>
  <c r="H27" i="42" s="1"/>
  <c r="I27" i="42" s="1"/>
  <c r="E18" i="42"/>
  <c r="H18" i="42" s="1"/>
  <c r="I18" i="42" s="1"/>
  <c r="I122" i="39"/>
  <c r="E21" i="39"/>
  <c r="H21" i="39" s="1"/>
  <c r="I21" i="39" s="1"/>
  <c r="E20" i="37"/>
  <c r="H20" i="37" s="1"/>
  <c r="I20" i="37" s="1"/>
  <c r="E21" i="23"/>
  <c r="H21" i="23" s="1"/>
  <c r="I21" i="23" s="1"/>
  <c r="E15" i="35"/>
  <c r="J15" i="35" s="1"/>
  <c r="E20" i="35"/>
  <c r="H20" i="35" s="1"/>
  <c r="I20" i="35" s="1"/>
  <c r="E20" i="34"/>
  <c r="H20" i="34" s="1"/>
  <c r="I20" i="34" s="1"/>
  <c r="E27" i="34"/>
  <c r="H27" i="34" s="1"/>
  <c r="I27" i="34" s="1"/>
  <c r="E23" i="33"/>
  <c r="H23" i="33" s="1"/>
  <c r="I23" i="33" s="1"/>
  <c r="E15" i="33"/>
  <c r="E22" i="33"/>
  <c r="H22" i="33" s="1"/>
  <c r="I22" i="33" s="1"/>
  <c r="E14" i="33"/>
  <c r="H14" i="33" s="1"/>
  <c r="I14" i="33" s="1"/>
  <c r="E29" i="33"/>
  <c r="H29" i="33" s="1"/>
  <c r="I29" i="33" s="1"/>
  <c r="E28" i="33"/>
  <c r="H28" i="33" s="1"/>
  <c r="I28" i="33" s="1"/>
  <c r="E27" i="32"/>
  <c r="H27" i="32" s="1"/>
  <c r="I27" i="32" s="1"/>
  <c r="E16" i="32"/>
  <c r="H16" i="32" s="1"/>
  <c r="I16" i="32" s="1"/>
  <c r="E22" i="28"/>
  <c r="H22" i="28" s="1"/>
  <c r="I22" i="28" s="1"/>
  <c r="I122" i="27"/>
  <c r="E29" i="27"/>
  <c r="H29" i="27" s="1"/>
  <c r="I29" i="27" s="1"/>
  <c r="E22" i="27"/>
  <c r="H22" i="27" s="1"/>
  <c r="I22" i="27" s="1"/>
  <c r="E14" i="27"/>
  <c r="H14" i="27" s="1"/>
  <c r="I14" i="27" s="1"/>
  <c r="E28" i="27"/>
  <c r="H28" i="27" s="1"/>
  <c r="I28" i="27" s="1"/>
  <c r="E27" i="27"/>
  <c r="H27" i="27" s="1"/>
  <c r="I27" i="27" s="1"/>
  <c r="E19" i="27"/>
  <c r="E18" i="27"/>
  <c r="H18" i="27" s="1"/>
  <c r="I18" i="27" s="1"/>
  <c r="I122" i="26"/>
  <c r="E28" i="26"/>
  <c r="H28" i="26" s="1"/>
  <c r="I28" i="26" s="1"/>
  <c r="E26" i="26"/>
  <c r="H26" i="26" s="1"/>
  <c r="I26" i="26" s="1"/>
  <c r="E15" i="26"/>
  <c r="E20" i="26"/>
  <c r="H20" i="26" s="1"/>
  <c r="I20" i="26" s="1"/>
  <c r="E23" i="24"/>
  <c r="H23" i="24" s="1"/>
  <c r="I23" i="24" s="1"/>
  <c r="E22" i="24"/>
  <c r="H22" i="24" s="1"/>
  <c r="I22" i="24" s="1"/>
  <c r="E20" i="24"/>
  <c r="H20" i="24" s="1"/>
  <c r="I20" i="24" s="1"/>
  <c r="E26" i="21"/>
  <c r="H26" i="21" s="1"/>
  <c r="I26" i="21" s="1"/>
  <c r="E23" i="21"/>
  <c r="H23" i="21" s="1"/>
  <c r="I23" i="21" s="1"/>
  <c r="E22" i="21"/>
  <c r="H22" i="21" s="1"/>
  <c r="I22" i="21" s="1"/>
  <c r="E20" i="21"/>
  <c r="H20" i="21" s="1"/>
  <c r="I20" i="21" s="1"/>
  <c r="E20" i="20"/>
  <c r="H20" i="20" s="1"/>
  <c r="I20" i="20" s="1"/>
  <c r="E20" i="18"/>
  <c r="E29" i="18"/>
  <c r="H29" i="18" s="1"/>
  <c r="I29" i="18" s="1"/>
  <c r="E28" i="18"/>
  <c r="H28" i="18" s="1"/>
  <c r="I28" i="18" s="1"/>
  <c r="E15" i="17"/>
  <c r="J15" i="17" s="1"/>
  <c r="E22" i="17"/>
  <c r="H22" i="17" s="1"/>
  <c r="I22" i="17" s="1"/>
  <c r="E21" i="17"/>
  <c r="H21" i="17" s="1"/>
  <c r="I21" i="17" s="1"/>
  <c r="E28" i="17"/>
  <c r="H28" i="17" s="1"/>
  <c r="I28" i="17" s="1"/>
  <c r="E27" i="17"/>
  <c r="H27" i="17" s="1"/>
  <c r="I27" i="17" s="1"/>
  <c r="E17" i="17"/>
  <c r="E21" i="16"/>
  <c r="H21" i="16" s="1"/>
  <c r="I21" i="16" s="1"/>
  <c r="E26" i="16"/>
  <c r="H26" i="16" s="1"/>
  <c r="I26" i="16" s="1"/>
  <c r="I122" i="58"/>
  <c r="E40" i="31"/>
  <c r="I40" i="31" s="1"/>
  <c r="E39" i="31"/>
  <c r="I39" i="31" s="1"/>
  <c r="I122" i="69"/>
  <c r="H123" i="18"/>
  <c r="T123" i="18" s="1"/>
  <c r="I122" i="75"/>
  <c r="I122" i="31"/>
  <c r="I122" i="45"/>
  <c r="E16" i="30"/>
  <c r="H16" i="30" s="1"/>
  <c r="I16" i="30" s="1"/>
  <c r="E22" i="30"/>
  <c r="H22" i="30" s="1"/>
  <c r="I22" i="30" s="1"/>
  <c r="E21" i="30"/>
  <c r="H21" i="30" s="1"/>
  <c r="I21" i="30" s="1"/>
  <c r="E24" i="30"/>
  <c r="H24" i="30" s="1"/>
  <c r="I24" i="30" s="1"/>
  <c r="E18" i="51"/>
  <c r="H18" i="51" s="1"/>
  <c r="I18" i="51" s="1"/>
  <c r="E25" i="51"/>
  <c r="H25" i="51" s="1"/>
  <c r="I25" i="51" s="1"/>
  <c r="E16" i="51"/>
  <c r="H16" i="51" s="1"/>
  <c r="I16" i="51" s="1"/>
  <c r="E26" i="51"/>
  <c r="H26" i="51" s="1"/>
  <c r="I26" i="51" s="1"/>
  <c r="E20" i="51"/>
  <c r="H20" i="51" s="1"/>
  <c r="I20" i="51" s="1"/>
  <c r="E24" i="51"/>
  <c r="H24" i="51" s="1"/>
  <c r="I24" i="51" s="1"/>
  <c r="E19" i="51"/>
  <c r="E27" i="51"/>
  <c r="H27" i="51" s="1"/>
  <c r="I27" i="51" s="1"/>
  <c r="E24" i="57"/>
  <c r="H24" i="57" s="1"/>
  <c r="I24" i="57" s="1"/>
  <c r="E25" i="57"/>
  <c r="H25" i="57" s="1"/>
  <c r="I25" i="57" s="1"/>
  <c r="E19" i="57"/>
  <c r="T8" i="28"/>
  <c r="P106" i="28" s="1"/>
  <c r="E104" i="28"/>
  <c r="T8" i="27"/>
  <c r="P105" i="27" s="1"/>
  <c r="E104" i="27"/>
  <c r="T121" i="33"/>
  <c r="H123" i="33"/>
  <c r="T123" i="33" s="1"/>
  <c r="T8" i="40"/>
  <c r="P106" i="40" s="1"/>
  <c r="E104" i="40"/>
  <c r="E106" i="40"/>
  <c r="E38" i="27"/>
  <c r="I38" i="27" s="1"/>
  <c r="E40" i="27"/>
  <c r="I40" i="27" s="1"/>
  <c r="E39" i="27"/>
  <c r="I39" i="27" s="1"/>
  <c r="E43" i="27"/>
  <c r="I43" i="27" s="1"/>
  <c r="E42" i="27"/>
  <c r="I42" i="27" s="1"/>
  <c r="T121" i="34"/>
  <c r="H123" i="34"/>
  <c r="T123" i="34" s="1"/>
  <c r="E17" i="43"/>
  <c r="E23" i="43"/>
  <c r="H23" i="43" s="1"/>
  <c r="I23" i="43" s="1"/>
  <c r="E14" i="43"/>
  <c r="H14" i="43" s="1"/>
  <c r="I14" i="43" s="1"/>
  <c r="E24" i="43"/>
  <c r="H24" i="43" s="1"/>
  <c r="I24" i="43" s="1"/>
  <c r="E15" i="43"/>
  <c r="J15" i="43" s="1"/>
  <c r="E29" i="43"/>
  <c r="H29" i="43" s="1"/>
  <c r="I29" i="43" s="1"/>
  <c r="E20" i="43"/>
  <c r="H20" i="43" s="1"/>
  <c r="I20" i="43" s="1"/>
  <c r="E40" i="69"/>
  <c r="I40" i="69" s="1"/>
  <c r="E41" i="69"/>
  <c r="I41" i="69" s="1"/>
  <c r="E38" i="69"/>
  <c r="I38" i="69" s="1"/>
  <c r="E39" i="69"/>
  <c r="I39" i="69" s="1"/>
  <c r="I122" i="32"/>
  <c r="I123" i="32"/>
  <c r="E14" i="56"/>
  <c r="H14" i="56" s="1"/>
  <c r="I14" i="56" s="1"/>
  <c r="E23" i="56"/>
  <c r="H23" i="56" s="1"/>
  <c r="I23" i="56" s="1"/>
  <c r="E22" i="56"/>
  <c r="H22" i="56" s="1"/>
  <c r="I22" i="56" s="1"/>
  <c r="E21" i="56"/>
  <c r="H21" i="56" s="1"/>
  <c r="I21" i="56" s="1"/>
  <c r="E24" i="56"/>
  <c r="H24" i="56" s="1"/>
  <c r="I24" i="56" s="1"/>
  <c r="E19" i="56"/>
  <c r="E15" i="56"/>
  <c r="J15" i="56" s="1"/>
  <c r="E27" i="56"/>
  <c r="H27" i="56" s="1"/>
  <c r="I27" i="56" s="1"/>
  <c r="E17" i="56"/>
  <c r="E42" i="69"/>
  <c r="I42" i="69" s="1"/>
  <c r="E105" i="36"/>
  <c r="E104" i="36"/>
  <c r="E106" i="36"/>
  <c r="E38" i="34"/>
  <c r="I38" i="34" s="1"/>
  <c r="E41" i="34"/>
  <c r="I41" i="34" s="1"/>
  <c r="E18" i="23"/>
  <c r="H18" i="23" s="1"/>
  <c r="I18" i="23" s="1"/>
  <c r="E41" i="50"/>
  <c r="I41" i="50" s="1"/>
  <c r="E21" i="76"/>
  <c r="H21" i="76" s="1"/>
  <c r="I21" i="76" s="1"/>
  <c r="E27" i="76"/>
  <c r="H27" i="76" s="1"/>
  <c r="I27" i="76" s="1"/>
  <c r="E19" i="76"/>
  <c r="E29" i="76"/>
  <c r="H29" i="76" s="1"/>
  <c r="I29" i="76" s="1"/>
  <c r="E18" i="76"/>
  <c r="H18" i="76" s="1"/>
  <c r="I18" i="76" s="1"/>
  <c r="E28" i="76"/>
  <c r="H28" i="76" s="1"/>
  <c r="I28" i="76" s="1"/>
  <c r="E23" i="76"/>
  <c r="H23" i="76" s="1"/>
  <c r="I23" i="76" s="1"/>
  <c r="E15" i="76"/>
  <c r="J15" i="76" s="1"/>
  <c r="E14" i="76"/>
  <c r="H14" i="76" s="1"/>
  <c r="I14" i="76" s="1"/>
  <c r="E24" i="76"/>
  <c r="H24" i="76" s="1"/>
  <c r="I24" i="76" s="1"/>
  <c r="E38" i="25"/>
  <c r="I38" i="25" s="1"/>
  <c r="E39" i="25"/>
  <c r="I39" i="25" s="1"/>
  <c r="E40" i="25"/>
  <c r="I40" i="25" s="1"/>
  <c r="E41" i="25"/>
  <c r="I41" i="25" s="1"/>
  <c r="E43" i="25"/>
  <c r="I43" i="25" s="1"/>
  <c r="E16" i="76"/>
  <c r="H16" i="76" s="1"/>
  <c r="I16" i="76" s="1"/>
  <c r="I122" i="67"/>
  <c r="E27" i="40"/>
  <c r="H27" i="40" s="1"/>
  <c r="I27" i="40" s="1"/>
  <c r="E23" i="40"/>
  <c r="H23" i="40" s="1"/>
  <c r="I23" i="40" s="1"/>
  <c r="E25" i="40"/>
  <c r="H25" i="40" s="1"/>
  <c r="I25" i="40" s="1"/>
  <c r="T121" i="48"/>
  <c r="H123" i="48"/>
  <c r="T123" i="48" s="1"/>
  <c r="T121" i="21"/>
  <c r="H123" i="21"/>
  <c r="T123" i="21" s="1"/>
  <c r="E23" i="36"/>
  <c r="H23" i="36" s="1"/>
  <c r="I23" i="36" s="1"/>
  <c r="E22" i="36"/>
  <c r="H22" i="36" s="1"/>
  <c r="I22" i="36" s="1"/>
  <c r="E24" i="36"/>
  <c r="H24" i="36" s="1"/>
  <c r="I24" i="36" s="1"/>
  <c r="I122" i="71"/>
  <c r="I123" i="71"/>
  <c r="E24" i="16"/>
  <c r="H24" i="16" s="1"/>
  <c r="I24" i="16" s="1"/>
  <c r="E17" i="16"/>
  <c r="E27" i="16"/>
  <c r="H27" i="16" s="1"/>
  <c r="I27" i="16" s="1"/>
  <c r="E20" i="16"/>
  <c r="H20" i="16" s="1"/>
  <c r="I20" i="16" s="1"/>
  <c r="E29" i="16"/>
  <c r="H29" i="16" s="1"/>
  <c r="I29" i="16" s="1"/>
  <c r="E19" i="16"/>
  <c r="E28" i="16"/>
  <c r="H28" i="16" s="1"/>
  <c r="I28" i="16" s="1"/>
  <c r="I122" i="20"/>
  <c r="E16" i="20"/>
  <c r="H16" i="20" s="1"/>
  <c r="I16" i="20" s="1"/>
  <c r="E23" i="20"/>
  <c r="H23" i="20" s="1"/>
  <c r="I23" i="20" s="1"/>
  <c r="E22" i="20"/>
  <c r="H22" i="20" s="1"/>
  <c r="I22" i="20" s="1"/>
  <c r="E18" i="20"/>
  <c r="H18" i="20" s="1"/>
  <c r="I18" i="20" s="1"/>
  <c r="E39" i="21"/>
  <c r="I39" i="21" s="1"/>
  <c r="E38" i="21"/>
  <c r="I38" i="21" s="1"/>
  <c r="E15" i="40"/>
  <c r="H27" i="44"/>
  <c r="I27" i="44" s="1"/>
  <c r="I122" i="50"/>
  <c r="E26" i="76"/>
  <c r="H26" i="76" s="1"/>
  <c r="I26" i="76" s="1"/>
  <c r="E41" i="58"/>
  <c r="I41" i="58" s="1"/>
  <c r="E40" i="58"/>
  <c r="I40" i="58" s="1"/>
  <c r="E14" i="69"/>
  <c r="H14" i="69" s="1"/>
  <c r="I14" i="69" s="1"/>
  <c r="E42" i="25"/>
  <c r="I42" i="25" s="1"/>
  <c r="E15" i="50"/>
  <c r="J15" i="50" s="1"/>
  <c r="E39" i="32"/>
  <c r="I39" i="32" s="1"/>
  <c r="E38" i="32"/>
  <c r="I38" i="32" s="1"/>
  <c r="E43" i="32"/>
  <c r="I43" i="32" s="1"/>
  <c r="E40" i="32"/>
  <c r="I40" i="32" s="1"/>
  <c r="E41" i="32"/>
  <c r="I41" i="32" s="1"/>
  <c r="E17" i="35"/>
  <c r="E14" i="35"/>
  <c r="H14" i="35" s="1"/>
  <c r="I14" i="35" s="1"/>
  <c r="E23" i="35"/>
  <c r="H23" i="35" s="1"/>
  <c r="I23" i="35" s="1"/>
  <c r="E18" i="35"/>
  <c r="H18" i="35" s="1"/>
  <c r="I18" i="35" s="1"/>
  <c r="E28" i="35"/>
  <c r="H28" i="35" s="1"/>
  <c r="I28" i="35" s="1"/>
  <c r="E29" i="35"/>
  <c r="H29" i="35" s="1"/>
  <c r="I29" i="35" s="1"/>
  <c r="E15" i="36"/>
  <c r="J15" i="36" s="1"/>
  <c r="E29" i="40"/>
  <c r="H29" i="40" s="1"/>
  <c r="I29" i="40" s="1"/>
  <c r="I123" i="67"/>
  <c r="I122" i="77"/>
  <c r="I121" i="77"/>
  <c r="E15" i="77"/>
  <c r="J15" i="77" s="1"/>
  <c r="E25" i="77"/>
  <c r="H25" i="77" s="1"/>
  <c r="I25" i="77" s="1"/>
  <c r="I122" i="38"/>
  <c r="T122" i="38"/>
  <c r="E15" i="23"/>
  <c r="J15" i="23" s="1"/>
  <c r="E22" i="23"/>
  <c r="H22" i="23" s="1"/>
  <c r="I22" i="23" s="1"/>
  <c r="E23" i="23"/>
  <c r="H23" i="23" s="1"/>
  <c r="I23" i="23" s="1"/>
  <c r="E26" i="23"/>
  <c r="H26" i="23" s="1"/>
  <c r="I26" i="23" s="1"/>
  <c r="E16" i="23"/>
  <c r="H16" i="23" s="1"/>
  <c r="I16" i="23" s="1"/>
  <c r="T121" i="26"/>
  <c r="H123" i="26"/>
  <c r="E42" i="50"/>
  <c r="I42" i="50" s="1"/>
  <c r="E25" i="69"/>
  <c r="H25" i="69" s="1"/>
  <c r="I25" i="69" s="1"/>
  <c r="E29" i="69"/>
  <c r="H29" i="69" s="1"/>
  <c r="I29" i="69" s="1"/>
  <c r="E19" i="69"/>
  <c r="E28" i="69"/>
  <c r="H28" i="69" s="1"/>
  <c r="I28" i="69" s="1"/>
  <c r="E20" i="69"/>
  <c r="H20" i="69" s="1"/>
  <c r="I20" i="69" s="1"/>
  <c r="E16" i="69"/>
  <c r="H16" i="69" s="1"/>
  <c r="I16" i="69" s="1"/>
  <c r="E26" i="69"/>
  <c r="H26" i="69" s="1"/>
  <c r="I26" i="69" s="1"/>
  <c r="E18" i="69"/>
  <c r="H18" i="69" s="1"/>
  <c r="I18" i="69" s="1"/>
  <c r="E25" i="68"/>
  <c r="H25" i="68" s="1"/>
  <c r="I25" i="68" s="1"/>
  <c r="E17" i="68"/>
  <c r="J17" i="68" s="1"/>
  <c r="E18" i="68"/>
  <c r="H18" i="68" s="1"/>
  <c r="I18" i="68" s="1"/>
  <c r="E19" i="68"/>
  <c r="I122" i="30"/>
  <c r="T8" i="30"/>
  <c r="P104" i="30" s="1"/>
  <c r="E105" i="30"/>
  <c r="T121" i="16"/>
  <c r="H123" i="16"/>
  <c r="I122" i="24"/>
  <c r="E28" i="39"/>
  <c r="H28" i="39" s="1"/>
  <c r="I28" i="39" s="1"/>
  <c r="E24" i="39"/>
  <c r="H24" i="39" s="1"/>
  <c r="I24" i="39" s="1"/>
  <c r="E14" i="39"/>
  <c r="H14" i="39" s="1"/>
  <c r="I14" i="39" s="1"/>
  <c r="E16" i="39"/>
  <c r="H16" i="39" s="1"/>
  <c r="I16" i="39" s="1"/>
  <c r="E27" i="39"/>
  <c r="H27" i="39" s="1"/>
  <c r="I27" i="39" s="1"/>
  <c r="E29" i="39"/>
  <c r="H29" i="39" s="1"/>
  <c r="I29" i="39" s="1"/>
  <c r="E17" i="39"/>
  <c r="E19" i="39"/>
  <c r="E39" i="50"/>
  <c r="I39" i="50" s="1"/>
  <c r="H123" i="51"/>
  <c r="T123" i="51" s="1"/>
  <c r="E17" i="76"/>
  <c r="J17" i="76" s="1"/>
  <c r="H123" i="70"/>
  <c r="T123" i="70" s="1"/>
  <c r="T121" i="70"/>
  <c r="E28" i="23"/>
  <c r="H28" i="23" s="1"/>
  <c r="I28" i="23" s="1"/>
  <c r="E38" i="50"/>
  <c r="I38" i="50" s="1"/>
  <c r="E16" i="67"/>
  <c r="H16" i="67" s="1"/>
  <c r="I16" i="67" s="1"/>
  <c r="E26" i="67"/>
  <c r="H26" i="67" s="1"/>
  <c r="I26" i="67" s="1"/>
  <c r="E15" i="67"/>
  <c r="J15" i="67" s="1"/>
  <c r="E27" i="23"/>
  <c r="H27" i="23" s="1"/>
  <c r="I27" i="23" s="1"/>
  <c r="E15" i="69"/>
  <c r="E18" i="18"/>
  <c r="H18" i="18" s="1"/>
  <c r="I18" i="18" s="1"/>
  <c r="E22" i="18"/>
  <c r="H22" i="18" s="1"/>
  <c r="I22" i="18" s="1"/>
  <c r="E14" i="18"/>
  <c r="H14" i="18" s="1"/>
  <c r="I14" i="18" s="1"/>
  <c r="E26" i="18"/>
  <c r="H26" i="18" s="1"/>
  <c r="I26" i="18" s="1"/>
  <c r="E43" i="21"/>
  <c r="I43" i="21" s="1"/>
  <c r="I122" i="35"/>
  <c r="E29" i="36"/>
  <c r="H29" i="36" s="1"/>
  <c r="I29" i="36" s="1"/>
  <c r="E14" i="40"/>
  <c r="H14" i="40" s="1"/>
  <c r="I14" i="40" s="1"/>
  <c r="H123" i="47"/>
  <c r="I123" i="47" s="1"/>
  <c r="T121" i="47"/>
  <c r="E14" i="48"/>
  <c r="H14" i="48" s="1"/>
  <c r="I14" i="48" s="1"/>
  <c r="E17" i="48"/>
  <c r="E27" i="48"/>
  <c r="H27" i="48" s="1"/>
  <c r="I27" i="48" s="1"/>
  <c r="E18" i="48"/>
  <c r="H18" i="48" s="1"/>
  <c r="I18" i="48" s="1"/>
  <c r="E28" i="48"/>
  <c r="H28" i="48" s="1"/>
  <c r="I28" i="48" s="1"/>
  <c r="E19" i="75"/>
  <c r="E28" i="75"/>
  <c r="H28" i="75" s="1"/>
  <c r="I28" i="75" s="1"/>
  <c r="E27" i="75"/>
  <c r="H27" i="75" s="1"/>
  <c r="I27" i="75" s="1"/>
  <c r="E24" i="75"/>
  <c r="H24" i="75" s="1"/>
  <c r="I24" i="75" s="1"/>
  <c r="E26" i="75"/>
  <c r="H26" i="75" s="1"/>
  <c r="I26" i="75" s="1"/>
  <c r="E43" i="58"/>
  <c r="I43" i="58" s="1"/>
  <c r="E15" i="32"/>
  <c r="J15" i="32" s="1"/>
  <c r="E23" i="32"/>
  <c r="H23" i="32" s="1"/>
  <c r="I23" i="32" s="1"/>
  <c r="E24" i="32"/>
  <c r="H24" i="32" s="1"/>
  <c r="I24" i="32" s="1"/>
  <c r="E15" i="71"/>
  <c r="J15" i="71" s="1"/>
  <c r="E17" i="71"/>
  <c r="J17" i="71" s="1"/>
  <c r="E18" i="71"/>
  <c r="H18" i="71" s="1"/>
  <c r="I18" i="71" s="1"/>
  <c r="E27" i="71"/>
  <c r="H27" i="71" s="1"/>
  <c r="I27" i="71" s="1"/>
  <c r="E28" i="71"/>
  <c r="H28" i="71" s="1"/>
  <c r="I28" i="71" s="1"/>
  <c r="E41" i="36"/>
  <c r="I41" i="36" s="1"/>
  <c r="E42" i="36"/>
  <c r="I42" i="36" s="1"/>
  <c r="E43" i="36"/>
  <c r="I43" i="36" s="1"/>
  <c r="E43" i="28"/>
  <c r="I43" i="28" s="1"/>
  <c r="E19" i="32"/>
  <c r="J19" i="32" s="1"/>
  <c r="E42" i="38"/>
  <c r="I42" i="38" s="1"/>
  <c r="I122" i="66"/>
  <c r="E19" i="71"/>
  <c r="E18" i="78"/>
  <c r="H18" i="78" s="1"/>
  <c r="I18" i="78" s="1"/>
  <c r="E27" i="78"/>
  <c r="H27" i="78" s="1"/>
  <c r="I27" i="78" s="1"/>
  <c r="E15" i="78"/>
  <c r="J15" i="78" s="1"/>
  <c r="E41" i="18"/>
  <c r="I41" i="18" s="1"/>
  <c r="E42" i="18"/>
  <c r="I42" i="18" s="1"/>
  <c r="E43" i="18"/>
  <c r="I43" i="18" s="1"/>
  <c r="E42" i="28"/>
  <c r="I42" i="28" s="1"/>
  <c r="E29" i="32"/>
  <c r="H29" i="32" s="1"/>
  <c r="I29" i="32" s="1"/>
  <c r="I122" i="33"/>
  <c r="E40" i="36"/>
  <c r="I40" i="36" s="1"/>
  <c r="T114" i="37"/>
  <c r="U114" i="37" s="1"/>
  <c r="E41" i="38"/>
  <c r="I41" i="38" s="1"/>
  <c r="E41" i="42"/>
  <c r="I41" i="42" s="1"/>
  <c r="E105" i="43"/>
  <c r="I122" i="47"/>
  <c r="E42" i="51"/>
  <c r="I42" i="51" s="1"/>
  <c r="E43" i="76"/>
  <c r="I43" i="76" s="1"/>
  <c r="E40" i="66"/>
  <c r="I40" i="66" s="1"/>
  <c r="E16" i="70"/>
  <c r="H16" i="70" s="1"/>
  <c r="I16" i="70" s="1"/>
  <c r="E24" i="70"/>
  <c r="H24" i="70" s="1"/>
  <c r="I24" i="70" s="1"/>
  <c r="E15" i="70"/>
  <c r="J15" i="70" s="1"/>
  <c r="E25" i="70"/>
  <c r="H25" i="70" s="1"/>
  <c r="I25" i="70" s="1"/>
  <c r="E29" i="71"/>
  <c r="H29" i="71" s="1"/>
  <c r="I29" i="71" s="1"/>
  <c r="E19" i="78"/>
  <c r="J19" i="78" s="1"/>
  <c r="E19" i="34"/>
  <c r="E17" i="34"/>
  <c r="E29" i="34"/>
  <c r="H29" i="34" s="1"/>
  <c r="I29" i="34" s="1"/>
  <c r="T121" i="37"/>
  <c r="H123" i="37"/>
  <c r="T123" i="37" s="1"/>
  <c r="I123" i="42"/>
  <c r="E38" i="47"/>
  <c r="I38" i="47" s="1"/>
  <c r="E40" i="47"/>
  <c r="I40" i="47" s="1"/>
  <c r="E39" i="47"/>
  <c r="I39" i="47" s="1"/>
  <c r="E43" i="66"/>
  <c r="I43" i="66" s="1"/>
  <c r="I122" i="18"/>
  <c r="E29" i="24"/>
  <c r="H29" i="24" s="1"/>
  <c r="I29" i="24" s="1"/>
  <c r="E41" i="28"/>
  <c r="I41" i="28" s="1"/>
  <c r="E18" i="32"/>
  <c r="H18" i="32" s="1"/>
  <c r="I18" i="32" s="1"/>
  <c r="E21" i="33"/>
  <c r="H21" i="33" s="1"/>
  <c r="I21" i="33" s="1"/>
  <c r="E26" i="33"/>
  <c r="H26" i="33" s="1"/>
  <c r="I26" i="33" s="1"/>
  <c r="E17" i="33"/>
  <c r="E18" i="33"/>
  <c r="H18" i="33" s="1"/>
  <c r="I18" i="33" s="1"/>
  <c r="E27" i="33"/>
  <c r="H27" i="33" s="1"/>
  <c r="I27" i="33" s="1"/>
  <c r="H123" i="35"/>
  <c r="I123" i="35" s="1"/>
  <c r="T121" i="35"/>
  <c r="E39" i="36"/>
  <c r="I39" i="36" s="1"/>
  <c r="E39" i="38"/>
  <c r="I39" i="38" s="1"/>
  <c r="E38" i="42"/>
  <c r="I38" i="42" s="1"/>
  <c r="E39" i="43"/>
  <c r="I39" i="43" s="1"/>
  <c r="E42" i="43"/>
  <c r="I42" i="43" s="1"/>
  <c r="E40" i="43"/>
  <c r="I40" i="43" s="1"/>
  <c r="E41" i="43"/>
  <c r="I41" i="43" s="1"/>
  <c r="E43" i="47"/>
  <c r="I43" i="47" s="1"/>
  <c r="E41" i="51"/>
  <c r="I41" i="51" s="1"/>
  <c r="E40" i="52"/>
  <c r="I40" i="52" s="1"/>
  <c r="E39" i="52"/>
  <c r="I39" i="52" s="1"/>
  <c r="E42" i="76"/>
  <c r="I42" i="76" s="1"/>
  <c r="I122" i="34"/>
  <c r="E39" i="17"/>
  <c r="I39" i="17" s="1"/>
  <c r="E42" i="17"/>
  <c r="I42" i="17" s="1"/>
  <c r="E16" i="26"/>
  <c r="H16" i="26" s="1"/>
  <c r="I16" i="26" s="1"/>
  <c r="E40" i="28"/>
  <c r="I40" i="28" s="1"/>
  <c r="E28" i="32"/>
  <c r="H28" i="32" s="1"/>
  <c r="I28" i="32" s="1"/>
  <c r="E38" i="36"/>
  <c r="I38" i="36" s="1"/>
  <c r="E38" i="38"/>
  <c r="I38" i="38" s="1"/>
  <c r="E19" i="42"/>
  <c r="E17" i="42"/>
  <c r="E16" i="42"/>
  <c r="H16" i="42" s="1"/>
  <c r="I16" i="42" s="1"/>
  <c r="E26" i="42"/>
  <c r="H26" i="42" s="1"/>
  <c r="I26" i="42" s="1"/>
  <c r="E21" i="42"/>
  <c r="H21" i="42" s="1"/>
  <c r="I21" i="42" s="1"/>
  <c r="I122" i="43"/>
  <c r="E42" i="47"/>
  <c r="I42" i="47" s="1"/>
  <c r="E39" i="51"/>
  <c r="I39" i="51" s="1"/>
  <c r="E19" i="70"/>
  <c r="J19" i="70" s="1"/>
  <c r="I122" i="78"/>
  <c r="E104" i="23"/>
  <c r="E14" i="52"/>
  <c r="E17" i="55"/>
  <c r="E20" i="44"/>
  <c r="H20" i="44" s="1"/>
  <c r="I20" i="44" s="1"/>
  <c r="E41" i="16"/>
  <c r="I41" i="16" s="1"/>
  <c r="E42" i="26"/>
  <c r="I42" i="26" s="1"/>
  <c r="E42" i="35"/>
  <c r="I42" i="35" s="1"/>
  <c r="E41" i="23"/>
  <c r="I41" i="23" s="1"/>
  <c r="E43" i="40"/>
  <c r="I43" i="40" s="1"/>
  <c r="E42" i="45"/>
  <c r="I42" i="45" s="1"/>
  <c r="E38" i="16"/>
  <c r="I38" i="16" s="1"/>
  <c r="E18" i="21"/>
  <c r="H18" i="21" s="1"/>
  <c r="I18" i="21" s="1"/>
  <c r="E41" i="26"/>
  <c r="I41" i="26" s="1"/>
  <c r="E39" i="35"/>
  <c r="I39" i="35" s="1"/>
  <c r="E38" i="23"/>
  <c r="I38" i="23" s="1"/>
  <c r="E42" i="40"/>
  <c r="I42" i="40" s="1"/>
  <c r="E29" i="44"/>
  <c r="H29" i="44" s="1"/>
  <c r="I29" i="44" s="1"/>
  <c r="E39" i="45"/>
  <c r="I39" i="45" s="1"/>
  <c r="E21" i="52"/>
  <c r="H21" i="52" s="1"/>
  <c r="I21" i="52" s="1"/>
  <c r="E29" i="55"/>
  <c r="H29" i="55" s="1"/>
  <c r="I29" i="55" s="1"/>
  <c r="E39" i="7"/>
  <c r="I39" i="7" s="1"/>
  <c r="E106" i="24"/>
  <c r="E106" i="26"/>
  <c r="E106" i="31"/>
  <c r="E105" i="20"/>
  <c r="E104" i="35"/>
  <c r="E105" i="26"/>
  <c r="E105" i="31"/>
  <c r="E104" i="24"/>
  <c r="T8" i="24"/>
  <c r="E104" i="31"/>
  <c r="E106" i="28"/>
  <c r="E105" i="28"/>
  <c r="E106" i="35"/>
  <c r="E106" i="68"/>
  <c r="E106" i="30"/>
  <c r="E106" i="66"/>
  <c r="T8" i="23"/>
  <c r="P106" i="23" s="1"/>
  <c r="E104" i="66"/>
  <c r="T8" i="66"/>
  <c r="P106" i="66" s="1"/>
  <c r="E26" i="7"/>
  <c r="E106" i="17"/>
  <c r="E106" i="21"/>
  <c r="E106" i="52"/>
  <c r="E106" i="77"/>
  <c r="E23" i="7"/>
  <c r="E20" i="7"/>
  <c r="E106" i="45"/>
  <c r="E105" i="52"/>
  <c r="E104" i="17"/>
  <c r="T8" i="50"/>
  <c r="E106" i="22"/>
  <c r="E106" i="27"/>
  <c r="E104" i="43"/>
  <c r="E105" i="45"/>
  <c r="E104" i="26"/>
  <c r="E106" i="50"/>
  <c r="E105" i="58"/>
  <c r="E104" i="30"/>
  <c r="E105" i="27"/>
  <c r="E104" i="45"/>
  <c r="E29" i="7"/>
  <c r="E105" i="40"/>
  <c r="P105" i="20"/>
  <c r="P104" i="20"/>
  <c r="P104" i="43"/>
  <c r="P106" i="43"/>
  <c r="E43" i="7"/>
  <c r="I43" i="7" s="1"/>
  <c r="E28" i="7"/>
  <c r="E22" i="7"/>
  <c r="T114" i="45"/>
  <c r="U114" i="45" s="1"/>
  <c r="E42" i="7"/>
  <c r="I42" i="7" s="1"/>
  <c r="E105" i="21"/>
  <c r="E41" i="7"/>
  <c r="I41" i="7" s="1"/>
  <c r="E104" i="20"/>
  <c r="T113" i="33"/>
  <c r="E105" i="50"/>
  <c r="E40" i="7"/>
  <c r="I40" i="7" s="1"/>
  <c r="E27" i="7"/>
  <c r="E21" i="7"/>
  <c r="T8" i="21"/>
  <c r="P106" i="21" s="1"/>
  <c r="T114" i="31"/>
  <c r="U114" i="31" s="1"/>
  <c r="E19" i="7"/>
  <c r="T8" i="17"/>
  <c r="P104" i="17" s="1"/>
  <c r="I114" i="35"/>
  <c r="H18" i="7"/>
  <c r="E25" i="7"/>
  <c r="E14" i="7"/>
  <c r="E106" i="25"/>
  <c r="D45" i="60"/>
  <c r="E24" i="7"/>
  <c r="T113" i="16"/>
  <c r="E106" i="20"/>
  <c r="E105" i="25"/>
  <c r="I114" i="71"/>
  <c r="P104" i="70"/>
  <c r="P105" i="70"/>
  <c r="P106" i="70"/>
  <c r="P104" i="26"/>
  <c r="P105" i="26"/>
  <c r="P106" i="26"/>
  <c r="T114" i="18"/>
  <c r="U114" i="18" s="1"/>
  <c r="E106" i="38"/>
  <c r="E104" i="58"/>
  <c r="P105" i="43"/>
  <c r="P106" i="51"/>
  <c r="E106" i="70"/>
  <c r="I114" i="17"/>
  <c r="E105" i="38"/>
  <c r="T8" i="38"/>
  <c r="P105" i="51"/>
  <c r="E105" i="70"/>
  <c r="D30" i="60"/>
  <c r="E31" i="60" s="1"/>
  <c r="E105" i="51"/>
  <c r="I114" i="34"/>
  <c r="T8" i="68"/>
  <c r="P105" i="68" s="1"/>
  <c r="T114" i="26"/>
  <c r="U114" i="26" s="1"/>
  <c r="E104" i="51"/>
  <c r="E104" i="70"/>
  <c r="E106" i="58"/>
  <c r="I113" i="47"/>
  <c r="I113" i="55"/>
  <c r="P105" i="31"/>
  <c r="P106" i="31"/>
  <c r="P104" i="31"/>
  <c r="P106" i="35"/>
  <c r="P104" i="35"/>
  <c r="P105" i="35"/>
  <c r="E105" i="37"/>
  <c r="T8" i="37"/>
  <c r="P106" i="37" s="1"/>
  <c r="E106" i="37"/>
  <c r="T8" i="69"/>
  <c r="E106" i="69"/>
  <c r="E104" i="69"/>
  <c r="E105" i="69"/>
  <c r="T8" i="75"/>
  <c r="E104" i="75"/>
  <c r="E105" i="75"/>
  <c r="E106" i="75"/>
  <c r="E106" i="71"/>
  <c r="E104" i="71"/>
  <c r="E105" i="71"/>
  <c r="T8" i="76"/>
  <c r="P106" i="76" s="1"/>
  <c r="E104" i="76"/>
  <c r="E105" i="76"/>
  <c r="E106" i="76"/>
  <c r="P106" i="58"/>
  <c r="P104" i="58"/>
  <c r="P105" i="58"/>
  <c r="P105" i="18"/>
  <c r="I114" i="58"/>
  <c r="T8" i="33"/>
  <c r="P106" i="33" s="1"/>
  <c r="E105" i="68"/>
  <c r="I113" i="25"/>
  <c r="P106" i="25"/>
  <c r="T8" i="36"/>
  <c r="I114" i="67"/>
  <c r="P104" i="18"/>
  <c r="E105" i="77"/>
  <c r="I113" i="31"/>
  <c r="T113" i="40"/>
  <c r="T114" i="52"/>
  <c r="U114" i="52" s="1"/>
  <c r="I113" i="17"/>
  <c r="T8" i="22"/>
  <c r="P104" i="22" s="1"/>
  <c r="E104" i="77"/>
  <c r="E106" i="78"/>
  <c r="I113" i="18"/>
  <c r="P105" i="25"/>
  <c r="I113" i="48"/>
  <c r="E105" i="22"/>
  <c r="H20" i="18"/>
  <c r="I20" i="18" s="1"/>
  <c r="E105" i="78"/>
  <c r="I114" i="66"/>
  <c r="T114" i="24"/>
  <c r="U114" i="24" s="1"/>
  <c r="T114" i="27"/>
  <c r="U114" i="27" s="1"/>
  <c r="I114" i="55"/>
  <c r="I114" i="30"/>
  <c r="T114" i="32"/>
  <c r="U114" i="32" s="1"/>
  <c r="T114" i="38"/>
  <c r="U114" i="38" s="1"/>
  <c r="T114" i="48"/>
  <c r="U114" i="48" s="1"/>
  <c r="I114" i="56"/>
  <c r="T114" i="77"/>
  <c r="U114" i="77" s="1"/>
  <c r="T114" i="40"/>
  <c r="U114" i="40" s="1"/>
  <c r="T114" i="78"/>
  <c r="U114" i="78" s="1"/>
  <c r="T114" i="22"/>
  <c r="U114" i="22" s="1"/>
  <c r="T114" i="42"/>
  <c r="U114" i="42" s="1"/>
  <c r="I114" i="75"/>
  <c r="T113" i="27"/>
  <c r="T113" i="30"/>
  <c r="I113" i="50"/>
  <c r="I113" i="57"/>
  <c r="I113" i="67"/>
  <c r="T113" i="32"/>
  <c r="T113" i="42"/>
  <c r="T113" i="51"/>
  <c r="T113" i="52"/>
  <c r="T113" i="69"/>
  <c r="T113" i="71"/>
  <c r="T113" i="56"/>
  <c r="I113" i="77"/>
  <c r="I113" i="23"/>
  <c r="T113" i="39"/>
  <c r="T113" i="75"/>
  <c r="T113" i="76"/>
  <c r="I113" i="66"/>
  <c r="I113" i="78"/>
  <c r="U12" i="72"/>
  <c r="T8" i="16"/>
  <c r="E104" i="16"/>
  <c r="E106" i="16"/>
  <c r="E17" i="22"/>
  <c r="J17" i="22" s="1"/>
  <c r="E27" i="22"/>
  <c r="H27" i="22" s="1"/>
  <c r="I27" i="22" s="1"/>
  <c r="E14" i="22"/>
  <c r="E29" i="22"/>
  <c r="H29" i="22" s="1"/>
  <c r="I29" i="22" s="1"/>
  <c r="E24" i="22"/>
  <c r="H24" i="22" s="1"/>
  <c r="I24" i="22" s="1"/>
  <c r="E21" i="22"/>
  <c r="H21" i="22" s="1"/>
  <c r="I21" i="22" s="1"/>
  <c r="E15" i="22"/>
  <c r="J15" i="22" s="1"/>
  <c r="H22" i="22"/>
  <c r="I22" i="22" s="1"/>
  <c r="E28" i="22"/>
  <c r="H28" i="22" s="1"/>
  <c r="I28" i="22" s="1"/>
  <c r="E25" i="22"/>
  <c r="H25" i="22" s="1"/>
  <c r="I25" i="22" s="1"/>
  <c r="E20" i="22"/>
  <c r="H20" i="22" s="1"/>
  <c r="I20" i="22" s="1"/>
  <c r="E23" i="22"/>
  <c r="H23" i="22" s="1"/>
  <c r="I23" i="22" s="1"/>
  <c r="E26" i="22"/>
  <c r="H26" i="22" s="1"/>
  <c r="I26" i="22" s="1"/>
  <c r="E18" i="22"/>
  <c r="H18" i="22" s="1"/>
  <c r="I18" i="22" s="1"/>
  <c r="E16" i="22"/>
  <c r="H16" i="22" s="1"/>
  <c r="I16" i="22" s="1"/>
  <c r="T123" i="17"/>
  <c r="H123" i="7"/>
  <c r="T121" i="7"/>
  <c r="E105" i="16"/>
  <c r="I114" i="16"/>
  <c r="T114" i="16"/>
  <c r="U114" i="16" s="1"/>
  <c r="I122" i="17"/>
  <c r="I123" i="17"/>
  <c r="C30" i="60"/>
  <c r="C32" i="60" s="1"/>
  <c r="R94" i="18"/>
  <c r="C45" i="60"/>
  <c r="E18" i="25"/>
  <c r="H18" i="25" s="1"/>
  <c r="I18" i="25" s="1"/>
  <c r="E23" i="25"/>
  <c r="H23" i="25" s="1"/>
  <c r="I23" i="25" s="1"/>
  <c r="E15" i="25"/>
  <c r="J15" i="25" s="1"/>
  <c r="E17" i="25"/>
  <c r="J17" i="25" s="1"/>
  <c r="E27" i="25"/>
  <c r="H27" i="25" s="1"/>
  <c r="I27" i="25" s="1"/>
  <c r="E20" i="25"/>
  <c r="H20" i="25" s="1"/>
  <c r="I20" i="25" s="1"/>
  <c r="E14" i="25"/>
  <c r="E16" i="25"/>
  <c r="H16" i="25" s="1"/>
  <c r="I16" i="25" s="1"/>
  <c r="E29" i="25"/>
  <c r="H29" i="25" s="1"/>
  <c r="I29" i="25" s="1"/>
  <c r="E25" i="25"/>
  <c r="H25" i="25" s="1"/>
  <c r="I25" i="25" s="1"/>
  <c r="E19" i="25"/>
  <c r="J19" i="25" s="1"/>
  <c r="E21" i="25"/>
  <c r="H21" i="25" s="1"/>
  <c r="I21" i="25" s="1"/>
  <c r="E28" i="25"/>
  <c r="H28" i="25" s="1"/>
  <c r="I28" i="25" s="1"/>
  <c r="E26" i="25"/>
  <c r="H26" i="25" s="1"/>
  <c r="I26" i="25" s="1"/>
  <c r="E24" i="25"/>
  <c r="H24" i="25" s="1"/>
  <c r="I24" i="25" s="1"/>
  <c r="E16" i="7"/>
  <c r="I122" i="21"/>
  <c r="T123" i="28"/>
  <c r="E43" i="16"/>
  <c r="I43" i="16" s="1"/>
  <c r="E40" i="16"/>
  <c r="I40" i="16" s="1"/>
  <c r="P106" i="7"/>
  <c r="E17" i="7"/>
  <c r="T122" i="16"/>
  <c r="E14" i="16"/>
  <c r="E16" i="16"/>
  <c r="H16" i="16" s="1"/>
  <c r="I16" i="16" s="1"/>
  <c r="E18" i="16"/>
  <c r="H18" i="16" s="1"/>
  <c r="I18" i="16" s="1"/>
  <c r="E25" i="16"/>
  <c r="E40" i="17"/>
  <c r="I40" i="17" s="1"/>
  <c r="R90" i="16"/>
  <c r="R85" i="16"/>
  <c r="E42" i="16"/>
  <c r="I42" i="16" s="1"/>
  <c r="E23" i="16"/>
  <c r="E15" i="16"/>
  <c r="J15" i="16" s="1"/>
  <c r="T122" i="18"/>
  <c r="I114" i="20"/>
  <c r="H123" i="25"/>
  <c r="T121" i="25"/>
  <c r="T123" i="24"/>
  <c r="E38" i="17"/>
  <c r="I38" i="17" s="1"/>
  <c r="E41" i="17"/>
  <c r="I41" i="17" s="1"/>
  <c r="I113" i="20"/>
  <c r="T113" i="20"/>
  <c r="R92" i="21"/>
  <c r="E23" i="17"/>
  <c r="H23" i="17" s="1"/>
  <c r="I23" i="17" s="1"/>
  <c r="E18" i="17"/>
  <c r="H18" i="17" s="1"/>
  <c r="I18" i="17" s="1"/>
  <c r="E21" i="18"/>
  <c r="P106" i="20"/>
  <c r="E24" i="20"/>
  <c r="H24" i="20" s="1"/>
  <c r="I24" i="20" s="1"/>
  <c r="E19" i="20"/>
  <c r="J19" i="20" s="1"/>
  <c r="I113" i="21"/>
  <c r="E27" i="21"/>
  <c r="H27" i="21" s="1"/>
  <c r="I27" i="21" s="1"/>
  <c r="E17" i="21"/>
  <c r="J17" i="21" s="1"/>
  <c r="H123" i="31"/>
  <c r="T121" i="31"/>
  <c r="I113" i="22"/>
  <c r="T113" i="22"/>
  <c r="E25" i="21"/>
  <c r="H25" i="21" s="1"/>
  <c r="I25" i="21" s="1"/>
  <c r="T114" i="25"/>
  <c r="U114" i="25" s="1"/>
  <c r="E26" i="17"/>
  <c r="H26" i="17" s="1"/>
  <c r="I26" i="17" s="1"/>
  <c r="E16" i="17"/>
  <c r="H16" i="17" s="1"/>
  <c r="I16" i="17" s="1"/>
  <c r="T121" i="18"/>
  <c r="E24" i="18"/>
  <c r="H24" i="18" s="1"/>
  <c r="I24" i="18" s="1"/>
  <c r="E19" i="18"/>
  <c r="J19" i="18" s="1"/>
  <c r="I123" i="20"/>
  <c r="E27" i="20"/>
  <c r="H27" i="20" s="1"/>
  <c r="I27" i="20" s="1"/>
  <c r="E17" i="20"/>
  <c r="J17" i="20" s="1"/>
  <c r="E42" i="21"/>
  <c r="I42" i="21" s="1"/>
  <c r="E15" i="21"/>
  <c r="J15" i="21" s="1"/>
  <c r="I113" i="24"/>
  <c r="E19" i="24"/>
  <c r="J19" i="24" s="1"/>
  <c r="E24" i="24"/>
  <c r="H24" i="24" s="1"/>
  <c r="I24" i="24" s="1"/>
  <c r="E16" i="24"/>
  <c r="H16" i="24" s="1"/>
  <c r="I16" i="24" s="1"/>
  <c r="E26" i="24"/>
  <c r="H26" i="24" s="1"/>
  <c r="I26" i="24" s="1"/>
  <c r="E21" i="24"/>
  <c r="H21" i="24" s="1"/>
  <c r="I21" i="24" s="1"/>
  <c r="E28" i="24"/>
  <c r="H28" i="24" s="1"/>
  <c r="I28" i="24" s="1"/>
  <c r="J15" i="24"/>
  <c r="E17" i="24"/>
  <c r="J17" i="24" s="1"/>
  <c r="E27" i="24"/>
  <c r="H27" i="24" s="1"/>
  <c r="I27" i="24" s="1"/>
  <c r="R96" i="17"/>
  <c r="R88" i="17"/>
  <c r="E24" i="17"/>
  <c r="H24" i="17" s="1"/>
  <c r="I24" i="17" s="1"/>
  <c r="E19" i="17"/>
  <c r="J19" i="17" s="1"/>
  <c r="E25" i="20"/>
  <c r="H25" i="20" s="1"/>
  <c r="I25" i="20" s="1"/>
  <c r="T114" i="21"/>
  <c r="U114" i="21" s="1"/>
  <c r="E28" i="21"/>
  <c r="H28" i="21" s="1"/>
  <c r="I28" i="21" s="1"/>
  <c r="I122" i="25"/>
  <c r="T121" i="24"/>
  <c r="E18" i="24"/>
  <c r="H18" i="24" s="1"/>
  <c r="I18" i="24" s="1"/>
  <c r="I122" i="22"/>
  <c r="I121" i="22"/>
  <c r="T121" i="17"/>
  <c r="E29" i="17"/>
  <c r="E14" i="17"/>
  <c r="E27" i="18"/>
  <c r="H27" i="18" s="1"/>
  <c r="I27" i="18" s="1"/>
  <c r="E17" i="18"/>
  <c r="J17" i="18" s="1"/>
  <c r="E15" i="20"/>
  <c r="J15" i="20" s="1"/>
  <c r="E21" i="21"/>
  <c r="H21" i="21" s="1"/>
  <c r="I21" i="21" s="1"/>
  <c r="E14" i="28"/>
  <c r="E29" i="28"/>
  <c r="H29" i="28" s="1"/>
  <c r="I29" i="28" s="1"/>
  <c r="E19" i="28"/>
  <c r="J19" i="28" s="1"/>
  <c r="E24" i="28"/>
  <c r="H24" i="28" s="1"/>
  <c r="I24" i="28" s="1"/>
  <c r="E16" i="28"/>
  <c r="H16" i="28" s="1"/>
  <c r="I16" i="28" s="1"/>
  <c r="E26" i="28"/>
  <c r="H26" i="28" s="1"/>
  <c r="I26" i="28" s="1"/>
  <c r="E21" i="28"/>
  <c r="H21" i="28" s="1"/>
  <c r="I21" i="28" s="1"/>
  <c r="E28" i="28"/>
  <c r="H28" i="28" s="1"/>
  <c r="I28" i="28" s="1"/>
  <c r="E18" i="28"/>
  <c r="H18" i="28" s="1"/>
  <c r="I18" i="28" s="1"/>
  <c r="E23" i="28"/>
  <c r="H23" i="28" s="1"/>
  <c r="I23" i="28" s="1"/>
  <c r="E15" i="28"/>
  <c r="J15" i="28" s="1"/>
  <c r="E20" i="28"/>
  <c r="H20" i="28" s="1"/>
  <c r="I20" i="28" s="1"/>
  <c r="E17" i="28"/>
  <c r="J17" i="28" s="1"/>
  <c r="E27" i="28"/>
  <c r="H27" i="28" s="1"/>
  <c r="I27" i="28" s="1"/>
  <c r="E17" i="31"/>
  <c r="J17" i="31" s="1"/>
  <c r="E27" i="31"/>
  <c r="H27" i="31" s="1"/>
  <c r="I27" i="31" s="1"/>
  <c r="E22" i="31"/>
  <c r="H22" i="31" s="1"/>
  <c r="I22" i="31" s="1"/>
  <c r="E19" i="31"/>
  <c r="J19" i="31" s="1"/>
  <c r="E24" i="31"/>
  <c r="H24" i="31" s="1"/>
  <c r="I24" i="31" s="1"/>
  <c r="E16" i="31"/>
  <c r="H16" i="31" s="1"/>
  <c r="I16" i="31" s="1"/>
  <c r="E26" i="31"/>
  <c r="H26" i="31" s="1"/>
  <c r="I26" i="31" s="1"/>
  <c r="E15" i="31"/>
  <c r="J15" i="31" s="1"/>
  <c r="E14" i="31"/>
  <c r="E23" i="31"/>
  <c r="H23" i="31" s="1"/>
  <c r="I23" i="31" s="1"/>
  <c r="E20" i="31"/>
  <c r="H20" i="31" s="1"/>
  <c r="I20" i="31" s="1"/>
  <c r="E29" i="31"/>
  <c r="H29" i="31" s="1"/>
  <c r="I29" i="31" s="1"/>
  <c r="E18" i="31"/>
  <c r="H18" i="31" s="1"/>
  <c r="I18" i="31" s="1"/>
  <c r="E21" i="31"/>
  <c r="H21" i="31" s="1"/>
  <c r="I21" i="31" s="1"/>
  <c r="E28" i="31"/>
  <c r="H28" i="31" s="1"/>
  <c r="I28" i="31" s="1"/>
  <c r="E16" i="21"/>
  <c r="H16" i="21" s="1"/>
  <c r="I16" i="21" s="1"/>
  <c r="I123" i="24"/>
  <c r="I122" i="28"/>
  <c r="I123" i="28"/>
  <c r="E25" i="18"/>
  <c r="H25" i="18" s="1"/>
  <c r="I25" i="18" s="1"/>
  <c r="T114" i="20"/>
  <c r="U114" i="20" s="1"/>
  <c r="E28" i="20"/>
  <c r="H28" i="20" s="1"/>
  <c r="I28" i="20" s="1"/>
  <c r="R92" i="17"/>
  <c r="E20" i="17"/>
  <c r="H20" i="17" s="1"/>
  <c r="I20" i="17" s="1"/>
  <c r="J15" i="18"/>
  <c r="E21" i="20"/>
  <c r="H21" i="20" s="1"/>
  <c r="I21" i="20" s="1"/>
  <c r="R96" i="21"/>
  <c r="R88" i="21"/>
  <c r="E24" i="21"/>
  <c r="H24" i="21" s="1"/>
  <c r="I24" i="21" s="1"/>
  <c r="E19" i="21"/>
  <c r="J19" i="21" s="1"/>
  <c r="I123" i="27"/>
  <c r="T121" i="28"/>
  <c r="E23" i="18"/>
  <c r="H23" i="18" s="1"/>
  <c r="I23" i="18" s="1"/>
  <c r="E41" i="20"/>
  <c r="I41" i="20" s="1"/>
  <c r="E26" i="20"/>
  <c r="H26" i="20" s="1"/>
  <c r="I26" i="20" s="1"/>
  <c r="E29" i="21"/>
  <c r="H29" i="21" s="1"/>
  <c r="I29" i="21" s="1"/>
  <c r="H123" i="22"/>
  <c r="E21" i="26"/>
  <c r="H21" i="26" s="1"/>
  <c r="I21" i="26" s="1"/>
  <c r="I113" i="28"/>
  <c r="I114" i="33"/>
  <c r="T113" i="34"/>
  <c r="I113" i="34"/>
  <c r="R94" i="34"/>
  <c r="I113" i="35"/>
  <c r="T113" i="35"/>
  <c r="R92" i="23"/>
  <c r="E24" i="26"/>
  <c r="H24" i="26" s="1"/>
  <c r="I24" i="26" s="1"/>
  <c r="E19" i="26"/>
  <c r="J19" i="26" s="1"/>
  <c r="R92" i="32"/>
  <c r="T121" i="36"/>
  <c r="T113" i="26"/>
  <c r="E29" i="26"/>
  <c r="H29" i="26" s="1"/>
  <c r="I29" i="26" s="1"/>
  <c r="E14" i="26"/>
  <c r="R92" i="27"/>
  <c r="E20" i="27"/>
  <c r="H20" i="27" s="1"/>
  <c r="I20" i="27" s="1"/>
  <c r="E38" i="37"/>
  <c r="I38" i="37" s="1"/>
  <c r="E41" i="37"/>
  <c r="I41" i="37" s="1"/>
  <c r="E39" i="37"/>
  <c r="I39" i="37" s="1"/>
  <c r="E42" i="37"/>
  <c r="I42" i="37" s="1"/>
  <c r="E40" i="37"/>
  <c r="I40" i="37" s="1"/>
  <c r="E43" i="37"/>
  <c r="I43" i="37" s="1"/>
  <c r="E43" i="26"/>
  <c r="I43" i="26" s="1"/>
  <c r="E22" i="26"/>
  <c r="H22" i="26" s="1"/>
  <c r="I22" i="26" s="1"/>
  <c r="E25" i="27"/>
  <c r="H25" i="27" s="1"/>
  <c r="I25" i="27" s="1"/>
  <c r="T114" i="28"/>
  <c r="U114" i="28" s="1"/>
  <c r="E41" i="31"/>
  <c r="I41" i="31" s="1"/>
  <c r="E38" i="31"/>
  <c r="I38" i="31" s="1"/>
  <c r="E105" i="34"/>
  <c r="E104" i="34"/>
  <c r="T8" i="34"/>
  <c r="R96" i="22"/>
  <c r="R88" i="22"/>
  <c r="E27" i="26"/>
  <c r="H27" i="26" s="1"/>
  <c r="I27" i="26" s="1"/>
  <c r="E17" i="26"/>
  <c r="J17" i="26" s="1"/>
  <c r="E15" i="27"/>
  <c r="J15" i="27" s="1"/>
  <c r="R94" i="36"/>
  <c r="E25" i="26"/>
  <c r="H25" i="26" s="1"/>
  <c r="I25" i="26" s="1"/>
  <c r="E21" i="27"/>
  <c r="H21" i="27" s="1"/>
  <c r="I21" i="27" s="1"/>
  <c r="R96" i="28"/>
  <c r="R88" i="28"/>
  <c r="E43" i="31"/>
  <c r="I43" i="31" s="1"/>
  <c r="H123" i="36"/>
  <c r="E23" i="26"/>
  <c r="H23" i="26" s="1"/>
  <c r="I23" i="26" s="1"/>
  <c r="E41" i="27"/>
  <c r="I41" i="27" s="1"/>
  <c r="E26" i="27"/>
  <c r="H26" i="27" s="1"/>
  <c r="I26" i="27" s="1"/>
  <c r="E21" i="32"/>
  <c r="H21" i="32" s="1"/>
  <c r="I21" i="32" s="1"/>
  <c r="E105" i="33"/>
  <c r="E43" i="34"/>
  <c r="I43" i="34" s="1"/>
  <c r="E40" i="34"/>
  <c r="I40" i="34" s="1"/>
  <c r="E22" i="34"/>
  <c r="H22" i="34" s="1"/>
  <c r="I22" i="34" s="1"/>
  <c r="E25" i="35"/>
  <c r="H25" i="35" s="1"/>
  <c r="I25" i="35" s="1"/>
  <c r="T114" i="23"/>
  <c r="U114" i="23" s="1"/>
  <c r="I121" i="36"/>
  <c r="I113" i="38"/>
  <c r="I114" i="36"/>
  <c r="T114" i="36"/>
  <c r="U114" i="36" s="1"/>
  <c r="E15" i="38"/>
  <c r="J15" i="38" s="1"/>
  <c r="E20" i="38"/>
  <c r="H20" i="38" s="1"/>
  <c r="I20" i="38" s="1"/>
  <c r="E17" i="38"/>
  <c r="J17" i="38" s="1"/>
  <c r="E27" i="38"/>
  <c r="H27" i="38" s="1"/>
  <c r="I27" i="38" s="1"/>
  <c r="E22" i="38"/>
  <c r="H22" i="38" s="1"/>
  <c r="I22" i="38" s="1"/>
  <c r="E14" i="38"/>
  <c r="E29" i="38"/>
  <c r="H29" i="38" s="1"/>
  <c r="I29" i="38" s="1"/>
  <c r="E19" i="38"/>
  <c r="J19" i="38" s="1"/>
  <c r="E24" i="38"/>
  <c r="H24" i="38" s="1"/>
  <c r="I24" i="38" s="1"/>
  <c r="E16" i="38"/>
  <c r="H16" i="38" s="1"/>
  <c r="I16" i="38" s="1"/>
  <c r="E26" i="38"/>
  <c r="H26" i="38" s="1"/>
  <c r="I26" i="38" s="1"/>
  <c r="E21" i="38"/>
  <c r="H21" i="38" s="1"/>
  <c r="I21" i="38" s="1"/>
  <c r="E28" i="38"/>
  <c r="H28" i="38" s="1"/>
  <c r="I28" i="38" s="1"/>
  <c r="E25" i="34"/>
  <c r="H25" i="34" s="1"/>
  <c r="I25" i="34" s="1"/>
  <c r="I122" i="23"/>
  <c r="E19" i="36"/>
  <c r="J19" i="36" s="1"/>
  <c r="E14" i="36"/>
  <c r="I114" i="39"/>
  <c r="T114" i="39"/>
  <c r="U114" i="39" s="1"/>
  <c r="E14" i="32"/>
  <c r="E106" i="33"/>
  <c r="R92" i="33"/>
  <c r="E20" i="33"/>
  <c r="H20" i="33" s="1"/>
  <c r="I20" i="33" s="1"/>
  <c r="R90" i="34"/>
  <c r="R85" i="34"/>
  <c r="E42" i="34"/>
  <c r="I42" i="34" s="1"/>
  <c r="E39" i="34"/>
  <c r="I39" i="34" s="1"/>
  <c r="E15" i="34"/>
  <c r="J15" i="34" s="1"/>
  <c r="E21" i="35"/>
  <c r="H21" i="35" s="1"/>
  <c r="I21" i="35" s="1"/>
  <c r="R96" i="23"/>
  <c r="R88" i="23"/>
  <c r="E24" i="23"/>
  <c r="H24" i="23" s="1"/>
  <c r="I24" i="23" s="1"/>
  <c r="E19" i="23"/>
  <c r="J19" i="23" s="1"/>
  <c r="I113" i="37"/>
  <c r="T113" i="37"/>
  <c r="E22" i="32"/>
  <c r="H22" i="32" s="1"/>
  <c r="I22" i="32" s="1"/>
  <c r="E25" i="33"/>
  <c r="H25" i="33" s="1"/>
  <c r="I25" i="33" s="1"/>
  <c r="E23" i="34"/>
  <c r="H23" i="34" s="1"/>
  <c r="I23" i="34" s="1"/>
  <c r="E18" i="34"/>
  <c r="H18" i="34" s="1"/>
  <c r="I18" i="34" s="1"/>
  <c r="E41" i="35"/>
  <c r="I41" i="35" s="1"/>
  <c r="E38" i="35"/>
  <c r="I38" i="35" s="1"/>
  <c r="E26" i="35"/>
  <c r="H26" i="35" s="1"/>
  <c r="I26" i="35" s="1"/>
  <c r="E16" i="35"/>
  <c r="E29" i="23"/>
  <c r="H29" i="23" s="1"/>
  <c r="I29" i="23" s="1"/>
  <c r="E14" i="23"/>
  <c r="I122" i="37"/>
  <c r="E18" i="38"/>
  <c r="H18" i="38" s="1"/>
  <c r="I18" i="38" s="1"/>
  <c r="E17" i="32"/>
  <c r="J17" i="32" s="1"/>
  <c r="E28" i="34"/>
  <c r="H28" i="34" s="1"/>
  <c r="I28" i="34" s="1"/>
  <c r="E43" i="23"/>
  <c r="I43" i="23" s="1"/>
  <c r="E40" i="23"/>
  <c r="I40" i="23" s="1"/>
  <c r="I122" i="36"/>
  <c r="H123" i="38"/>
  <c r="T121" i="38"/>
  <c r="E23" i="38"/>
  <c r="H23" i="38" s="1"/>
  <c r="I23" i="38" s="1"/>
  <c r="R94" i="40"/>
  <c r="E20" i="32"/>
  <c r="H20" i="32" s="1"/>
  <c r="I20" i="32" s="1"/>
  <c r="E21" i="34"/>
  <c r="H21" i="34" s="1"/>
  <c r="I21" i="34" s="1"/>
  <c r="I113" i="36"/>
  <c r="E25" i="32"/>
  <c r="H25" i="32" s="1"/>
  <c r="I25" i="32" s="1"/>
  <c r="T114" i="33"/>
  <c r="U114" i="33" s="1"/>
  <c r="E26" i="34"/>
  <c r="H26" i="34" s="1"/>
  <c r="I26" i="34" s="1"/>
  <c r="E16" i="34"/>
  <c r="H16" i="34" s="1"/>
  <c r="I16" i="34" s="1"/>
  <c r="E16" i="36"/>
  <c r="H16" i="36" s="1"/>
  <c r="I16" i="36" s="1"/>
  <c r="E26" i="36"/>
  <c r="H26" i="36" s="1"/>
  <c r="I26" i="36" s="1"/>
  <c r="E21" i="36"/>
  <c r="H21" i="36" s="1"/>
  <c r="I21" i="36" s="1"/>
  <c r="E28" i="36"/>
  <c r="H28" i="36" s="1"/>
  <c r="I28" i="36" s="1"/>
  <c r="E17" i="36"/>
  <c r="J17" i="36" s="1"/>
  <c r="E27" i="36"/>
  <c r="H27" i="36" s="1"/>
  <c r="I27" i="36" s="1"/>
  <c r="E42" i="32"/>
  <c r="I42" i="32" s="1"/>
  <c r="R96" i="34"/>
  <c r="E43" i="35"/>
  <c r="I43" i="35" s="1"/>
  <c r="E22" i="35"/>
  <c r="H22" i="35" s="1"/>
  <c r="I22" i="35" s="1"/>
  <c r="E25" i="23"/>
  <c r="H25" i="23" s="1"/>
  <c r="I25" i="23" s="1"/>
  <c r="E25" i="36"/>
  <c r="H25" i="36" s="1"/>
  <c r="I25" i="36" s="1"/>
  <c r="E18" i="36"/>
  <c r="H18" i="36" s="1"/>
  <c r="I18" i="36" s="1"/>
  <c r="E17" i="37"/>
  <c r="J17" i="37" s="1"/>
  <c r="E27" i="37"/>
  <c r="H27" i="37" s="1"/>
  <c r="I27" i="37" s="1"/>
  <c r="E14" i="37"/>
  <c r="E29" i="37"/>
  <c r="H29" i="37" s="1"/>
  <c r="I29" i="37" s="1"/>
  <c r="E19" i="37"/>
  <c r="J19" i="37" s="1"/>
  <c r="E24" i="37"/>
  <c r="H24" i="37" s="1"/>
  <c r="I24" i="37" s="1"/>
  <c r="E16" i="37"/>
  <c r="H16" i="37" s="1"/>
  <c r="I16" i="37" s="1"/>
  <c r="E26" i="37"/>
  <c r="H26" i="37" s="1"/>
  <c r="I26" i="37" s="1"/>
  <c r="E21" i="37"/>
  <c r="H21" i="37" s="1"/>
  <c r="I21" i="37" s="1"/>
  <c r="E28" i="37"/>
  <c r="H28" i="37" s="1"/>
  <c r="I28" i="37" s="1"/>
  <c r="E18" i="37"/>
  <c r="H18" i="37" s="1"/>
  <c r="I18" i="37" s="1"/>
  <c r="E23" i="37"/>
  <c r="H23" i="37" s="1"/>
  <c r="I23" i="37" s="1"/>
  <c r="E15" i="37"/>
  <c r="J15" i="37" s="1"/>
  <c r="E24" i="34"/>
  <c r="H24" i="34" s="1"/>
  <c r="I24" i="34" s="1"/>
  <c r="E27" i="35"/>
  <c r="H27" i="35" s="1"/>
  <c r="I27" i="35" s="1"/>
  <c r="E42" i="23"/>
  <c r="I42" i="23" s="1"/>
  <c r="E20" i="36"/>
  <c r="H20" i="36" s="1"/>
  <c r="I20" i="36" s="1"/>
  <c r="E25" i="37"/>
  <c r="H25" i="37" s="1"/>
  <c r="I25" i="37" s="1"/>
  <c r="R88" i="44"/>
  <c r="E105" i="39"/>
  <c r="I123" i="40"/>
  <c r="R94" i="42"/>
  <c r="I114" i="44"/>
  <c r="I122" i="48"/>
  <c r="I113" i="43"/>
  <c r="T113" i="43"/>
  <c r="E104" i="37"/>
  <c r="H123" i="39"/>
  <c r="E43" i="39"/>
  <c r="I43" i="39" s="1"/>
  <c r="E40" i="39"/>
  <c r="I40" i="39" s="1"/>
  <c r="E22" i="39"/>
  <c r="H22" i="39" s="1"/>
  <c r="I22" i="39" s="1"/>
  <c r="T8" i="39"/>
  <c r="T122" i="40"/>
  <c r="E21" i="40"/>
  <c r="H21" i="40" s="1"/>
  <c r="I21" i="40" s="1"/>
  <c r="E20" i="40"/>
  <c r="H20" i="40" s="1"/>
  <c r="I20" i="40" s="1"/>
  <c r="E17" i="40"/>
  <c r="J17" i="40" s="1"/>
  <c r="E22" i="40"/>
  <c r="H22" i="40" s="1"/>
  <c r="I22" i="40" s="1"/>
  <c r="I121" i="40"/>
  <c r="E105" i="42"/>
  <c r="T8" i="42"/>
  <c r="R96" i="48"/>
  <c r="R94" i="37"/>
  <c r="T113" i="38"/>
  <c r="E106" i="39"/>
  <c r="E20" i="39"/>
  <c r="H20" i="39" s="1"/>
  <c r="I20" i="39" s="1"/>
  <c r="E19" i="40"/>
  <c r="J19" i="40" s="1"/>
  <c r="T122" i="44"/>
  <c r="E104" i="44"/>
  <c r="T8" i="44"/>
  <c r="E106" i="44"/>
  <c r="E105" i="44"/>
  <c r="H123" i="45"/>
  <c r="T121" i="45"/>
  <c r="E43" i="38"/>
  <c r="I43" i="38" s="1"/>
  <c r="T122" i="39"/>
  <c r="E25" i="39"/>
  <c r="H25" i="39" s="1"/>
  <c r="I25" i="39" s="1"/>
  <c r="E28" i="40"/>
  <c r="H28" i="40" s="1"/>
  <c r="I28" i="40" s="1"/>
  <c r="E16" i="40"/>
  <c r="H16" i="40" s="1"/>
  <c r="I16" i="40" s="1"/>
  <c r="E38" i="44"/>
  <c r="I38" i="44" s="1"/>
  <c r="E41" i="44"/>
  <c r="I41" i="44" s="1"/>
  <c r="E40" i="44"/>
  <c r="I40" i="44" s="1"/>
  <c r="E42" i="44"/>
  <c r="I42" i="44" s="1"/>
  <c r="E39" i="44"/>
  <c r="I39" i="44" s="1"/>
  <c r="R96" i="37"/>
  <c r="R88" i="37"/>
  <c r="R90" i="39"/>
  <c r="R85" i="39"/>
  <c r="E42" i="39"/>
  <c r="I42" i="39" s="1"/>
  <c r="E15" i="39"/>
  <c r="J15" i="39" s="1"/>
  <c r="E24" i="40"/>
  <c r="H24" i="40" s="1"/>
  <c r="I24" i="40" s="1"/>
  <c r="E104" i="42"/>
  <c r="E17" i="45"/>
  <c r="J17" i="45" s="1"/>
  <c r="E27" i="45"/>
  <c r="H27" i="45" s="1"/>
  <c r="I27" i="45" s="1"/>
  <c r="E22" i="45"/>
  <c r="H22" i="45" s="1"/>
  <c r="I22" i="45" s="1"/>
  <c r="E14" i="45"/>
  <c r="E29" i="45"/>
  <c r="H29" i="45" s="1"/>
  <c r="I29" i="45" s="1"/>
  <c r="E19" i="45"/>
  <c r="J19" i="45" s="1"/>
  <c r="E24" i="45"/>
  <c r="H24" i="45" s="1"/>
  <c r="I24" i="45" s="1"/>
  <c r="E16" i="45"/>
  <c r="H16" i="45" s="1"/>
  <c r="I16" i="45" s="1"/>
  <c r="E26" i="45"/>
  <c r="H26" i="45" s="1"/>
  <c r="I26" i="45" s="1"/>
  <c r="E21" i="45"/>
  <c r="H21" i="45" s="1"/>
  <c r="I21" i="45" s="1"/>
  <c r="E28" i="45"/>
  <c r="H28" i="45" s="1"/>
  <c r="I28" i="45" s="1"/>
  <c r="E15" i="45"/>
  <c r="J15" i="45" s="1"/>
  <c r="E18" i="45"/>
  <c r="H18" i="45" s="1"/>
  <c r="I18" i="45" s="1"/>
  <c r="E23" i="45"/>
  <c r="H23" i="45" s="1"/>
  <c r="I23" i="45" s="1"/>
  <c r="E20" i="45"/>
  <c r="H20" i="45" s="1"/>
  <c r="I20" i="45" s="1"/>
  <c r="T8" i="47"/>
  <c r="E106" i="47"/>
  <c r="E105" i="47"/>
  <c r="E104" i="47"/>
  <c r="E23" i="39"/>
  <c r="H23" i="39" s="1"/>
  <c r="I23" i="39" s="1"/>
  <c r="E18" i="39"/>
  <c r="H18" i="39" s="1"/>
  <c r="I18" i="39" s="1"/>
  <c r="E41" i="40"/>
  <c r="I41" i="40" s="1"/>
  <c r="E26" i="40"/>
  <c r="H26" i="40" s="1"/>
  <c r="I26" i="40" s="1"/>
  <c r="I122" i="40"/>
  <c r="E18" i="40"/>
  <c r="H18" i="40" s="1"/>
  <c r="I18" i="40" s="1"/>
  <c r="T123" i="43"/>
  <c r="E43" i="44"/>
  <c r="I43" i="44" s="1"/>
  <c r="E43" i="42"/>
  <c r="I43" i="42" s="1"/>
  <c r="E40" i="42"/>
  <c r="I40" i="42" s="1"/>
  <c r="E25" i="43"/>
  <c r="H25" i="43" s="1"/>
  <c r="I25" i="43" s="1"/>
  <c r="E25" i="42"/>
  <c r="H25" i="42" s="1"/>
  <c r="I25" i="42" s="1"/>
  <c r="T114" i="43"/>
  <c r="U114" i="43" s="1"/>
  <c r="E28" i="43"/>
  <c r="H28" i="43" s="1"/>
  <c r="I28" i="43" s="1"/>
  <c r="T123" i="44"/>
  <c r="I122" i="44"/>
  <c r="R92" i="45"/>
  <c r="R90" i="42"/>
  <c r="R85" i="42"/>
  <c r="E42" i="42"/>
  <c r="I42" i="42" s="1"/>
  <c r="E15" i="42"/>
  <c r="J15" i="42" s="1"/>
  <c r="E21" i="43"/>
  <c r="H21" i="43" s="1"/>
  <c r="I21" i="43" s="1"/>
  <c r="T114" i="47"/>
  <c r="U114" i="47" s="1"/>
  <c r="R92" i="47"/>
  <c r="E105" i="48"/>
  <c r="E104" i="48"/>
  <c r="E106" i="48"/>
  <c r="T8" i="48"/>
  <c r="E26" i="43"/>
  <c r="H26" i="43" s="1"/>
  <c r="I26" i="43" s="1"/>
  <c r="E16" i="43"/>
  <c r="H16" i="43" s="1"/>
  <c r="I16" i="43" s="1"/>
  <c r="T113" i="44"/>
  <c r="P106" i="45"/>
  <c r="P105" i="45"/>
  <c r="T122" i="75"/>
  <c r="E22" i="43"/>
  <c r="H22" i="43" s="1"/>
  <c r="I22" i="43" s="1"/>
  <c r="I113" i="45"/>
  <c r="T113" i="45"/>
  <c r="E24" i="42"/>
  <c r="H24" i="42" s="1"/>
  <c r="I24" i="42" s="1"/>
  <c r="E27" i="43"/>
  <c r="H27" i="43" s="1"/>
  <c r="I27" i="43" s="1"/>
  <c r="R85" i="75"/>
  <c r="R88" i="48"/>
  <c r="E25" i="44"/>
  <c r="H25" i="44" s="1"/>
  <c r="I25" i="44" s="1"/>
  <c r="E38" i="48"/>
  <c r="I38" i="48" s="1"/>
  <c r="E41" i="48"/>
  <c r="I41" i="48" s="1"/>
  <c r="E39" i="48"/>
  <c r="I39" i="48" s="1"/>
  <c r="E42" i="48"/>
  <c r="I42" i="48" s="1"/>
  <c r="E20" i="50"/>
  <c r="H20" i="50" s="1"/>
  <c r="I20" i="50" s="1"/>
  <c r="E17" i="50"/>
  <c r="J17" i="50" s="1"/>
  <c r="E27" i="50"/>
  <c r="H27" i="50" s="1"/>
  <c r="I27" i="50" s="1"/>
  <c r="E22" i="50"/>
  <c r="H22" i="50" s="1"/>
  <c r="I22" i="50" s="1"/>
  <c r="E14" i="50"/>
  <c r="E29" i="50"/>
  <c r="H29" i="50" s="1"/>
  <c r="I29" i="50" s="1"/>
  <c r="E19" i="50"/>
  <c r="J19" i="50" s="1"/>
  <c r="E24" i="50"/>
  <c r="H24" i="50" s="1"/>
  <c r="I24" i="50" s="1"/>
  <c r="E16" i="50"/>
  <c r="H16" i="50" s="1"/>
  <c r="I16" i="50" s="1"/>
  <c r="E26" i="50"/>
  <c r="H26" i="50" s="1"/>
  <c r="I26" i="50" s="1"/>
  <c r="E21" i="50"/>
  <c r="H21" i="50" s="1"/>
  <c r="I21" i="50" s="1"/>
  <c r="E28" i="50"/>
  <c r="H28" i="50" s="1"/>
  <c r="I28" i="50" s="1"/>
  <c r="E18" i="50"/>
  <c r="H18" i="50" s="1"/>
  <c r="I18" i="50" s="1"/>
  <c r="E23" i="50"/>
  <c r="H23" i="50" s="1"/>
  <c r="I23" i="50" s="1"/>
  <c r="E23" i="44"/>
  <c r="H23" i="44" s="1"/>
  <c r="I23" i="44" s="1"/>
  <c r="E18" i="44"/>
  <c r="H18" i="44" s="1"/>
  <c r="I18" i="44" s="1"/>
  <c r="R94" i="45"/>
  <c r="E41" i="45"/>
  <c r="I41" i="45" s="1"/>
  <c r="E38" i="45"/>
  <c r="I38" i="45" s="1"/>
  <c r="E43" i="48"/>
  <c r="I43" i="48" s="1"/>
  <c r="E28" i="44"/>
  <c r="H28" i="44" s="1"/>
  <c r="I28" i="44" s="1"/>
  <c r="E16" i="47"/>
  <c r="H16" i="47" s="1"/>
  <c r="I16" i="47" s="1"/>
  <c r="E26" i="47"/>
  <c r="H26" i="47" s="1"/>
  <c r="I26" i="47" s="1"/>
  <c r="E21" i="47"/>
  <c r="H21" i="47" s="1"/>
  <c r="I21" i="47" s="1"/>
  <c r="E28" i="47"/>
  <c r="H28" i="47" s="1"/>
  <c r="I28" i="47" s="1"/>
  <c r="E18" i="47"/>
  <c r="H18" i="47" s="1"/>
  <c r="I18" i="47" s="1"/>
  <c r="E23" i="47"/>
  <c r="H23" i="47" s="1"/>
  <c r="I23" i="47" s="1"/>
  <c r="E14" i="47"/>
  <c r="R92" i="48"/>
  <c r="E26" i="44"/>
  <c r="H26" i="44" s="1"/>
  <c r="I26" i="44" s="1"/>
  <c r="E16" i="44"/>
  <c r="H123" i="50"/>
  <c r="T121" i="50"/>
  <c r="E43" i="45"/>
  <c r="I43" i="45" s="1"/>
  <c r="T122" i="48"/>
  <c r="E40" i="48"/>
  <c r="I40" i="48" s="1"/>
  <c r="I122" i="51"/>
  <c r="E24" i="44"/>
  <c r="H24" i="44" s="1"/>
  <c r="I24" i="44" s="1"/>
  <c r="E20" i="48"/>
  <c r="H20" i="48" s="1"/>
  <c r="I20" i="48" s="1"/>
  <c r="R94" i="51"/>
  <c r="I123" i="76"/>
  <c r="I122" i="76"/>
  <c r="E25" i="48"/>
  <c r="H25" i="48" s="1"/>
  <c r="I25" i="48" s="1"/>
  <c r="T114" i="50"/>
  <c r="U114" i="50" s="1"/>
  <c r="E39" i="75"/>
  <c r="I39" i="75" s="1"/>
  <c r="E42" i="75"/>
  <c r="I42" i="75" s="1"/>
  <c r="E40" i="75"/>
  <c r="I40" i="75" s="1"/>
  <c r="E43" i="75"/>
  <c r="I43" i="75" s="1"/>
  <c r="E15" i="48"/>
  <c r="J15" i="48" s="1"/>
  <c r="R96" i="51"/>
  <c r="P104" i="52"/>
  <c r="P106" i="52"/>
  <c r="P105" i="52"/>
  <c r="E41" i="75"/>
  <c r="I41" i="75" s="1"/>
  <c r="R90" i="58"/>
  <c r="R92" i="52"/>
  <c r="E26" i="48"/>
  <c r="H26" i="48" s="1"/>
  <c r="I26" i="48" s="1"/>
  <c r="E16" i="48"/>
  <c r="H16" i="48" s="1"/>
  <c r="I16" i="48" s="1"/>
  <c r="E106" i="51"/>
  <c r="E23" i="51"/>
  <c r="H23" i="51" s="1"/>
  <c r="I23" i="51" s="1"/>
  <c r="R90" i="75"/>
  <c r="E38" i="75"/>
  <c r="I38" i="75" s="1"/>
  <c r="E43" i="50"/>
  <c r="I43" i="50" s="1"/>
  <c r="E24" i="48"/>
  <c r="H24" i="48" s="1"/>
  <c r="I24" i="48" s="1"/>
  <c r="E19" i="48"/>
  <c r="J19" i="48" s="1"/>
  <c r="I114" i="76"/>
  <c r="T114" i="76"/>
  <c r="U114" i="76" s="1"/>
  <c r="E41" i="47"/>
  <c r="I41" i="47" s="1"/>
  <c r="E29" i="48"/>
  <c r="H29" i="48" s="1"/>
  <c r="I29" i="48" s="1"/>
  <c r="E22" i="51"/>
  <c r="H22" i="51" s="1"/>
  <c r="I22" i="51" s="1"/>
  <c r="E14" i="51"/>
  <c r="E29" i="51"/>
  <c r="H29" i="51" s="1"/>
  <c r="I29" i="51" s="1"/>
  <c r="E21" i="51"/>
  <c r="H21" i="51" s="1"/>
  <c r="I21" i="51" s="1"/>
  <c r="E28" i="51"/>
  <c r="H28" i="51" s="1"/>
  <c r="I28" i="51" s="1"/>
  <c r="E15" i="51"/>
  <c r="J15" i="51" s="1"/>
  <c r="R94" i="55"/>
  <c r="E38" i="56"/>
  <c r="I38" i="56" s="1"/>
  <c r="E41" i="56"/>
  <c r="I41" i="56" s="1"/>
  <c r="E39" i="56"/>
  <c r="I39" i="56" s="1"/>
  <c r="E40" i="56"/>
  <c r="I40" i="56" s="1"/>
  <c r="E42" i="56"/>
  <c r="I42" i="56" s="1"/>
  <c r="E43" i="56"/>
  <c r="I43" i="56" s="1"/>
  <c r="T123" i="76"/>
  <c r="P105" i="56"/>
  <c r="P104" i="56"/>
  <c r="R94" i="52"/>
  <c r="E41" i="52"/>
  <c r="I41" i="52" s="1"/>
  <c r="E38" i="52"/>
  <c r="I38" i="52" s="1"/>
  <c r="E29" i="75"/>
  <c r="H29" i="75" s="1"/>
  <c r="I29" i="75" s="1"/>
  <c r="E105" i="55"/>
  <c r="E104" i="55"/>
  <c r="E106" i="55"/>
  <c r="T8" i="55"/>
  <c r="E17" i="75"/>
  <c r="J17" i="75" s="1"/>
  <c r="P106" i="56"/>
  <c r="E43" i="52"/>
  <c r="I43" i="52" s="1"/>
  <c r="E22" i="52"/>
  <c r="H22" i="52" s="1"/>
  <c r="I22" i="52" s="1"/>
  <c r="E15" i="75"/>
  <c r="J15" i="75" s="1"/>
  <c r="E20" i="75"/>
  <c r="H20" i="75" s="1"/>
  <c r="I20" i="75" s="1"/>
  <c r="E14" i="75"/>
  <c r="E25" i="75"/>
  <c r="H25" i="75" s="1"/>
  <c r="I25" i="75" s="1"/>
  <c r="E21" i="75"/>
  <c r="H21" i="75" s="1"/>
  <c r="I21" i="75" s="1"/>
  <c r="E16" i="75"/>
  <c r="H16" i="75" s="1"/>
  <c r="I16" i="75" s="1"/>
  <c r="E23" i="75"/>
  <c r="H23" i="75" s="1"/>
  <c r="I23" i="75" s="1"/>
  <c r="E43" i="51"/>
  <c r="I43" i="51" s="1"/>
  <c r="H123" i="55"/>
  <c r="E43" i="55"/>
  <c r="I43" i="55" s="1"/>
  <c r="E40" i="55"/>
  <c r="I40" i="55" s="1"/>
  <c r="E22" i="55"/>
  <c r="H22" i="55" s="1"/>
  <c r="I22" i="55" s="1"/>
  <c r="E20" i="55"/>
  <c r="H20" i="55" s="1"/>
  <c r="I20" i="55" s="1"/>
  <c r="I122" i="56"/>
  <c r="I122" i="57"/>
  <c r="E15" i="57"/>
  <c r="J15" i="57" s="1"/>
  <c r="E25" i="55"/>
  <c r="H25" i="55" s="1"/>
  <c r="I25" i="55" s="1"/>
  <c r="T122" i="56"/>
  <c r="R92" i="56"/>
  <c r="E104" i="56"/>
  <c r="E106" i="56"/>
  <c r="H123" i="66"/>
  <c r="T121" i="66"/>
  <c r="R90" i="55"/>
  <c r="R85" i="55"/>
  <c r="E42" i="55"/>
  <c r="I42" i="55" s="1"/>
  <c r="E39" i="55"/>
  <c r="I39" i="55" s="1"/>
  <c r="E15" i="55"/>
  <c r="J15" i="55" s="1"/>
  <c r="R92" i="76"/>
  <c r="E20" i="76"/>
  <c r="H20" i="76" s="1"/>
  <c r="I20" i="76" s="1"/>
  <c r="E23" i="55"/>
  <c r="H23" i="55" s="1"/>
  <c r="I23" i="55" s="1"/>
  <c r="E18" i="55"/>
  <c r="H18" i="55" s="1"/>
  <c r="I18" i="55" s="1"/>
  <c r="E27" i="57"/>
  <c r="H27" i="57" s="1"/>
  <c r="I27" i="57" s="1"/>
  <c r="E106" i="57"/>
  <c r="T8" i="57"/>
  <c r="E104" i="57"/>
  <c r="E25" i="76"/>
  <c r="H25" i="76" s="1"/>
  <c r="I25" i="76" s="1"/>
  <c r="E28" i="55"/>
  <c r="H28" i="55" s="1"/>
  <c r="I28" i="55" s="1"/>
  <c r="E105" i="56"/>
  <c r="E20" i="57"/>
  <c r="H20" i="57" s="1"/>
  <c r="I20" i="57" s="1"/>
  <c r="E22" i="57"/>
  <c r="H22" i="57" s="1"/>
  <c r="I22" i="57" s="1"/>
  <c r="E14" i="57"/>
  <c r="E29" i="57"/>
  <c r="H29" i="57" s="1"/>
  <c r="I29" i="57" s="1"/>
  <c r="E21" i="57"/>
  <c r="H21" i="57" s="1"/>
  <c r="I21" i="57" s="1"/>
  <c r="E28" i="57"/>
  <c r="H28" i="57" s="1"/>
  <c r="I28" i="57" s="1"/>
  <c r="E18" i="57"/>
  <c r="H18" i="57" s="1"/>
  <c r="I18" i="57" s="1"/>
  <c r="E23" i="57"/>
  <c r="H23" i="57" s="1"/>
  <c r="I23" i="57" s="1"/>
  <c r="E17" i="57"/>
  <c r="J17" i="57" s="1"/>
  <c r="E21" i="55"/>
  <c r="H21" i="55" s="1"/>
  <c r="I21" i="55" s="1"/>
  <c r="E41" i="55"/>
  <c r="I41" i="55" s="1"/>
  <c r="E26" i="55"/>
  <c r="H26" i="55" s="1"/>
  <c r="I26" i="55" s="1"/>
  <c r="E16" i="55"/>
  <c r="H16" i="55" s="1"/>
  <c r="I16" i="55" s="1"/>
  <c r="I121" i="57"/>
  <c r="H123" i="57"/>
  <c r="T121" i="57"/>
  <c r="I122" i="55"/>
  <c r="E26" i="57"/>
  <c r="H26" i="57" s="1"/>
  <c r="I26" i="57" s="1"/>
  <c r="E24" i="55"/>
  <c r="H24" i="55" s="1"/>
  <c r="I24" i="55" s="1"/>
  <c r="I114" i="57"/>
  <c r="T114" i="57"/>
  <c r="U114" i="57" s="1"/>
  <c r="E16" i="57"/>
  <c r="H16" i="57" s="1"/>
  <c r="I16" i="57" s="1"/>
  <c r="E20" i="56"/>
  <c r="H20" i="56" s="1"/>
  <c r="I20" i="56" s="1"/>
  <c r="E15" i="66"/>
  <c r="J15" i="66" s="1"/>
  <c r="E20" i="66"/>
  <c r="H20" i="66" s="1"/>
  <c r="I20" i="66" s="1"/>
  <c r="E17" i="66"/>
  <c r="J17" i="66" s="1"/>
  <c r="E27" i="66"/>
  <c r="H27" i="66" s="1"/>
  <c r="I27" i="66" s="1"/>
  <c r="E22" i="66"/>
  <c r="H22" i="66" s="1"/>
  <c r="I22" i="66" s="1"/>
  <c r="E14" i="66"/>
  <c r="E29" i="66"/>
  <c r="H29" i="66" s="1"/>
  <c r="I29" i="66" s="1"/>
  <c r="E16" i="66"/>
  <c r="H16" i="66" s="1"/>
  <c r="I16" i="66" s="1"/>
  <c r="E26" i="66"/>
  <c r="H26" i="66" s="1"/>
  <c r="I26" i="66" s="1"/>
  <c r="E21" i="66"/>
  <c r="H21" i="66" s="1"/>
  <c r="I21" i="66" s="1"/>
  <c r="E19" i="66"/>
  <c r="J19" i="66" s="1"/>
  <c r="E25" i="56"/>
  <c r="H25" i="56" s="1"/>
  <c r="I25" i="56" s="1"/>
  <c r="H123" i="58"/>
  <c r="R85" i="58"/>
  <c r="E38" i="58"/>
  <c r="I38" i="58" s="1"/>
  <c r="E39" i="58"/>
  <c r="I39" i="58" s="1"/>
  <c r="E42" i="58"/>
  <c r="I42" i="58" s="1"/>
  <c r="E28" i="56"/>
  <c r="H28" i="56" s="1"/>
  <c r="I28" i="56" s="1"/>
  <c r="E25" i="66"/>
  <c r="H25" i="66" s="1"/>
  <c r="I25" i="66" s="1"/>
  <c r="E26" i="56"/>
  <c r="H26" i="56" s="1"/>
  <c r="I26" i="56" s="1"/>
  <c r="E16" i="56"/>
  <c r="H16" i="56" s="1"/>
  <c r="I16" i="56" s="1"/>
  <c r="T113" i="58"/>
  <c r="E17" i="58"/>
  <c r="J17" i="58" s="1"/>
  <c r="E27" i="58"/>
  <c r="H27" i="58" s="1"/>
  <c r="I27" i="58" s="1"/>
  <c r="E14" i="58"/>
  <c r="E29" i="58"/>
  <c r="H29" i="58" s="1"/>
  <c r="I29" i="58" s="1"/>
  <c r="E19" i="58"/>
  <c r="J19" i="58" s="1"/>
  <c r="E24" i="58"/>
  <c r="H24" i="58" s="1"/>
  <c r="I24" i="58" s="1"/>
  <c r="E16" i="58"/>
  <c r="H16" i="58" s="1"/>
  <c r="I16" i="58" s="1"/>
  <c r="E26" i="58"/>
  <c r="H26" i="58" s="1"/>
  <c r="I26" i="58" s="1"/>
  <c r="E18" i="58"/>
  <c r="H18" i="58" s="1"/>
  <c r="I18" i="58" s="1"/>
  <c r="E23" i="58"/>
  <c r="H23" i="58" s="1"/>
  <c r="I23" i="58" s="1"/>
  <c r="E15" i="58"/>
  <c r="J15" i="58" s="1"/>
  <c r="E20" i="58"/>
  <c r="H20" i="58" s="1"/>
  <c r="I20" i="58" s="1"/>
  <c r="E40" i="67"/>
  <c r="I40" i="67" s="1"/>
  <c r="E43" i="67"/>
  <c r="I43" i="67" s="1"/>
  <c r="E41" i="67"/>
  <c r="I41" i="67" s="1"/>
  <c r="E38" i="67"/>
  <c r="I38" i="67" s="1"/>
  <c r="E43" i="57"/>
  <c r="I43" i="57" s="1"/>
  <c r="E28" i="66"/>
  <c r="H28" i="66" s="1"/>
  <c r="I28" i="66" s="1"/>
  <c r="E29" i="56"/>
  <c r="H29" i="56" s="1"/>
  <c r="I29" i="56" s="1"/>
  <c r="E42" i="67"/>
  <c r="I42" i="67" s="1"/>
  <c r="E23" i="67"/>
  <c r="H23" i="67" s="1"/>
  <c r="I23" i="67" s="1"/>
  <c r="E21" i="67"/>
  <c r="H21" i="67" s="1"/>
  <c r="I21" i="67" s="1"/>
  <c r="E41" i="66"/>
  <c r="I41" i="66" s="1"/>
  <c r="E38" i="66"/>
  <c r="I38" i="66" s="1"/>
  <c r="I121" i="67"/>
  <c r="E29" i="67"/>
  <c r="H29" i="67" s="1"/>
  <c r="I29" i="67" s="1"/>
  <c r="E27" i="67"/>
  <c r="H27" i="67" s="1"/>
  <c r="I27" i="67" s="1"/>
  <c r="E25" i="67"/>
  <c r="H25" i="67" s="1"/>
  <c r="I25" i="67" s="1"/>
  <c r="T8" i="67"/>
  <c r="E105" i="67"/>
  <c r="E20" i="67"/>
  <c r="H20" i="67" s="1"/>
  <c r="I20" i="67" s="1"/>
  <c r="E18" i="67"/>
  <c r="H18" i="67" s="1"/>
  <c r="I18" i="67" s="1"/>
  <c r="E22" i="67"/>
  <c r="H22" i="67" s="1"/>
  <c r="I22" i="67" s="1"/>
  <c r="E14" i="67"/>
  <c r="E19" i="67"/>
  <c r="J19" i="67" s="1"/>
  <c r="E24" i="67"/>
  <c r="H24" i="67" s="1"/>
  <c r="I24" i="67" s="1"/>
  <c r="E28" i="67"/>
  <c r="H28" i="67" s="1"/>
  <c r="I28" i="67" s="1"/>
  <c r="R92" i="69"/>
  <c r="E42" i="66"/>
  <c r="I42" i="66" s="1"/>
  <c r="E106" i="67"/>
  <c r="E17" i="67"/>
  <c r="J17" i="67" s="1"/>
  <c r="E40" i="70"/>
  <c r="I40" i="70" s="1"/>
  <c r="E43" i="70"/>
  <c r="I43" i="70" s="1"/>
  <c r="E41" i="70"/>
  <c r="I41" i="70" s="1"/>
  <c r="E42" i="70"/>
  <c r="I42" i="70" s="1"/>
  <c r="E38" i="70"/>
  <c r="I38" i="70" s="1"/>
  <c r="E39" i="70"/>
  <c r="I39" i="70" s="1"/>
  <c r="I122" i="68"/>
  <c r="H123" i="77"/>
  <c r="T121" i="77"/>
  <c r="I113" i="70"/>
  <c r="I114" i="68"/>
  <c r="T114" i="68"/>
  <c r="U114" i="68" s="1"/>
  <c r="R92" i="71"/>
  <c r="I113" i="68"/>
  <c r="T113" i="68"/>
  <c r="E43" i="69"/>
  <c r="I43" i="69" s="1"/>
  <c r="T114" i="70"/>
  <c r="U114" i="70" s="1"/>
  <c r="T122" i="78"/>
  <c r="E27" i="69"/>
  <c r="H27" i="69" s="1"/>
  <c r="I27" i="69" s="1"/>
  <c r="E17" i="69"/>
  <c r="J17" i="69" s="1"/>
  <c r="E17" i="70"/>
  <c r="J17" i="70" s="1"/>
  <c r="E27" i="70"/>
  <c r="H27" i="70" s="1"/>
  <c r="I27" i="70" s="1"/>
  <c r="E22" i="70"/>
  <c r="H22" i="70" s="1"/>
  <c r="I22" i="70" s="1"/>
  <c r="E14" i="70"/>
  <c r="E29" i="70"/>
  <c r="H29" i="70" s="1"/>
  <c r="I29" i="70" s="1"/>
  <c r="E18" i="70"/>
  <c r="H18" i="70" s="1"/>
  <c r="I18" i="70" s="1"/>
  <c r="E23" i="70"/>
  <c r="H23" i="70" s="1"/>
  <c r="I23" i="70" s="1"/>
  <c r="E39" i="71"/>
  <c r="I39" i="71" s="1"/>
  <c r="E42" i="71"/>
  <c r="I42" i="71" s="1"/>
  <c r="E40" i="71"/>
  <c r="I40" i="71" s="1"/>
  <c r="E43" i="71"/>
  <c r="I43" i="71" s="1"/>
  <c r="E38" i="71"/>
  <c r="I38" i="71" s="1"/>
  <c r="E41" i="71"/>
  <c r="I41" i="71" s="1"/>
  <c r="E26" i="71"/>
  <c r="H26" i="71" s="1"/>
  <c r="I26" i="71" s="1"/>
  <c r="E16" i="71"/>
  <c r="H16" i="71" s="1"/>
  <c r="I16" i="71" s="1"/>
  <c r="E29" i="68"/>
  <c r="H29" i="68" s="1"/>
  <c r="I29" i="68" s="1"/>
  <c r="E27" i="68"/>
  <c r="H27" i="68" s="1"/>
  <c r="I27" i="68" s="1"/>
  <c r="R85" i="78"/>
  <c r="P104" i="77"/>
  <c r="P106" i="77"/>
  <c r="P105" i="77"/>
  <c r="T8" i="71"/>
  <c r="E14" i="68"/>
  <c r="E16" i="68"/>
  <c r="H16" i="68" s="1"/>
  <c r="I16" i="68" s="1"/>
  <c r="E28" i="68"/>
  <c r="H28" i="68" s="1"/>
  <c r="I28" i="68" s="1"/>
  <c r="E15" i="68"/>
  <c r="J15" i="68" s="1"/>
  <c r="E20" i="68"/>
  <c r="H20" i="68" s="1"/>
  <c r="I20" i="68" s="1"/>
  <c r="E22" i="68"/>
  <c r="H22" i="68" s="1"/>
  <c r="I22" i="68" s="1"/>
  <c r="E20" i="71"/>
  <c r="H20" i="71" s="1"/>
  <c r="I20" i="71" s="1"/>
  <c r="E26" i="68"/>
  <c r="H26" i="68" s="1"/>
  <c r="I26" i="68" s="1"/>
  <c r="E20" i="77"/>
  <c r="H20" i="77" s="1"/>
  <c r="I20" i="77" s="1"/>
  <c r="E17" i="77"/>
  <c r="J17" i="77" s="1"/>
  <c r="E27" i="77"/>
  <c r="H27" i="77" s="1"/>
  <c r="I27" i="77" s="1"/>
  <c r="E22" i="77"/>
  <c r="H22" i="77" s="1"/>
  <c r="I22" i="77" s="1"/>
  <c r="E14" i="77"/>
  <c r="E29" i="77"/>
  <c r="H29" i="77" s="1"/>
  <c r="I29" i="77" s="1"/>
  <c r="E19" i="77"/>
  <c r="J19" i="77" s="1"/>
  <c r="E24" i="77"/>
  <c r="H24" i="77" s="1"/>
  <c r="I24" i="77" s="1"/>
  <c r="E16" i="77"/>
  <c r="H16" i="77" s="1"/>
  <c r="I16" i="77" s="1"/>
  <c r="E26" i="77"/>
  <c r="H26" i="77" s="1"/>
  <c r="I26" i="77" s="1"/>
  <c r="E21" i="77"/>
  <c r="H21" i="77" s="1"/>
  <c r="I21" i="77" s="1"/>
  <c r="E28" i="77"/>
  <c r="H28" i="77" s="1"/>
  <c r="I28" i="77" s="1"/>
  <c r="E18" i="77"/>
  <c r="H18" i="77" s="1"/>
  <c r="I18" i="77" s="1"/>
  <c r="E23" i="77"/>
  <c r="H23" i="77" s="1"/>
  <c r="I23" i="77" s="1"/>
  <c r="E25" i="71"/>
  <c r="H25" i="71" s="1"/>
  <c r="I25" i="71" s="1"/>
  <c r="P104" i="78"/>
  <c r="P106" i="78"/>
  <c r="R90" i="78"/>
  <c r="E19" i="62"/>
  <c r="E20" i="62" s="1"/>
  <c r="E26" i="62" s="1"/>
  <c r="E28" i="62" s="1"/>
  <c r="E39" i="78"/>
  <c r="I39" i="78" s="1"/>
  <c r="E42" i="78"/>
  <c r="I42" i="78" s="1"/>
  <c r="E40" i="78"/>
  <c r="I40" i="78" s="1"/>
  <c r="E43" i="78"/>
  <c r="I43" i="78" s="1"/>
  <c r="E38" i="78"/>
  <c r="I38" i="78" s="1"/>
  <c r="E41" i="78"/>
  <c r="I41" i="78" s="1"/>
  <c r="E26" i="78"/>
  <c r="H26" i="78" s="1"/>
  <c r="I26" i="78" s="1"/>
  <c r="E16" i="78"/>
  <c r="H16" i="78" s="1"/>
  <c r="I16" i="78" s="1"/>
  <c r="T121" i="30"/>
  <c r="E29" i="30"/>
  <c r="H29" i="30" s="1"/>
  <c r="I29" i="30" s="1"/>
  <c r="E14" i="30"/>
  <c r="E43" i="30"/>
  <c r="I43" i="30" s="1"/>
  <c r="E40" i="30"/>
  <c r="I40" i="30" s="1"/>
  <c r="R96" i="78"/>
  <c r="R88" i="78"/>
  <c r="I123" i="30"/>
  <c r="E27" i="30"/>
  <c r="H27" i="30" s="1"/>
  <c r="I27" i="30" s="1"/>
  <c r="E17" i="30"/>
  <c r="J17" i="30" s="1"/>
  <c r="R94" i="77"/>
  <c r="E41" i="77"/>
  <c r="I41" i="77" s="1"/>
  <c r="E38" i="77"/>
  <c r="I38" i="77" s="1"/>
  <c r="T121" i="78"/>
  <c r="E29" i="78"/>
  <c r="H29" i="78" s="1"/>
  <c r="I29" i="78" s="1"/>
  <c r="E14" i="78"/>
  <c r="E20" i="30"/>
  <c r="H20" i="30" s="1"/>
  <c r="I20" i="30" s="1"/>
  <c r="H123" i="78"/>
  <c r="E22" i="78"/>
  <c r="H22" i="78" s="1"/>
  <c r="I22" i="78" s="1"/>
  <c r="T122" i="30"/>
  <c r="E25" i="30"/>
  <c r="H25" i="30" s="1"/>
  <c r="I25" i="30" s="1"/>
  <c r="R96" i="77"/>
  <c r="R88" i="77"/>
  <c r="E17" i="78"/>
  <c r="J17" i="78" s="1"/>
  <c r="R90" i="30"/>
  <c r="R85" i="30"/>
  <c r="E42" i="30"/>
  <c r="I42" i="30" s="1"/>
  <c r="E39" i="30"/>
  <c r="I39" i="30" s="1"/>
  <c r="E15" i="30"/>
  <c r="J15" i="30" s="1"/>
  <c r="R92" i="78"/>
  <c r="E20" i="78"/>
  <c r="H20" i="78" s="1"/>
  <c r="I20" i="78" s="1"/>
  <c r="E23" i="30"/>
  <c r="H23" i="30" s="1"/>
  <c r="I23" i="30" s="1"/>
  <c r="E18" i="30"/>
  <c r="H18" i="30" s="1"/>
  <c r="I18" i="30" s="1"/>
  <c r="E43" i="77"/>
  <c r="I43" i="77" s="1"/>
  <c r="E25" i="78"/>
  <c r="H25" i="78" s="1"/>
  <c r="I25" i="78" s="1"/>
  <c r="E28" i="30"/>
  <c r="H28" i="30" s="1"/>
  <c r="I28" i="30" s="1"/>
  <c r="E41" i="30"/>
  <c r="I41" i="30" s="1"/>
  <c r="E26" i="30"/>
  <c r="H26" i="30" s="1"/>
  <c r="I26" i="30" s="1"/>
  <c r="I115" i="60" l="1"/>
  <c r="I114" i="60"/>
  <c r="E18" i="60"/>
  <c r="E15" i="60"/>
  <c r="E16" i="60"/>
  <c r="J17" i="7"/>
  <c r="E17" i="60"/>
  <c r="H28" i="7"/>
  <c r="H28" i="60" s="1"/>
  <c r="E28" i="60"/>
  <c r="H24" i="7"/>
  <c r="H24" i="60" s="1"/>
  <c r="E24" i="60"/>
  <c r="H21" i="7"/>
  <c r="I21" i="7" s="1"/>
  <c r="E21" i="60"/>
  <c r="H27" i="7"/>
  <c r="I27" i="7" s="1"/>
  <c r="I27" i="60" s="1"/>
  <c r="E27" i="60"/>
  <c r="H26" i="7"/>
  <c r="H26" i="60" s="1"/>
  <c r="E26" i="60"/>
  <c r="H14" i="7"/>
  <c r="I14" i="7" s="1"/>
  <c r="E14" i="60"/>
  <c r="H25" i="7"/>
  <c r="I25" i="7" s="1"/>
  <c r="E25" i="60"/>
  <c r="H29" i="7"/>
  <c r="I29" i="7" s="1"/>
  <c r="E29" i="60"/>
  <c r="J19" i="7"/>
  <c r="E19" i="60"/>
  <c r="H20" i="7"/>
  <c r="I20" i="7" s="1"/>
  <c r="I20" i="60" s="1"/>
  <c r="E20" i="60"/>
  <c r="H22" i="7"/>
  <c r="I22" i="7" s="1"/>
  <c r="I22" i="60" s="1"/>
  <c r="E22" i="60"/>
  <c r="H23" i="7"/>
  <c r="I23" i="7" s="1"/>
  <c r="E23" i="60"/>
  <c r="H19" i="35"/>
  <c r="I19" i="35" s="1"/>
  <c r="I123" i="69"/>
  <c r="H19" i="75"/>
  <c r="I19" i="75" s="1"/>
  <c r="J19" i="75"/>
  <c r="H19" i="76"/>
  <c r="I19" i="76" s="1"/>
  <c r="J19" i="76"/>
  <c r="H17" i="56"/>
  <c r="I17" i="56" s="1"/>
  <c r="J17" i="56"/>
  <c r="H19" i="55"/>
  <c r="I19" i="55" s="1"/>
  <c r="J19" i="55"/>
  <c r="H19" i="33"/>
  <c r="I19" i="33" s="1"/>
  <c r="J19" i="33"/>
  <c r="H17" i="23"/>
  <c r="I17" i="23" s="1"/>
  <c r="J17" i="23"/>
  <c r="H19" i="7"/>
  <c r="I19" i="7" s="1"/>
  <c r="H17" i="55"/>
  <c r="I17" i="55" s="1"/>
  <c r="J17" i="55"/>
  <c r="H17" i="42"/>
  <c r="I17" i="42" s="1"/>
  <c r="J17" i="42"/>
  <c r="H15" i="47"/>
  <c r="I15" i="47" s="1"/>
  <c r="J15" i="47"/>
  <c r="H19" i="42"/>
  <c r="I19" i="42" s="1"/>
  <c r="J19" i="42"/>
  <c r="H19" i="71"/>
  <c r="I19" i="71" s="1"/>
  <c r="J19" i="71"/>
  <c r="H19" i="57"/>
  <c r="I19" i="57" s="1"/>
  <c r="J19" i="57"/>
  <c r="H17" i="47"/>
  <c r="I17" i="47" s="1"/>
  <c r="J17" i="47"/>
  <c r="H19" i="44"/>
  <c r="I19" i="44" s="1"/>
  <c r="J19" i="44"/>
  <c r="H19" i="69"/>
  <c r="I19" i="69" s="1"/>
  <c r="J19" i="69"/>
  <c r="H19" i="56"/>
  <c r="I19" i="56" s="1"/>
  <c r="J19" i="56"/>
  <c r="H15" i="52"/>
  <c r="I15" i="52" s="1"/>
  <c r="J15" i="52"/>
  <c r="H17" i="48"/>
  <c r="I17" i="48" s="1"/>
  <c r="J17" i="48"/>
  <c r="H15" i="69"/>
  <c r="I15" i="69" s="1"/>
  <c r="J15" i="69"/>
  <c r="H19" i="39"/>
  <c r="I19" i="39" s="1"/>
  <c r="J19" i="39"/>
  <c r="H17" i="35"/>
  <c r="I17" i="35" s="1"/>
  <c r="J17" i="35"/>
  <c r="H19" i="16"/>
  <c r="I19" i="16" s="1"/>
  <c r="J19" i="16"/>
  <c r="H15" i="26"/>
  <c r="I15" i="26" s="1"/>
  <c r="J15" i="26"/>
  <c r="H17" i="39"/>
  <c r="I17" i="39" s="1"/>
  <c r="J17" i="39"/>
  <c r="H19" i="47"/>
  <c r="I19" i="47" s="1"/>
  <c r="J19" i="47"/>
  <c r="H19" i="68"/>
  <c r="I19" i="68" s="1"/>
  <c r="J19" i="68"/>
  <c r="H19" i="51"/>
  <c r="I19" i="51" s="1"/>
  <c r="J19" i="51"/>
  <c r="H19" i="43"/>
  <c r="I19" i="43" s="1"/>
  <c r="J19" i="43"/>
  <c r="H15" i="7"/>
  <c r="I15" i="7" s="1"/>
  <c r="J15" i="7"/>
  <c r="H17" i="51"/>
  <c r="I17" i="51" s="1"/>
  <c r="J17" i="51"/>
  <c r="H17" i="33"/>
  <c r="I17" i="33" s="1"/>
  <c r="J17" i="33"/>
  <c r="H15" i="40"/>
  <c r="I15" i="40" s="1"/>
  <c r="J15" i="40"/>
  <c r="H17" i="16"/>
  <c r="I17" i="16" s="1"/>
  <c r="J17" i="16"/>
  <c r="H17" i="52"/>
  <c r="I17" i="52" s="1"/>
  <c r="J17" i="52"/>
  <c r="H17" i="43"/>
  <c r="I17" i="43" s="1"/>
  <c r="J17" i="43"/>
  <c r="H19" i="27"/>
  <c r="I19" i="27" s="1"/>
  <c r="J19" i="27"/>
  <c r="H17" i="34"/>
  <c r="I17" i="34" s="1"/>
  <c r="J17" i="34"/>
  <c r="H17" i="17"/>
  <c r="J17" i="17"/>
  <c r="H17" i="44"/>
  <c r="I17" i="44" s="1"/>
  <c r="J17" i="44"/>
  <c r="H19" i="30"/>
  <c r="I19" i="30" s="1"/>
  <c r="J19" i="30"/>
  <c r="H19" i="34"/>
  <c r="I19" i="34" s="1"/>
  <c r="J19" i="34"/>
  <c r="H15" i="33"/>
  <c r="I15" i="33" s="1"/>
  <c r="J15" i="33"/>
  <c r="H17" i="27"/>
  <c r="I17" i="27" s="1"/>
  <c r="J17" i="27"/>
  <c r="T123" i="68"/>
  <c r="E44" i="68"/>
  <c r="I123" i="56"/>
  <c r="I124" i="56" s="1"/>
  <c r="I123" i="23"/>
  <c r="I124" i="23" s="1"/>
  <c r="I123" i="21"/>
  <c r="I124" i="21" s="1"/>
  <c r="I18" i="7"/>
  <c r="I18" i="60" s="1"/>
  <c r="H18" i="60"/>
  <c r="H31" i="60"/>
  <c r="I123" i="48"/>
  <c r="I124" i="48" s="1"/>
  <c r="I123" i="52"/>
  <c r="I124" i="52" s="1"/>
  <c r="T123" i="35"/>
  <c r="T123" i="47"/>
  <c r="E44" i="33"/>
  <c r="H15" i="78"/>
  <c r="I15" i="78" s="1"/>
  <c r="H15" i="67"/>
  <c r="I15" i="67" s="1"/>
  <c r="H15" i="77"/>
  <c r="I15" i="77" s="1"/>
  <c r="H15" i="56"/>
  <c r="I15" i="56" s="1"/>
  <c r="H15" i="17"/>
  <c r="I15" i="17" s="1"/>
  <c r="H15" i="70"/>
  <c r="I15" i="70" s="1"/>
  <c r="H15" i="43"/>
  <c r="I15" i="43" s="1"/>
  <c r="H15" i="71"/>
  <c r="I15" i="71" s="1"/>
  <c r="H15" i="36"/>
  <c r="I15" i="36" s="1"/>
  <c r="H15" i="50"/>
  <c r="I15" i="50" s="1"/>
  <c r="H15" i="76"/>
  <c r="I15" i="76" s="1"/>
  <c r="H15" i="35"/>
  <c r="I15" i="35" s="1"/>
  <c r="H15" i="32"/>
  <c r="I15" i="32" s="1"/>
  <c r="H15" i="23"/>
  <c r="I15" i="23" s="1"/>
  <c r="H15" i="44"/>
  <c r="I15" i="44" s="1"/>
  <c r="P104" i="76"/>
  <c r="I123" i="75"/>
  <c r="I124" i="75" s="1"/>
  <c r="P106" i="68"/>
  <c r="I123" i="18"/>
  <c r="I124" i="18" s="1"/>
  <c r="E44" i="22"/>
  <c r="P104" i="21"/>
  <c r="I123" i="37"/>
  <c r="I124" i="37" s="1"/>
  <c r="I123" i="34"/>
  <c r="I124" i="34" s="1"/>
  <c r="E44" i="24"/>
  <c r="I123" i="51"/>
  <c r="I124" i="51" s="1"/>
  <c r="I44" i="22"/>
  <c r="E44" i="25"/>
  <c r="P105" i="23"/>
  <c r="I124" i="42"/>
  <c r="H19" i="70"/>
  <c r="I19" i="70" s="1"/>
  <c r="E44" i="38"/>
  <c r="P105" i="76"/>
  <c r="E44" i="32"/>
  <c r="E44" i="18"/>
  <c r="E44" i="43"/>
  <c r="E44" i="76"/>
  <c r="I44" i="69"/>
  <c r="P106" i="30"/>
  <c r="P105" i="30"/>
  <c r="P104" i="33"/>
  <c r="I44" i="68"/>
  <c r="P104" i="68"/>
  <c r="P104" i="40"/>
  <c r="P105" i="40"/>
  <c r="I124" i="71"/>
  <c r="I123" i="70"/>
  <c r="I124" i="70" s="1"/>
  <c r="H19" i="52"/>
  <c r="I19" i="52" s="1"/>
  <c r="E30" i="52"/>
  <c r="I124" i="44"/>
  <c r="I124" i="35"/>
  <c r="I124" i="32"/>
  <c r="I44" i="28"/>
  <c r="E44" i="28"/>
  <c r="P106" i="27"/>
  <c r="P104" i="27"/>
  <c r="E44" i="36"/>
  <c r="I124" i="30"/>
  <c r="P104" i="24"/>
  <c r="P106" i="24"/>
  <c r="P105" i="24"/>
  <c r="I124" i="27"/>
  <c r="I123" i="26"/>
  <c r="I124" i="26" s="1"/>
  <c r="T123" i="26"/>
  <c r="P104" i="50"/>
  <c r="P105" i="50"/>
  <c r="H17" i="68"/>
  <c r="I17" i="68" s="1"/>
  <c r="I44" i="38"/>
  <c r="E44" i="39"/>
  <c r="I44" i="25"/>
  <c r="E30" i="34"/>
  <c r="H17" i="71"/>
  <c r="I17" i="71" s="1"/>
  <c r="E44" i="69"/>
  <c r="P105" i="28"/>
  <c r="P104" i="28"/>
  <c r="E44" i="21"/>
  <c r="I44" i="21"/>
  <c r="H19" i="32"/>
  <c r="I19" i="32" s="1"/>
  <c r="H14" i="52"/>
  <c r="H17" i="76"/>
  <c r="I17" i="76" s="1"/>
  <c r="E44" i="50"/>
  <c r="I124" i="43"/>
  <c r="T123" i="16"/>
  <c r="I124" i="69"/>
  <c r="I124" i="67"/>
  <c r="I124" i="47"/>
  <c r="I44" i="32"/>
  <c r="I44" i="18"/>
  <c r="H19" i="78"/>
  <c r="I19" i="78" s="1"/>
  <c r="I124" i="24"/>
  <c r="I123" i="33"/>
  <c r="I124" i="33" s="1"/>
  <c r="I124" i="28"/>
  <c r="P105" i="33"/>
  <c r="P106" i="50"/>
  <c r="P104" i="23"/>
  <c r="P105" i="17"/>
  <c r="P106" i="17"/>
  <c r="P104" i="66"/>
  <c r="P105" i="66"/>
  <c r="P105" i="37"/>
  <c r="P104" i="37"/>
  <c r="I44" i="50"/>
  <c r="D32" i="60"/>
  <c r="E123" i="60" s="1"/>
  <c r="I123" i="60" s="1"/>
  <c r="I125" i="60" s="1"/>
  <c r="E44" i="7"/>
  <c r="P105" i="21"/>
  <c r="I44" i="76"/>
  <c r="I44" i="36"/>
  <c r="P106" i="38"/>
  <c r="P104" i="38"/>
  <c r="P105" i="38"/>
  <c r="I44" i="33"/>
  <c r="I44" i="34"/>
  <c r="I44" i="20"/>
  <c r="P105" i="69"/>
  <c r="P106" i="69"/>
  <c r="P104" i="69"/>
  <c r="P105" i="36"/>
  <c r="P104" i="36"/>
  <c r="P106" i="36"/>
  <c r="P104" i="75"/>
  <c r="P105" i="75"/>
  <c r="P106" i="75"/>
  <c r="I44" i="47"/>
  <c r="I44" i="23"/>
  <c r="I44" i="39"/>
  <c r="P106" i="22"/>
  <c r="P105" i="22"/>
  <c r="I44" i="43"/>
  <c r="I44" i="27"/>
  <c r="E30" i="36"/>
  <c r="H14" i="36"/>
  <c r="I14" i="36" s="1"/>
  <c r="E41" i="60"/>
  <c r="P104" i="71"/>
  <c r="P105" i="71"/>
  <c r="P106" i="71"/>
  <c r="H17" i="57"/>
  <c r="I17" i="57" s="1"/>
  <c r="E30" i="75"/>
  <c r="H14" i="75"/>
  <c r="I14" i="75" s="1"/>
  <c r="E30" i="55"/>
  <c r="E44" i="75"/>
  <c r="I44" i="75"/>
  <c r="H14" i="47"/>
  <c r="I14" i="47" s="1"/>
  <c r="E30" i="47"/>
  <c r="E30" i="42"/>
  <c r="H15" i="42"/>
  <c r="I15" i="42" s="1"/>
  <c r="H15" i="45"/>
  <c r="I15" i="45" s="1"/>
  <c r="P104" i="44"/>
  <c r="P106" i="44"/>
  <c r="P105" i="44"/>
  <c r="H19" i="36"/>
  <c r="I19" i="36" s="1"/>
  <c r="H14" i="31"/>
  <c r="I14" i="31" s="1"/>
  <c r="E30" i="31"/>
  <c r="H21" i="18"/>
  <c r="I21" i="18" s="1"/>
  <c r="I44" i="16"/>
  <c r="H15" i="22"/>
  <c r="I15" i="22" s="1"/>
  <c r="I43" i="60"/>
  <c r="E43" i="60"/>
  <c r="H17" i="18"/>
  <c r="I17" i="18" s="1"/>
  <c r="H23" i="16"/>
  <c r="H23" i="60" s="1"/>
  <c r="E42" i="60"/>
  <c r="E44" i="16"/>
  <c r="I123" i="78"/>
  <c r="I124" i="78" s="1"/>
  <c r="T123" i="78"/>
  <c r="P106" i="67"/>
  <c r="P104" i="67"/>
  <c r="P105" i="67"/>
  <c r="H17" i="58"/>
  <c r="I17" i="58" s="1"/>
  <c r="H19" i="66"/>
  <c r="I19" i="66" s="1"/>
  <c r="E30" i="56"/>
  <c r="H15" i="48"/>
  <c r="I15" i="48" s="1"/>
  <c r="E30" i="50"/>
  <c r="H14" i="50"/>
  <c r="I14" i="50" s="1"/>
  <c r="P106" i="42"/>
  <c r="P104" i="42"/>
  <c r="P105" i="42"/>
  <c r="E44" i="27"/>
  <c r="H15" i="31"/>
  <c r="I15" i="31" s="1"/>
  <c r="H17" i="28"/>
  <c r="I17" i="28" s="1"/>
  <c r="H14" i="28"/>
  <c r="I14" i="28" s="1"/>
  <c r="E30" i="28"/>
  <c r="E30" i="17"/>
  <c r="H14" i="17"/>
  <c r="I14" i="17" s="1"/>
  <c r="E44" i="20"/>
  <c r="E30" i="16"/>
  <c r="H14" i="16"/>
  <c r="I14" i="16" s="1"/>
  <c r="E30" i="25"/>
  <c r="H14" i="25"/>
  <c r="I14" i="25" s="1"/>
  <c r="E40" i="60"/>
  <c r="E30" i="77"/>
  <c r="H14" i="77"/>
  <c r="I14" i="77" s="1"/>
  <c r="H17" i="45"/>
  <c r="I17" i="45" s="1"/>
  <c r="I123" i="38"/>
  <c r="I124" i="38" s="1"/>
  <c r="T123" i="38"/>
  <c r="H17" i="30"/>
  <c r="I17" i="30" s="1"/>
  <c r="H17" i="77"/>
  <c r="I17" i="77" s="1"/>
  <c r="E30" i="70"/>
  <c r="H14" i="70"/>
  <c r="I14" i="70" s="1"/>
  <c r="I123" i="77"/>
  <c r="I124" i="77" s="1"/>
  <c r="T123" i="77"/>
  <c r="H15" i="75"/>
  <c r="I15" i="75" s="1"/>
  <c r="P106" i="55"/>
  <c r="P105" i="55"/>
  <c r="P104" i="55"/>
  <c r="H14" i="51"/>
  <c r="I14" i="51" s="1"/>
  <c r="E30" i="51"/>
  <c r="C106" i="47"/>
  <c r="H106" i="47" s="1"/>
  <c r="H19" i="38"/>
  <c r="I19" i="38" s="1"/>
  <c r="I44" i="37"/>
  <c r="E44" i="37"/>
  <c r="H19" i="26"/>
  <c r="I19" i="26" s="1"/>
  <c r="I123" i="22"/>
  <c r="I124" i="22" s="1"/>
  <c r="T123" i="22"/>
  <c r="H29" i="17"/>
  <c r="H17" i="24"/>
  <c r="I17" i="24" s="1"/>
  <c r="H15" i="21"/>
  <c r="I15" i="21" s="1"/>
  <c r="I123" i="25"/>
  <c r="I124" i="25" s="1"/>
  <c r="T123" i="25"/>
  <c r="H16" i="7"/>
  <c r="H19" i="28"/>
  <c r="I19" i="28" s="1"/>
  <c r="E44" i="71"/>
  <c r="I44" i="71"/>
  <c r="H15" i="58"/>
  <c r="I15" i="58" s="1"/>
  <c r="I124" i="76"/>
  <c r="I123" i="50"/>
  <c r="I124" i="50" s="1"/>
  <c r="T123" i="50"/>
  <c r="P105" i="39"/>
  <c r="P104" i="39"/>
  <c r="P106" i="39"/>
  <c r="E44" i="34"/>
  <c r="H15" i="18"/>
  <c r="I15" i="18" s="1"/>
  <c r="H15" i="28"/>
  <c r="I15" i="28" s="1"/>
  <c r="H15" i="24"/>
  <c r="I15" i="24" s="1"/>
  <c r="I44" i="7"/>
  <c r="H19" i="22"/>
  <c r="I19" i="22" s="1"/>
  <c r="H14" i="68"/>
  <c r="I14" i="68" s="1"/>
  <c r="E30" i="68"/>
  <c r="E44" i="56"/>
  <c r="I44" i="56"/>
  <c r="H17" i="50"/>
  <c r="I17" i="50" s="1"/>
  <c r="E30" i="32"/>
  <c r="H14" i="32"/>
  <c r="I14" i="32" s="1"/>
  <c r="E30" i="38"/>
  <c r="H14" i="38"/>
  <c r="I14" i="38" s="1"/>
  <c r="I44" i="17"/>
  <c r="E44" i="17"/>
  <c r="H17" i="78"/>
  <c r="I17" i="78" s="1"/>
  <c r="H17" i="70"/>
  <c r="I17" i="70" s="1"/>
  <c r="I44" i="45"/>
  <c r="E44" i="45"/>
  <c r="H15" i="39"/>
  <c r="I15" i="39" s="1"/>
  <c r="H17" i="36"/>
  <c r="I17" i="36" s="1"/>
  <c r="I44" i="26"/>
  <c r="E44" i="26"/>
  <c r="I44" i="24"/>
  <c r="H19" i="31"/>
  <c r="I19" i="31" s="1"/>
  <c r="H17" i="21"/>
  <c r="I17" i="21" s="1"/>
  <c r="H15" i="25"/>
  <c r="I15" i="25" s="1"/>
  <c r="E30" i="7"/>
  <c r="H14" i="22"/>
  <c r="I14" i="22" s="1"/>
  <c r="E30" i="22"/>
  <c r="P105" i="16"/>
  <c r="P104" i="16"/>
  <c r="P106" i="16"/>
  <c r="E30" i="78"/>
  <c r="H14" i="78"/>
  <c r="I14" i="78" s="1"/>
  <c r="E29" i="62"/>
  <c r="E30" i="62" s="1"/>
  <c r="I31" i="60"/>
  <c r="H17" i="69"/>
  <c r="I17" i="69" s="1"/>
  <c r="I124" i="68"/>
  <c r="E44" i="67"/>
  <c r="I44" i="67"/>
  <c r="E30" i="66"/>
  <c r="H14" i="66"/>
  <c r="I14" i="66" s="1"/>
  <c r="E30" i="57"/>
  <c r="H14" i="57"/>
  <c r="I14" i="57" s="1"/>
  <c r="P104" i="57"/>
  <c r="P105" i="57"/>
  <c r="P106" i="57"/>
  <c r="E44" i="57"/>
  <c r="P104" i="47"/>
  <c r="P106" i="47"/>
  <c r="P105" i="47"/>
  <c r="H19" i="45"/>
  <c r="I19" i="45" s="1"/>
  <c r="I44" i="42"/>
  <c r="E30" i="40"/>
  <c r="H19" i="37"/>
  <c r="I19" i="37" s="1"/>
  <c r="E44" i="23"/>
  <c r="H15" i="27"/>
  <c r="I15" i="27" s="1"/>
  <c r="P106" i="34"/>
  <c r="P105" i="34"/>
  <c r="P104" i="34"/>
  <c r="H19" i="17"/>
  <c r="I19" i="17" s="1"/>
  <c r="I123" i="31"/>
  <c r="I124" i="31" s="1"/>
  <c r="T123" i="31"/>
  <c r="I122" i="7"/>
  <c r="H14" i="58"/>
  <c r="I14" i="58" s="1"/>
  <c r="E30" i="58"/>
  <c r="H17" i="40"/>
  <c r="I17" i="40" s="1"/>
  <c r="E44" i="30"/>
  <c r="H17" i="67"/>
  <c r="I17" i="67" s="1"/>
  <c r="I44" i="57"/>
  <c r="E44" i="55"/>
  <c r="E44" i="51"/>
  <c r="H16" i="44"/>
  <c r="I16" i="44" s="1"/>
  <c r="E30" i="44"/>
  <c r="E44" i="47"/>
  <c r="E30" i="43"/>
  <c r="I124" i="40"/>
  <c r="E44" i="42"/>
  <c r="H19" i="23"/>
  <c r="I19" i="23" s="1"/>
  <c r="H17" i="38"/>
  <c r="I17" i="38" s="1"/>
  <c r="H17" i="26"/>
  <c r="I17" i="26" s="1"/>
  <c r="E30" i="26"/>
  <c r="H14" i="26"/>
  <c r="I14" i="26" s="1"/>
  <c r="E30" i="27"/>
  <c r="H19" i="18"/>
  <c r="I19" i="18" s="1"/>
  <c r="H17" i="7"/>
  <c r="E30" i="18"/>
  <c r="H17" i="22"/>
  <c r="I17" i="22" s="1"/>
  <c r="E44" i="44"/>
  <c r="I44" i="44"/>
  <c r="E30" i="23"/>
  <c r="H14" i="23"/>
  <c r="I14" i="23" s="1"/>
  <c r="H17" i="25"/>
  <c r="I17" i="25" s="1"/>
  <c r="I44" i="30"/>
  <c r="E30" i="71"/>
  <c r="I123" i="57"/>
  <c r="I124" i="57" s="1"/>
  <c r="T123" i="57"/>
  <c r="H15" i="55"/>
  <c r="I15" i="55" s="1"/>
  <c r="I44" i="55"/>
  <c r="E30" i="76"/>
  <c r="I44" i="51"/>
  <c r="H14" i="45"/>
  <c r="I14" i="45" s="1"/>
  <c r="E30" i="45"/>
  <c r="I123" i="39"/>
  <c r="I124" i="39" s="1"/>
  <c r="T123" i="39"/>
  <c r="H14" i="37"/>
  <c r="I14" i="37" s="1"/>
  <c r="E30" i="37"/>
  <c r="H17" i="32"/>
  <c r="I17" i="32" s="1"/>
  <c r="H16" i="35"/>
  <c r="I16" i="35" s="1"/>
  <c r="E30" i="35"/>
  <c r="I44" i="31"/>
  <c r="E44" i="31"/>
  <c r="H14" i="24"/>
  <c r="I14" i="24" s="1"/>
  <c r="E30" i="24"/>
  <c r="H17" i="31"/>
  <c r="I17" i="31" s="1"/>
  <c r="E30" i="20"/>
  <c r="H15" i="20"/>
  <c r="I15" i="20" s="1"/>
  <c r="H19" i="20"/>
  <c r="I19" i="20" s="1"/>
  <c r="I123" i="7"/>
  <c r="T123" i="7"/>
  <c r="E30" i="21"/>
  <c r="H14" i="67"/>
  <c r="I14" i="67" s="1"/>
  <c r="E30" i="67"/>
  <c r="H15" i="57"/>
  <c r="I15" i="57" s="1"/>
  <c r="I44" i="58"/>
  <c r="E44" i="58"/>
  <c r="H15" i="34"/>
  <c r="I15" i="34" s="1"/>
  <c r="H17" i="20"/>
  <c r="I17" i="20" s="1"/>
  <c r="E39" i="60"/>
  <c r="H15" i="68"/>
  <c r="I15" i="68" s="1"/>
  <c r="I44" i="77"/>
  <c r="E44" i="77"/>
  <c r="H19" i="77"/>
  <c r="I19" i="77" s="1"/>
  <c r="E44" i="70"/>
  <c r="I44" i="70"/>
  <c r="H19" i="58"/>
  <c r="I19" i="58" s="1"/>
  <c r="E30" i="69"/>
  <c r="H17" i="66"/>
  <c r="I17" i="66" s="1"/>
  <c r="T123" i="55"/>
  <c r="I123" i="55"/>
  <c r="I124" i="55" s="1"/>
  <c r="E30" i="48"/>
  <c r="I123" i="45"/>
  <c r="I124" i="45" s="1"/>
  <c r="T123" i="45"/>
  <c r="H19" i="40"/>
  <c r="I19" i="40" s="1"/>
  <c r="H15" i="38"/>
  <c r="I15" i="38" s="1"/>
  <c r="E44" i="40"/>
  <c r="H19" i="21"/>
  <c r="I19" i="21" s="1"/>
  <c r="H19" i="24"/>
  <c r="I19" i="24" s="1"/>
  <c r="I124" i="17"/>
  <c r="H19" i="25"/>
  <c r="I19" i="25" s="1"/>
  <c r="I121" i="7"/>
  <c r="E30" i="30"/>
  <c r="H14" i="30"/>
  <c r="I14" i="30" s="1"/>
  <c r="H15" i="66"/>
  <c r="I15" i="66" s="1"/>
  <c r="H19" i="50"/>
  <c r="I19" i="50" s="1"/>
  <c r="P106" i="48"/>
  <c r="P105" i="48"/>
  <c r="P104" i="48"/>
  <c r="I123" i="58"/>
  <c r="I124" i="58" s="1"/>
  <c r="T123" i="58"/>
  <c r="I123" i="66"/>
  <c r="I124" i="66" s="1"/>
  <c r="T123" i="66"/>
  <c r="I44" i="52"/>
  <c r="E44" i="52"/>
  <c r="H15" i="30"/>
  <c r="I15" i="30" s="1"/>
  <c r="E44" i="78"/>
  <c r="I44" i="78"/>
  <c r="H19" i="67"/>
  <c r="I19" i="67" s="1"/>
  <c r="I44" i="66"/>
  <c r="E44" i="66"/>
  <c r="H17" i="75"/>
  <c r="I17" i="75" s="1"/>
  <c r="H15" i="51"/>
  <c r="I15" i="51" s="1"/>
  <c r="H19" i="48"/>
  <c r="I19" i="48" s="1"/>
  <c r="E44" i="48"/>
  <c r="I44" i="48"/>
  <c r="H15" i="37"/>
  <c r="I15" i="37" s="1"/>
  <c r="H17" i="37"/>
  <c r="I17" i="37" s="1"/>
  <c r="I44" i="35"/>
  <c r="E44" i="35"/>
  <c r="E30" i="39"/>
  <c r="I44" i="40"/>
  <c r="I123" i="36"/>
  <c r="I124" i="36" s="1"/>
  <c r="T123" i="36"/>
  <c r="E30" i="33"/>
  <c r="I124" i="20"/>
  <c r="H15" i="16"/>
  <c r="I15" i="16" s="1"/>
  <c r="H25" i="16"/>
  <c r="E44" i="60"/>
  <c r="J115" i="60" l="1"/>
  <c r="I24" i="7"/>
  <c r="I24" i="60" s="1"/>
  <c r="I28" i="7"/>
  <c r="I28" i="60" s="1"/>
  <c r="H25" i="60"/>
  <c r="C105" i="56"/>
  <c r="H105" i="56" s="1"/>
  <c r="H20" i="60"/>
  <c r="C105" i="47"/>
  <c r="H105" i="47" s="1"/>
  <c r="H29" i="60"/>
  <c r="C105" i="55"/>
  <c r="H105" i="55" s="1"/>
  <c r="I21" i="60"/>
  <c r="I15" i="60"/>
  <c r="I19" i="60"/>
  <c r="I26" i="7"/>
  <c r="I26" i="60" s="1"/>
  <c r="C106" i="76"/>
  <c r="H106" i="76" s="1"/>
  <c r="C106" i="7"/>
  <c r="C105" i="7"/>
  <c r="C104" i="40"/>
  <c r="H104" i="40" s="1"/>
  <c r="H106" i="7"/>
  <c r="C106" i="69"/>
  <c r="H106" i="69" s="1"/>
  <c r="C106" i="44"/>
  <c r="H106" i="44" s="1"/>
  <c r="C105" i="42"/>
  <c r="H105" i="42" s="1"/>
  <c r="C106" i="35"/>
  <c r="H106" i="35" s="1"/>
  <c r="C105" i="17"/>
  <c r="H105" i="17" s="1"/>
  <c r="C106" i="56"/>
  <c r="H106" i="56" s="1"/>
  <c r="C106" i="43"/>
  <c r="H106" i="43" s="1"/>
  <c r="C105" i="52"/>
  <c r="H105" i="52" s="1"/>
  <c r="C106" i="42"/>
  <c r="H106" i="42" s="1"/>
  <c r="C106" i="33"/>
  <c r="H106" i="33" s="1"/>
  <c r="C106" i="51"/>
  <c r="H106" i="51" s="1"/>
  <c r="C105" i="16"/>
  <c r="H105" i="16" s="1"/>
  <c r="C106" i="55"/>
  <c r="H106" i="55" s="1"/>
  <c r="C104" i="33"/>
  <c r="H104" i="33" s="1"/>
  <c r="H30" i="33"/>
  <c r="E46" i="33" s="1"/>
  <c r="C105" i="34"/>
  <c r="H105" i="34" s="1"/>
  <c r="C106" i="68"/>
  <c r="H106" i="68" s="1"/>
  <c r="I30" i="33"/>
  <c r="I46" i="33" s="1"/>
  <c r="C105" i="33"/>
  <c r="H105" i="33" s="1"/>
  <c r="C104" i="69"/>
  <c r="H104" i="69" s="1"/>
  <c r="H133" i="7"/>
  <c r="O8" i="72"/>
  <c r="C105" i="27"/>
  <c r="H105" i="27" s="1"/>
  <c r="C106" i="75"/>
  <c r="H106" i="75" s="1"/>
  <c r="C105" i="48"/>
  <c r="H105" i="48" s="1"/>
  <c r="C106" i="27"/>
  <c r="H106" i="27" s="1"/>
  <c r="C105" i="39"/>
  <c r="H105" i="39" s="1"/>
  <c r="C106" i="34"/>
  <c r="H106" i="34" s="1"/>
  <c r="C105" i="51"/>
  <c r="H105" i="51" s="1"/>
  <c r="C106" i="57"/>
  <c r="H106" i="57" s="1"/>
  <c r="C106" i="39"/>
  <c r="H106" i="39" s="1"/>
  <c r="C105" i="23"/>
  <c r="H105" i="23" s="1"/>
  <c r="C106" i="30"/>
  <c r="H106" i="30" s="1"/>
  <c r="C104" i="7"/>
  <c r="H104" i="7" s="1"/>
  <c r="C105" i="43"/>
  <c r="H105" i="43" s="1"/>
  <c r="C106" i="71"/>
  <c r="H106" i="71" s="1"/>
  <c r="I30" i="43"/>
  <c r="I46" i="43" s="1"/>
  <c r="H30" i="43"/>
  <c r="C72" i="43" s="1"/>
  <c r="C104" i="71"/>
  <c r="H104" i="71" s="1"/>
  <c r="C104" i="76"/>
  <c r="H104" i="76" s="1"/>
  <c r="H30" i="56"/>
  <c r="C72" i="56" s="1"/>
  <c r="H22" i="60"/>
  <c r="H19" i="60"/>
  <c r="I17" i="7"/>
  <c r="I17" i="60" s="1"/>
  <c r="H17" i="60"/>
  <c r="I16" i="7"/>
  <c r="I16" i="60" s="1"/>
  <c r="H16" i="60"/>
  <c r="H27" i="60"/>
  <c r="H14" i="60"/>
  <c r="H15" i="60"/>
  <c r="H21" i="60"/>
  <c r="C104" i="43"/>
  <c r="H104" i="43" s="1"/>
  <c r="C104" i="35"/>
  <c r="H104" i="35" s="1"/>
  <c r="C104" i="44"/>
  <c r="H104" i="44" s="1"/>
  <c r="C104" i="56"/>
  <c r="H133" i="45"/>
  <c r="U126" i="45" s="1"/>
  <c r="C75" i="45"/>
  <c r="H76" i="45" s="1"/>
  <c r="H92" i="45" s="1"/>
  <c r="C78" i="45"/>
  <c r="H79" i="45" s="1"/>
  <c r="H85" i="45" s="1"/>
  <c r="C81" i="45"/>
  <c r="H82" i="45" s="1"/>
  <c r="H90" i="45" s="1"/>
  <c r="H133" i="78"/>
  <c r="U126" i="78" s="1"/>
  <c r="C78" i="78"/>
  <c r="H79" i="78" s="1"/>
  <c r="H85" i="78" s="1"/>
  <c r="C81" i="78"/>
  <c r="H82" i="78" s="1"/>
  <c r="H90" i="78" s="1"/>
  <c r="C75" i="78"/>
  <c r="H76" i="78" s="1"/>
  <c r="H92" i="78" s="1"/>
  <c r="H133" i="50"/>
  <c r="U126" i="50" s="1"/>
  <c r="C75" i="50"/>
  <c r="H76" i="50" s="1"/>
  <c r="H92" i="50" s="1"/>
  <c r="C78" i="50"/>
  <c r="H79" i="50" s="1"/>
  <c r="H85" i="50" s="1"/>
  <c r="C81" i="50"/>
  <c r="H82" i="50" s="1"/>
  <c r="H90" i="50" s="1"/>
  <c r="H133" i="55"/>
  <c r="U126" i="55" s="1"/>
  <c r="C75" i="55"/>
  <c r="H76" i="55" s="1"/>
  <c r="H92" i="55" s="1"/>
  <c r="C78" i="55"/>
  <c r="H79" i="55" s="1"/>
  <c r="H85" i="55" s="1"/>
  <c r="C81" i="55"/>
  <c r="H82" i="55" s="1"/>
  <c r="H90" i="55" s="1"/>
  <c r="H133" i="40"/>
  <c r="U126" i="40" s="1"/>
  <c r="C75" i="40"/>
  <c r="H76" i="40" s="1"/>
  <c r="H92" i="40" s="1"/>
  <c r="C78" i="40"/>
  <c r="H79" i="40" s="1"/>
  <c r="H85" i="40" s="1"/>
  <c r="C81" i="40"/>
  <c r="H82" i="40" s="1"/>
  <c r="H90" i="40" s="1"/>
  <c r="H133" i="77"/>
  <c r="U126" i="77" s="1"/>
  <c r="C81" i="77"/>
  <c r="H82" i="77" s="1"/>
  <c r="H90" i="77" s="1"/>
  <c r="C78" i="77"/>
  <c r="H79" i="77" s="1"/>
  <c r="H85" i="77" s="1"/>
  <c r="C75" i="77"/>
  <c r="H76" i="77" s="1"/>
  <c r="H92" i="77" s="1"/>
  <c r="H133" i="17"/>
  <c r="U126" i="17" s="1"/>
  <c r="C75" i="17"/>
  <c r="H76" i="17" s="1"/>
  <c r="H92" i="17" s="1"/>
  <c r="C81" i="17"/>
  <c r="H82" i="17" s="1"/>
  <c r="H90" i="17" s="1"/>
  <c r="C78" i="17"/>
  <c r="H79" i="17" s="1"/>
  <c r="H85" i="17" s="1"/>
  <c r="H133" i="26"/>
  <c r="U126" i="26" s="1"/>
  <c r="C78" i="26"/>
  <c r="H79" i="26" s="1"/>
  <c r="H85" i="26" s="1"/>
  <c r="C81" i="26"/>
  <c r="H82" i="26" s="1"/>
  <c r="H90" i="26" s="1"/>
  <c r="C75" i="26"/>
  <c r="H76" i="26" s="1"/>
  <c r="H92" i="26" s="1"/>
  <c r="H133" i="57"/>
  <c r="U126" i="57" s="1"/>
  <c r="C81" i="57"/>
  <c r="H82" i="57" s="1"/>
  <c r="H90" i="57" s="1"/>
  <c r="C75" i="57"/>
  <c r="H76" i="57" s="1"/>
  <c r="H92" i="57" s="1"/>
  <c r="C78" i="57"/>
  <c r="H79" i="57" s="1"/>
  <c r="H85" i="57" s="1"/>
  <c r="H133" i="38"/>
  <c r="U126" i="38" s="1"/>
  <c r="C81" i="38"/>
  <c r="H82" i="38" s="1"/>
  <c r="H90" i="38" s="1"/>
  <c r="C78" i="38"/>
  <c r="H79" i="38" s="1"/>
  <c r="H85" i="38" s="1"/>
  <c r="C75" i="38"/>
  <c r="H76" i="38" s="1"/>
  <c r="H92" i="38" s="1"/>
  <c r="H133" i="28"/>
  <c r="U126" i="28" s="1"/>
  <c r="C81" i="28"/>
  <c r="H82" i="28" s="1"/>
  <c r="H90" i="28" s="1"/>
  <c r="C78" i="28"/>
  <c r="H79" i="28" s="1"/>
  <c r="H85" i="28" s="1"/>
  <c r="C75" i="28"/>
  <c r="H76" i="28" s="1"/>
  <c r="H92" i="28" s="1"/>
  <c r="H133" i="75"/>
  <c r="U126" i="75" s="1"/>
  <c r="C81" i="75"/>
  <c r="H82" i="75" s="1"/>
  <c r="H90" i="75" s="1"/>
  <c r="C75" i="75"/>
  <c r="H76" i="75" s="1"/>
  <c r="H92" i="75" s="1"/>
  <c r="C78" i="75"/>
  <c r="H79" i="75" s="1"/>
  <c r="H85" i="75" s="1"/>
  <c r="H133" i="23"/>
  <c r="U126" i="23" s="1"/>
  <c r="C78" i="23"/>
  <c r="H79" i="23" s="1"/>
  <c r="H85" i="23" s="1"/>
  <c r="C75" i="23"/>
  <c r="H76" i="23" s="1"/>
  <c r="H92" i="23" s="1"/>
  <c r="C81" i="23"/>
  <c r="H82" i="23" s="1"/>
  <c r="H90" i="23" s="1"/>
  <c r="C75" i="30"/>
  <c r="H76" i="30" s="1"/>
  <c r="H92" i="30" s="1"/>
  <c r="C78" i="30"/>
  <c r="H79" i="30" s="1"/>
  <c r="H85" i="30" s="1"/>
  <c r="C81" i="30"/>
  <c r="H82" i="30" s="1"/>
  <c r="H90" i="30" s="1"/>
  <c r="H133" i="67"/>
  <c r="U126" i="67" s="1"/>
  <c r="C81" i="67"/>
  <c r="H82" i="67" s="1"/>
  <c r="H90" i="67" s="1"/>
  <c r="C75" i="67"/>
  <c r="H76" i="67" s="1"/>
  <c r="H92" i="67" s="1"/>
  <c r="C78" i="67"/>
  <c r="H79" i="67" s="1"/>
  <c r="H85" i="67" s="1"/>
  <c r="H133" i="76"/>
  <c r="U126" i="76" s="1"/>
  <c r="C78" i="76"/>
  <c r="H79" i="76" s="1"/>
  <c r="H85" i="76" s="1"/>
  <c r="C81" i="76"/>
  <c r="H82" i="76" s="1"/>
  <c r="H90" i="76" s="1"/>
  <c r="C75" i="76"/>
  <c r="H76" i="76" s="1"/>
  <c r="H92" i="76" s="1"/>
  <c r="H133" i="24"/>
  <c r="U126" i="24" s="1"/>
  <c r="C78" i="24"/>
  <c r="H79" i="24" s="1"/>
  <c r="H85" i="24" s="1"/>
  <c r="C81" i="24"/>
  <c r="H82" i="24" s="1"/>
  <c r="H90" i="24" s="1"/>
  <c r="C75" i="24"/>
  <c r="H76" i="24" s="1"/>
  <c r="H92" i="24" s="1"/>
  <c r="H133" i="66"/>
  <c r="U126" i="66" s="1"/>
  <c r="C75" i="66"/>
  <c r="H76" i="66" s="1"/>
  <c r="H92" i="66" s="1"/>
  <c r="C78" i="66"/>
  <c r="H79" i="66" s="1"/>
  <c r="H85" i="66" s="1"/>
  <c r="C81" i="66"/>
  <c r="H82" i="66" s="1"/>
  <c r="H90" i="66" s="1"/>
  <c r="H133" i="22"/>
  <c r="U126" i="22" s="1"/>
  <c r="C81" i="22"/>
  <c r="H82" i="22" s="1"/>
  <c r="H90" i="22" s="1"/>
  <c r="C75" i="22"/>
  <c r="H76" i="22" s="1"/>
  <c r="H92" i="22" s="1"/>
  <c r="C78" i="22"/>
  <c r="H79" i="22" s="1"/>
  <c r="H85" i="22" s="1"/>
  <c r="C78" i="32"/>
  <c r="H79" i="32" s="1"/>
  <c r="H85" i="32" s="1"/>
  <c r="C81" i="32"/>
  <c r="H82" i="32" s="1"/>
  <c r="H90" i="32" s="1"/>
  <c r="C75" i="32"/>
  <c r="H76" i="32" s="1"/>
  <c r="H92" i="32" s="1"/>
  <c r="H133" i="56"/>
  <c r="U126" i="56" s="1"/>
  <c r="C78" i="56"/>
  <c r="H79" i="56" s="1"/>
  <c r="H85" i="56" s="1"/>
  <c r="C81" i="56"/>
  <c r="H82" i="56" s="1"/>
  <c r="H90" i="56" s="1"/>
  <c r="C75" i="56"/>
  <c r="H76" i="56" s="1"/>
  <c r="H92" i="56" s="1"/>
  <c r="H133" i="33"/>
  <c r="U126" i="33" s="1"/>
  <c r="C75" i="33"/>
  <c r="H76" i="33" s="1"/>
  <c r="H92" i="33" s="1"/>
  <c r="C78" i="33"/>
  <c r="H79" i="33" s="1"/>
  <c r="H85" i="33" s="1"/>
  <c r="C81" i="33"/>
  <c r="H82" i="33" s="1"/>
  <c r="H90" i="33" s="1"/>
  <c r="H133" i="21"/>
  <c r="U126" i="21" s="1"/>
  <c r="C81" i="21"/>
  <c r="H82" i="21" s="1"/>
  <c r="H90" i="21" s="1"/>
  <c r="C78" i="21"/>
  <c r="H79" i="21" s="1"/>
  <c r="H85" i="21" s="1"/>
  <c r="C75" i="21"/>
  <c r="H76" i="21" s="1"/>
  <c r="H92" i="21" s="1"/>
  <c r="H133" i="35"/>
  <c r="U126" i="35" s="1"/>
  <c r="C75" i="35"/>
  <c r="H76" i="35" s="1"/>
  <c r="H92" i="35" s="1"/>
  <c r="C81" i="35"/>
  <c r="H82" i="35" s="1"/>
  <c r="H90" i="35" s="1"/>
  <c r="C78" i="35"/>
  <c r="H79" i="35" s="1"/>
  <c r="H85" i="35" s="1"/>
  <c r="H133" i="51"/>
  <c r="U126" i="51" s="1"/>
  <c r="C81" i="51"/>
  <c r="H82" i="51" s="1"/>
  <c r="H90" i="51" s="1"/>
  <c r="C78" i="51"/>
  <c r="H79" i="51" s="1"/>
  <c r="H85" i="51" s="1"/>
  <c r="C75" i="51"/>
  <c r="H76" i="51" s="1"/>
  <c r="H92" i="51" s="1"/>
  <c r="H133" i="70"/>
  <c r="U126" i="70" s="1"/>
  <c r="C81" i="70"/>
  <c r="H82" i="70" s="1"/>
  <c r="H90" i="70" s="1"/>
  <c r="C78" i="70"/>
  <c r="H79" i="70" s="1"/>
  <c r="H85" i="70" s="1"/>
  <c r="C75" i="70"/>
  <c r="H76" i="70" s="1"/>
  <c r="H92" i="70" s="1"/>
  <c r="H133" i="25"/>
  <c r="U126" i="25" s="1"/>
  <c r="C81" i="25"/>
  <c r="H82" i="25" s="1"/>
  <c r="H90" i="25" s="1"/>
  <c r="C75" i="25"/>
  <c r="H76" i="25" s="1"/>
  <c r="H92" i="25" s="1"/>
  <c r="C78" i="25"/>
  <c r="H79" i="25" s="1"/>
  <c r="H85" i="25" s="1"/>
  <c r="H133" i="48"/>
  <c r="U126" i="48" s="1"/>
  <c r="C75" i="48"/>
  <c r="H76" i="48" s="1"/>
  <c r="H92" i="48" s="1"/>
  <c r="C78" i="48"/>
  <c r="H79" i="48" s="1"/>
  <c r="H85" i="48" s="1"/>
  <c r="C81" i="48"/>
  <c r="H82" i="48" s="1"/>
  <c r="H90" i="48" s="1"/>
  <c r="H133" i="18"/>
  <c r="U126" i="18" s="1"/>
  <c r="C81" i="18"/>
  <c r="H82" i="18" s="1"/>
  <c r="H90" i="18" s="1"/>
  <c r="C78" i="18"/>
  <c r="H79" i="18" s="1"/>
  <c r="H85" i="18" s="1"/>
  <c r="C75" i="18"/>
  <c r="H76" i="18" s="1"/>
  <c r="H92" i="18" s="1"/>
  <c r="C75" i="7"/>
  <c r="C81" i="7"/>
  <c r="C78" i="7"/>
  <c r="H133" i="43"/>
  <c r="U126" i="43" s="1"/>
  <c r="C81" i="43"/>
  <c r="H82" i="43" s="1"/>
  <c r="H90" i="43" s="1"/>
  <c r="C75" i="43"/>
  <c r="H76" i="43" s="1"/>
  <c r="H92" i="43" s="1"/>
  <c r="C78" i="43"/>
  <c r="H79" i="43" s="1"/>
  <c r="H85" i="43" s="1"/>
  <c r="H133" i="16"/>
  <c r="U126" i="16" s="1"/>
  <c r="C78" i="16"/>
  <c r="H79" i="16" s="1"/>
  <c r="H85" i="16" s="1"/>
  <c r="C81" i="16"/>
  <c r="H82" i="16" s="1"/>
  <c r="H90" i="16" s="1"/>
  <c r="C75" i="16"/>
  <c r="H76" i="16" s="1"/>
  <c r="H92" i="16" s="1"/>
  <c r="H133" i="42"/>
  <c r="U126" i="42" s="1"/>
  <c r="C81" i="42"/>
  <c r="H82" i="42" s="1"/>
  <c r="H90" i="42" s="1"/>
  <c r="C78" i="42"/>
  <c r="H79" i="42" s="1"/>
  <c r="H85" i="42" s="1"/>
  <c r="C75" i="42"/>
  <c r="H76" i="42" s="1"/>
  <c r="H92" i="42" s="1"/>
  <c r="H133" i="37"/>
  <c r="U126" i="37" s="1"/>
  <c r="C78" i="37"/>
  <c r="H79" i="37" s="1"/>
  <c r="H85" i="37" s="1"/>
  <c r="C81" i="37"/>
  <c r="H82" i="37" s="1"/>
  <c r="H90" i="37" s="1"/>
  <c r="C75" i="37"/>
  <c r="H76" i="37" s="1"/>
  <c r="H92" i="37" s="1"/>
  <c r="H133" i="58"/>
  <c r="U126" i="58" s="1"/>
  <c r="C78" i="58"/>
  <c r="H79" i="58" s="1"/>
  <c r="H85" i="58" s="1"/>
  <c r="C81" i="58"/>
  <c r="H82" i="58" s="1"/>
  <c r="H90" i="58" s="1"/>
  <c r="C75" i="58"/>
  <c r="H76" i="58" s="1"/>
  <c r="H92" i="58" s="1"/>
  <c r="H133" i="68"/>
  <c r="U126" i="68" s="1"/>
  <c r="C78" i="68"/>
  <c r="H79" i="68" s="1"/>
  <c r="H85" i="68" s="1"/>
  <c r="C81" i="68"/>
  <c r="H82" i="68" s="1"/>
  <c r="H90" i="68" s="1"/>
  <c r="C75" i="68"/>
  <c r="H76" i="68" s="1"/>
  <c r="H92" i="68" s="1"/>
  <c r="C81" i="31"/>
  <c r="H82" i="31" s="1"/>
  <c r="H90" i="31" s="1"/>
  <c r="C75" i="31"/>
  <c r="H76" i="31" s="1"/>
  <c r="H92" i="31" s="1"/>
  <c r="C78" i="31"/>
  <c r="H79" i="31" s="1"/>
  <c r="H85" i="31" s="1"/>
  <c r="H133" i="47"/>
  <c r="U126" i="47" s="1"/>
  <c r="C81" i="47"/>
  <c r="H82" i="47" s="1"/>
  <c r="H90" i="47" s="1"/>
  <c r="C78" i="47"/>
  <c r="H79" i="47" s="1"/>
  <c r="H85" i="47" s="1"/>
  <c r="C75" i="47"/>
  <c r="H76" i="47" s="1"/>
  <c r="H92" i="47" s="1"/>
  <c r="H133" i="39"/>
  <c r="U126" i="39" s="1"/>
  <c r="C78" i="39"/>
  <c r="H79" i="39" s="1"/>
  <c r="H85" i="39" s="1"/>
  <c r="C81" i="39"/>
  <c r="H82" i="39" s="1"/>
  <c r="H90" i="39" s="1"/>
  <c r="C75" i="39"/>
  <c r="H76" i="39" s="1"/>
  <c r="H92" i="39" s="1"/>
  <c r="H133" i="71"/>
  <c r="U126" i="71" s="1"/>
  <c r="C81" i="71"/>
  <c r="H82" i="71" s="1"/>
  <c r="H90" i="71" s="1"/>
  <c r="C78" i="71"/>
  <c r="H79" i="71" s="1"/>
  <c r="H85" i="71" s="1"/>
  <c r="C75" i="71"/>
  <c r="H76" i="71" s="1"/>
  <c r="H92" i="71" s="1"/>
  <c r="C81" i="36"/>
  <c r="H82" i="36" s="1"/>
  <c r="H90" i="36" s="1"/>
  <c r="C78" i="36"/>
  <c r="H79" i="36" s="1"/>
  <c r="H85" i="36" s="1"/>
  <c r="C75" i="36"/>
  <c r="H76" i="36" s="1"/>
  <c r="H92" i="36" s="1"/>
  <c r="H133" i="34"/>
  <c r="C81" i="34"/>
  <c r="H82" i="34" s="1"/>
  <c r="H90" i="34" s="1"/>
  <c r="C75" i="34"/>
  <c r="H76" i="34" s="1"/>
  <c r="H92" i="34" s="1"/>
  <c r="C78" i="34"/>
  <c r="H79" i="34" s="1"/>
  <c r="H85" i="34" s="1"/>
  <c r="H133" i="69"/>
  <c r="U126" i="69" s="1"/>
  <c r="C75" i="69"/>
  <c r="H76" i="69" s="1"/>
  <c r="H92" i="69" s="1"/>
  <c r="C78" i="69"/>
  <c r="H79" i="69" s="1"/>
  <c r="H85" i="69" s="1"/>
  <c r="C81" i="69"/>
  <c r="H82" i="69" s="1"/>
  <c r="H90" i="69" s="1"/>
  <c r="H133" i="20"/>
  <c r="U126" i="20" s="1"/>
  <c r="C75" i="20"/>
  <c r="H76" i="20" s="1"/>
  <c r="H92" i="20" s="1"/>
  <c r="C81" i="20"/>
  <c r="H82" i="20" s="1"/>
  <c r="H90" i="20" s="1"/>
  <c r="C78" i="20"/>
  <c r="H79" i="20" s="1"/>
  <c r="H85" i="20" s="1"/>
  <c r="H133" i="27"/>
  <c r="U126" i="27" s="1"/>
  <c r="C75" i="27"/>
  <c r="H76" i="27" s="1"/>
  <c r="H92" i="27" s="1"/>
  <c r="C78" i="27"/>
  <c r="H79" i="27" s="1"/>
  <c r="H85" i="27" s="1"/>
  <c r="C81" i="27"/>
  <c r="H82" i="27" s="1"/>
  <c r="H90" i="27" s="1"/>
  <c r="H133" i="44"/>
  <c r="U126" i="44" s="1"/>
  <c r="C78" i="44"/>
  <c r="H79" i="44" s="1"/>
  <c r="H85" i="44" s="1"/>
  <c r="C81" i="44"/>
  <c r="H82" i="44" s="1"/>
  <c r="H90" i="44" s="1"/>
  <c r="C75" i="44"/>
  <c r="H76" i="44" s="1"/>
  <c r="H92" i="44" s="1"/>
  <c r="H133" i="52"/>
  <c r="C78" i="52"/>
  <c r="H79" i="52" s="1"/>
  <c r="H85" i="52" s="1"/>
  <c r="C81" i="52"/>
  <c r="H82" i="52" s="1"/>
  <c r="H90" i="52" s="1"/>
  <c r="C75" i="52"/>
  <c r="H76" i="52" s="1"/>
  <c r="H92" i="52" s="1"/>
  <c r="I29" i="17"/>
  <c r="I29" i="60" s="1"/>
  <c r="C104" i="52"/>
  <c r="H104" i="52" s="1"/>
  <c r="I14" i="52"/>
  <c r="I30" i="52" s="1"/>
  <c r="I23" i="16"/>
  <c r="I23" i="60" s="1"/>
  <c r="I25" i="16"/>
  <c r="I25" i="60" s="1"/>
  <c r="I40" i="60"/>
  <c r="C106" i="70"/>
  <c r="H106" i="70" s="1"/>
  <c r="C69" i="34"/>
  <c r="H70" i="34" s="1"/>
  <c r="I30" i="76"/>
  <c r="I30" i="71"/>
  <c r="I42" i="60"/>
  <c r="C106" i="78"/>
  <c r="H106" i="78" s="1"/>
  <c r="C105" i="57"/>
  <c r="H105" i="57" s="1"/>
  <c r="H30" i="76"/>
  <c r="C105" i="76"/>
  <c r="H105" i="76" s="1"/>
  <c r="C106" i="52"/>
  <c r="H106" i="52" s="1"/>
  <c r="H30" i="52"/>
  <c r="O39" i="72"/>
  <c r="C69" i="52"/>
  <c r="H70" i="52" s="1"/>
  <c r="H98" i="52" s="1"/>
  <c r="I98" i="52" s="1"/>
  <c r="O23" i="72"/>
  <c r="H133" i="32"/>
  <c r="U126" i="32" s="1"/>
  <c r="C69" i="32"/>
  <c r="H70" i="32" s="1"/>
  <c r="H98" i="32" s="1"/>
  <c r="I98" i="32" s="1"/>
  <c r="C105" i="68"/>
  <c r="H105" i="68" s="1"/>
  <c r="C106" i="32"/>
  <c r="H106" i="32" s="1"/>
  <c r="C105" i="71"/>
  <c r="H105" i="71" s="1"/>
  <c r="H30" i="71"/>
  <c r="O54" i="72"/>
  <c r="H133" i="30"/>
  <c r="U126" i="30" s="1"/>
  <c r="C104" i="21"/>
  <c r="H104" i="21" s="1"/>
  <c r="I41" i="60"/>
  <c r="C105" i="36"/>
  <c r="H105" i="36" s="1"/>
  <c r="C105" i="58"/>
  <c r="H105" i="58" s="1"/>
  <c r="C104" i="48"/>
  <c r="H104" i="48" s="1"/>
  <c r="C105" i="50"/>
  <c r="H105" i="50" s="1"/>
  <c r="C105" i="75"/>
  <c r="H105" i="75" s="1"/>
  <c r="I44" i="60"/>
  <c r="C106" i="36"/>
  <c r="H106" i="36" s="1"/>
  <c r="H30" i="21"/>
  <c r="C105" i="77"/>
  <c r="H105" i="77" s="1"/>
  <c r="C106" i="22"/>
  <c r="H106" i="22" s="1"/>
  <c r="C106" i="28"/>
  <c r="H106" i="28" s="1"/>
  <c r="C104" i="34"/>
  <c r="H104" i="34" s="1"/>
  <c r="C105" i="24"/>
  <c r="H105" i="24" s="1"/>
  <c r="I30" i="40"/>
  <c r="C106" i="24"/>
  <c r="H106" i="24" s="1"/>
  <c r="C106" i="31"/>
  <c r="H106" i="31" s="1"/>
  <c r="C105" i="22"/>
  <c r="H105" i="22" s="1"/>
  <c r="C105" i="28"/>
  <c r="H105" i="28" s="1"/>
  <c r="C105" i="45"/>
  <c r="H105" i="45" s="1"/>
  <c r="C69" i="35"/>
  <c r="H70" i="35" s="1"/>
  <c r="H98" i="35" s="1"/>
  <c r="I98" i="35" s="1"/>
  <c r="O24" i="72"/>
  <c r="H30" i="58"/>
  <c r="I30" i="58"/>
  <c r="C104" i="58"/>
  <c r="C69" i="40"/>
  <c r="H70" i="40" s="1"/>
  <c r="H98" i="40" s="1"/>
  <c r="I98" i="40" s="1"/>
  <c r="O30" i="72"/>
  <c r="I30" i="68"/>
  <c r="C104" i="68"/>
  <c r="H30" i="68"/>
  <c r="I39" i="60"/>
  <c r="I30" i="55"/>
  <c r="C106" i="16"/>
  <c r="H106" i="16" s="1"/>
  <c r="C69" i="33"/>
  <c r="H70" i="33" s="1"/>
  <c r="H98" i="33" s="1"/>
  <c r="I98" i="33" s="1"/>
  <c r="O22" i="72"/>
  <c r="I30" i="34"/>
  <c r="C105" i="35"/>
  <c r="I30" i="35"/>
  <c r="H30" i="35"/>
  <c r="C106" i="25"/>
  <c r="H106" i="25" s="1"/>
  <c r="C106" i="23"/>
  <c r="H106" i="23" s="1"/>
  <c r="H30" i="66"/>
  <c r="C104" i="66"/>
  <c r="H30" i="70"/>
  <c r="C104" i="70"/>
  <c r="H30" i="25"/>
  <c r="I30" i="25"/>
  <c r="C104" i="25"/>
  <c r="H30" i="50"/>
  <c r="I30" i="50"/>
  <c r="C104" i="50"/>
  <c r="C106" i="37"/>
  <c r="H106" i="37" s="1"/>
  <c r="C69" i="55"/>
  <c r="H70" i="55" s="1"/>
  <c r="H98" i="55" s="1"/>
  <c r="I98" i="55" s="1"/>
  <c r="O42" i="72"/>
  <c r="C105" i="20"/>
  <c r="H105" i="20" s="1"/>
  <c r="C69" i="66"/>
  <c r="H70" i="66" s="1"/>
  <c r="H98" i="66" s="1"/>
  <c r="I98" i="66" s="1"/>
  <c r="O46" i="72"/>
  <c r="E34" i="62"/>
  <c r="E38" i="62" s="1"/>
  <c r="C69" i="7"/>
  <c r="C106" i="50"/>
  <c r="H106" i="50" s="1"/>
  <c r="C105" i="70"/>
  <c r="H105" i="70" s="1"/>
  <c r="C69" i="70"/>
  <c r="H70" i="70" s="1"/>
  <c r="H98" i="70" s="1"/>
  <c r="I98" i="70" s="1"/>
  <c r="O49" i="72"/>
  <c r="C69" i="25"/>
  <c r="H70" i="25" s="1"/>
  <c r="H98" i="25" s="1"/>
  <c r="I98" i="25" s="1"/>
  <c r="O14" i="72"/>
  <c r="H30" i="17"/>
  <c r="C104" i="17"/>
  <c r="C69" i="50"/>
  <c r="H70" i="50" s="1"/>
  <c r="H98" i="50" s="1"/>
  <c r="I98" i="50" s="1"/>
  <c r="O37" i="72"/>
  <c r="C69" i="31"/>
  <c r="H70" i="31" s="1"/>
  <c r="H98" i="31" s="1"/>
  <c r="I98" i="31" s="1"/>
  <c r="O20" i="72"/>
  <c r="C69" i="45"/>
  <c r="H70" i="45" s="1"/>
  <c r="H98" i="45" s="1"/>
  <c r="I98" i="45" s="1"/>
  <c r="O34" i="72"/>
  <c r="H30" i="23"/>
  <c r="C104" i="23"/>
  <c r="C69" i="18"/>
  <c r="H70" i="18" s="1"/>
  <c r="H98" i="18" s="1"/>
  <c r="I98" i="18" s="1"/>
  <c r="O11" i="72"/>
  <c r="I30" i="27"/>
  <c r="C104" i="27"/>
  <c r="H30" i="27"/>
  <c r="I30" i="56"/>
  <c r="O10" i="72"/>
  <c r="C69" i="17"/>
  <c r="H70" i="17" s="1"/>
  <c r="H98" i="17" s="1"/>
  <c r="I98" i="17" s="1"/>
  <c r="C106" i="45"/>
  <c r="H106" i="45" s="1"/>
  <c r="C105" i="25"/>
  <c r="H105" i="25" s="1"/>
  <c r="H30" i="31"/>
  <c r="I30" i="31"/>
  <c r="C104" i="31"/>
  <c r="I30" i="42"/>
  <c r="H30" i="42"/>
  <c r="C104" i="42"/>
  <c r="H30" i="75"/>
  <c r="I30" i="75"/>
  <c r="K30" i="75" s="1"/>
  <c r="C104" i="75"/>
  <c r="C104" i="30"/>
  <c r="H30" i="30"/>
  <c r="C69" i="69"/>
  <c r="H70" i="69" s="1"/>
  <c r="H98" i="69" s="1"/>
  <c r="I98" i="69" s="1"/>
  <c r="O48" i="72"/>
  <c r="H30" i="45"/>
  <c r="I30" i="45"/>
  <c r="C104" i="45"/>
  <c r="C69" i="23"/>
  <c r="H70" i="23" s="1"/>
  <c r="H98" i="23" s="1"/>
  <c r="I98" i="23" s="1"/>
  <c r="O25" i="72"/>
  <c r="H30" i="78"/>
  <c r="I30" i="78"/>
  <c r="C104" i="78"/>
  <c r="C69" i="51"/>
  <c r="H70" i="51" s="1"/>
  <c r="H98" i="51" s="1"/>
  <c r="I98" i="51" s="1"/>
  <c r="O38" i="72"/>
  <c r="C69" i="28"/>
  <c r="H70" i="28" s="1"/>
  <c r="H98" i="28" s="1"/>
  <c r="I98" i="28" s="1"/>
  <c r="O19" i="72"/>
  <c r="C69" i="56"/>
  <c r="H70" i="56" s="1"/>
  <c r="H98" i="56" s="1"/>
  <c r="I98" i="56" s="1"/>
  <c r="O43" i="72"/>
  <c r="C105" i="38"/>
  <c r="H105" i="38" s="1"/>
  <c r="C69" i="42"/>
  <c r="H70" i="42" s="1"/>
  <c r="H98" i="42" s="1"/>
  <c r="I98" i="42" s="1"/>
  <c r="O31" i="72"/>
  <c r="C69" i="75"/>
  <c r="H70" i="75" s="1"/>
  <c r="H98" i="75" s="1"/>
  <c r="I98" i="75" s="1"/>
  <c r="O40" i="72"/>
  <c r="C69" i="30"/>
  <c r="H70" i="30" s="1"/>
  <c r="H98" i="30" s="1"/>
  <c r="I98" i="30" s="1"/>
  <c r="C69" i="24"/>
  <c r="H70" i="24" s="1"/>
  <c r="H98" i="24" s="1"/>
  <c r="I98" i="24" s="1"/>
  <c r="O15" i="72"/>
  <c r="C105" i="32"/>
  <c r="H105" i="32" s="1"/>
  <c r="C69" i="27"/>
  <c r="H70" i="27" s="1"/>
  <c r="H98" i="27" s="1"/>
  <c r="I98" i="27" s="1"/>
  <c r="O18" i="72"/>
  <c r="C69" i="44"/>
  <c r="H70" i="44" s="1"/>
  <c r="H98" i="44" s="1"/>
  <c r="I98" i="44" s="1"/>
  <c r="O33" i="72"/>
  <c r="C105" i="67"/>
  <c r="H105" i="67" s="1"/>
  <c r="C69" i="78"/>
  <c r="H70" i="78" s="1"/>
  <c r="H98" i="78" s="1"/>
  <c r="I98" i="78" s="1"/>
  <c r="O53" i="72"/>
  <c r="C105" i="66"/>
  <c r="H105" i="66" s="1"/>
  <c r="C105" i="31"/>
  <c r="H105" i="31" s="1"/>
  <c r="C106" i="77"/>
  <c r="H106" i="77" s="1"/>
  <c r="H30" i="51"/>
  <c r="I30" i="51"/>
  <c r="C104" i="51"/>
  <c r="C104" i="16"/>
  <c r="H30" i="16"/>
  <c r="I30" i="28"/>
  <c r="C104" i="28"/>
  <c r="H30" i="28"/>
  <c r="E30" i="60"/>
  <c r="C69" i="39"/>
  <c r="H70" i="39" s="1"/>
  <c r="H98" i="39" s="1"/>
  <c r="I98" i="39" s="1"/>
  <c r="O29" i="72"/>
  <c r="I30" i="24"/>
  <c r="C104" i="24"/>
  <c r="H30" i="24"/>
  <c r="C106" i="67"/>
  <c r="H106" i="67" s="1"/>
  <c r="H30" i="26"/>
  <c r="C104" i="26"/>
  <c r="I30" i="44"/>
  <c r="C105" i="44"/>
  <c r="H105" i="44" s="1"/>
  <c r="H30" i="44"/>
  <c r="H30" i="77"/>
  <c r="I30" i="77"/>
  <c r="C104" i="77"/>
  <c r="C69" i="16"/>
  <c r="O9" i="72"/>
  <c r="C69" i="47"/>
  <c r="H70" i="47" s="1"/>
  <c r="H98" i="47" s="1"/>
  <c r="I98" i="47" s="1"/>
  <c r="O35" i="72"/>
  <c r="I30" i="21"/>
  <c r="C106" i="21"/>
  <c r="H106" i="21" s="1"/>
  <c r="C106" i="20"/>
  <c r="H106" i="20" s="1"/>
  <c r="C69" i="37"/>
  <c r="H70" i="37" s="1"/>
  <c r="H98" i="37" s="1"/>
  <c r="I98" i="37" s="1"/>
  <c r="O27" i="72"/>
  <c r="C69" i="26"/>
  <c r="H70" i="26" s="1"/>
  <c r="H98" i="26" s="1"/>
  <c r="I98" i="26" s="1"/>
  <c r="O17" i="72"/>
  <c r="C69" i="43"/>
  <c r="H70" i="43" s="1"/>
  <c r="H98" i="43" s="1"/>
  <c r="I98" i="43" s="1"/>
  <c r="O32" i="72"/>
  <c r="H30" i="38"/>
  <c r="I30" i="38"/>
  <c r="C104" i="38"/>
  <c r="C105" i="21"/>
  <c r="H105" i="21" s="1"/>
  <c r="C105" i="78"/>
  <c r="H105" i="78" s="1"/>
  <c r="C105" i="30"/>
  <c r="H105" i="30" s="1"/>
  <c r="C69" i="77"/>
  <c r="H70" i="77" s="1"/>
  <c r="H98" i="77" s="1"/>
  <c r="I98" i="77" s="1"/>
  <c r="O52" i="72"/>
  <c r="H30" i="40"/>
  <c r="I30" i="47"/>
  <c r="H30" i="47"/>
  <c r="C104" i="47"/>
  <c r="C105" i="37"/>
  <c r="H105" i="37" s="1"/>
  <c r="C69" i="67"/>
  <c r="H70" i="67" s="1"/>
  <c r="H98" i="67" s="1"/>
  <c r="I98" i="67" s="1"/>
  <c r="O47" i="72"/>
  <c r="H30" i="37"/>
  <c r="I30" i="37"/>
  <c r="C104" i="37"/>
  <c r="C69" i="38"/>
  <c r="H70" i="38" s="1"/>
  <c r="H98" i="38" s="1"/>
  <c r="I98" i="38" s="1"/>
  <c r="O28" i="72"/>
  <c r="H30" i="7"/>
  <c r="C106" i="17"/>
  <c r="H106" i="17" s="1"/>
  <c r="C106" i="66"/>
  <c r="H106" i="66" s="1"/>
  <c r="C105" i="40"/>
  <c r="H105" i="40" s="1"/>
  <c r="C104" i="67"/>
  <c r="H30" i="67"/>
  <c r="H30" i="32"/>
  <c r="C104" i="32"/>
  <c r="C105" i="18"/>
  <c r="H105" i="18" s="1"/>
  <c r="I30" i="36"/>
  <c r="C104" i="36"/>
  <c r="H30" i="36"/>
  <c r="C69" i="48"/>
  <c r="H70" i="48" s="1"/>
  <c r="H98" i="48" s="1"/>
  <c r="I98" i="48" s="1"/>
  <c r="O36" i="72"/>
  <c r="C104" i="20"/>
  <c r="H30" i="20"/>
  <c r="C69" i="76"/>
  <c r="H70" i="76" s="1"/>
  <c r="H98" i="76" s="1"/>
  <c r="I98" i="76" s="1"/>
  <c r="O41" i="72"/>
  <c r="C69" i="71"/>
  <c r="H70" i="71" s="1"/>
  <c r="H98" i="71" s="1"/>
  <c r="I98" i="71" s="1"/>
  <c r="O50" i="72"/>
  <c r="C106" i="18"/>
  <c r="H106" i="18" s="1"/>
  <c r="C104" i="57"/>
  <c r="H30" i="57"/>
  <c r="I30" i="57"/>
  <c r="I30" i="69"/>
  <c r="C105" i="69"/>
  <c r="H30" i="69"/>
  <c r="C69" i="22"/>
  <c r="H70" i="22" s="1"/>
  <c r="H98" i="22" s="1"/>
  <c r="I98" i="22" s="1"/>
  <c r="O16" i="72"/>
  <c r="I30" i="39"/>
  <c r="C104" i="39"/>
  <c r="H30" i="39"/>
  <c r="C106" i="58"/>
  <c r="H106" i="58" s="1"/>
  <c r="O21" i="72"/>
  <c r="H30" i="18"/>
  <c r="C104" i="18"/>
  <c r="H30" i="55"/>
  <c r="C106" i="38"/>
  <c r="H106" i="38" s="1"/>
  <c r="C69" i="36"/>
  <c r="H70" i="36" s="1"/>
  <c r="H98" i="36" s="1"/>
  <c r="I98" i="36" s="1"/>
  <c r="O26" i="72"/>
  <c r="I30" i="48"/>
  <c r="C106" i="48"/>
  <c r="H106" i="48" s="1"/>
  <c r="C105" i="26"/>
  <c r="H105" i="26" s="1"/>
  <c r="H30" i="48"/>
  <c r="I124" i="7"/>
  <c r="H30" i="34"/>
  <c r="E45" i="60"/>
  <c r="C69" i="21"/>
  <c r="H70" i="21" s="1"/>
  <c r="H98" i="21" s="1"/>
  <c r="I98" i="21" s="1"/>
  <c r="O13" i="72"/>
  <c r="C69" i="20"/>
  <c r="H70" i="20" s="1"/>
  <c r="H98" i="20" s="1"/>
  <c r="I98" i="20" s="1"/>
  <c r="O12" i="72"/>
  <c r="C69" i="58"/>
  <c r="H70" i="58" s="1"/>
  <c r="H98" i="58" s="1"/>
  <c r="I98" i="58" s="1"/>
  <c r="O45" i="72"/>
  <c r="C69" i="57"/>
  <c r="H70" i="57" s="1"/>
  <c r="H98" i="57" s="1"/>
  <c r="I98" i="57" s="1"/>
  <c r="O44" i="72"/>
  <c r="H30" i="22"/>
  <c r="C104" i="22"/>
  <c r="I30" i="22"/>
  <c r="C69" i="68"/>
  <c r="H70" i="68" s="1"/>
  <c r="H98" i="68" s="1"/>
  <c r="I98" i="68" s="1"/>
  <c r="O51" i="72"/>
  <c r="C106" i="40"/>
  <c r="H106" i="40" s="1"/>
  <c r="C106" i="26"/>
  <c r="H106" i="26" s="1"/>
  <c r="C104" i="55"/>
  <c r="H107" i="60" l="1"/>
  <c r="C77" i="60"/>
  <c r="H78" i="60" s="1"/>
  <c r="H93" i="60" s="1"/>
  <c r="O56" i="72"/>
  <c r="C71" i="60"/>
  <c r="H72" i="60" s="1"/>
  <c r="C80" i="60"/>
  <c r="H81" i="60" s="1"/>
  <c r="H86" i="60" s="1"/>
  <c r="C83" i="60"/>
  <c r="H84" i="60" s="1"/>
  <c r="H91" i="60" s="1"/>
  <c r="C107" i="56"/>
  <c r="I14" i="60"/>
  <c r="H70" i="16"/>
  <c r="H88" i="16" s="1"/>
  <c r="I88" i="16" s="1"/>
  <c r="C105" i="60"/>
  <c r="H88" i="34"/>
  <c r="I88" i="34" s="1"/>
  <c r="H98" i="34"/>
  <c r="I98" i="34" s="1"/>
  <c r="C106" i="60"/>
  <c r="C107" i="60"/>
  <c r="E46" i="43"/>
  <c r="C107" i="33"/>
  <c r="I107" i="33"/>
  <c r="C72" i="33"/>
  <c r="H73" i="33" s="1"/>
  <c r="I107" i="34"/>
  <c r="U126" i="7"/>
  <c r="E8" i="72"/>
  <c r="V8" i="72" s="1"/>
  <c r="P42" i="52"/>
  <c r="U42" i="52" s="1"/>
  <c r="U126" i="52"/>
  <c r="P16" i="34"/>
  <c r="T16" i="34" s="1"/>
  <c r="U16" i="34" s="1"/>
  <c r="U126" i="34"/>
  <c r="I107" i="43"/>
  <c r="E46" i="56"/>
  <c r="H73" i="56" s="1"/>
  <c r="H94" i="56" s="1"/>
  <c r="I94" i="56" s="1"/>
  <c r="P38" i="34"/>
  <c r="U38" i="34" s="1"/>
  <c r="P41" i="52"/>
  <c r="U41" i="52" s="1"/>
  <c r="P14" i="34"/>
  <c r="T14" i="34" s="1"/>
  <c r="U14" i="34" s="1"/>
  <c r="P29" i="52"/>
  <c r="T29" i="52" s="1"/>
  <c r="U29" i="52" s="1"/>
  <c r="P40" i="34"/>
  <c r="U40" i="34" s="1"/>
  <c r="P113" i="34"/>
  <c r="U113" i="34" s="1"/>
  <c r="P43" i="34"/>
  <c r="U43" i="34" s="1"/>
  <c r="P23" i="34"/>
  <c r="T23" i="34" s="1"/>
  <c r="U23" i="34" s="1"/>
  <c r="P43" i="52"/>
  <c r="U43" i="52" s="1"/>
  <c r="P39" i="34"/>
  <c r="U39" i="34" s="1"/>
  <c r="P20" i="52"/>
  <c r="T20" i="52" s="1"/>
  <c r="U20" i="52" s="1"/>
  <c r="P21" i="34"/>
  <c r="T21" i="34" s="1"/>
  <c r="U21" i="34" s="1"/>
  <c r="P25" i="52"/>
  <c r="T25" i="52" s="1"/>
  <c r="U25" i="52" s="1"/>
  <c r="H104" i="56"/>
  <c r="I107" i="56" s="1"/>
  <c r="P123" i="34"/>
  <c r="U123" i="34" s="1"/>
  <c r="P17" i="52"/>
  <c r="T17" i="52" s="1"/>
  <c r="U17" i="52" s="1"/>
  <c r="P26" i="34"/>
  <c r="T26" i="34" s="1"/>
  <c r="U26" i="34" s="1"/>
  <c r="P121" i="52"/>
  <c r="U121" i="52" s="1"/>
  <c r="E54" i="72"/>
  <c r="V54" i="72" s="1"/>
  <c r="P113" i="52"/>
  <c r="U113" i="52" s="1"/>
  <c r="E39" i="72"/>
  <c r="V39" i="72" s="1"/>
  <c r="H30" i="60"/>
  <c r="E47" i="60" s="1"/>
  <c r="P41" i="34"/>
  <c r="U41" i="34" s="1"/>
  <c r="P21" i="52"/>
  <c r="T21" i="52" s="1"/>
  <c r="U21" i="52" s="1"/>
  <c r="P15" i="34"/>
  <c r="T15" i="34" s="1"/>
  <c r="U15" i="34" s="1"/>
  <c r="P19" i="52"/>
  <c r="T19" i="52" s="1"/>
  <c r="U19" i="52" s="1"/>
  <c r="H79" i="7"/>
  <c r="H85" i="7" s="1"/>
  <c r="I85" i="7" s="1"/>
  <c r="H76" i="7"/>
  <c r="H92" i="7" s="1"/>
  <c r="I92" i="7" s="1"/>
  <c r="H70" i="7"/>
  <c r="H105" i="7"/>
  <c r="H106" i="60" s="1"/>
  <c r="H82" i="7"/>
  <c r="H90" i="7" s="1"/>
  <c r="I90" i="7" s="1"/>
  <c r="I46" i="76"/>
  <c r="I46" i="39"/>
  <c r="P121" i="34"/>
  <c r="U121" i="34" s="1"/>
  <c r="P24" i="34"/>
  <c r="T24" i="34" s="1"/>
  <c r="U24" i="34" s="1"/>
  <c r="I46" i="47"/>
  <c r="C107" i="43"/>
  <c r="I46" i="51"/>
  <c r="P14" i="52"/>
  <c r="P23" i="52"/>
  <c r="T23" i="52" s="1"/>
  <c r="U23" i="52" s="1"/>
  <c r="I46" i="56"/>
  <c r="I46" i="48"/>
  <c r="I46" i="37"/>
  <c r="P42" i="34"/>
  <c r="U42" i="34" s="1"/>
  <c r="P29" i="34"/>
  <c r="T29" i="34" s="1"/>
  <c r="U29" i="34" s="1"/>
  <c r="P22" i="52"/>
  <c r="T22" i="52" s="1"/>
  <c r="U22" i="52" s="1"/>
  <c r="P18" i="52"/>
  <c r="T18" i="52" s="1"/>
  <c r="U18" i="52" s="1"/>
  <c r="I46" i="50"/>
  <c r="I46" i="24"/>
  <c r="I46" i="27"/>
  <c r="P28" i="34"/>
  <c r="T28" i="34" s="1"/>
  <c r="U28" i="34" s="1"/>
  <c r="P22" i="34"/>
  <c r="T22" i="34" s="1"/>
  <c r="U22" i="34" s="1"/>
  <c r="P122" i="52"/>
  <c r="U122" i="52" s="1"/>
  <c r="P27" i="52"/>
  <c r="T27" i="52" s="1"/>
  <c r="U27" i="52" s="1"/>
  <c r="P39" i="52"/>
  <c r="U39" i="52" s="1"/>
  <c r="I46" i="35"/>
  <c r="P17" i="34"/>
  <c r="T17" i="34" s="1"/>
  <c r="U17" i="34" s="1"/>
  <c r="I46" i="77"/>
  <c r="P26" i="52"/>
  <c r="T26" i="52" s="1"/>
  <c r="U26" i="52" s="1"/>
  <c r="P123" i="52"/>
  <c r="U123" i="52" s="1"/>
  <c r="P28" i="52"/>
  <c r="T28" i="52" s="1"/>
  <c r="U28" i="52" s="1"/>
  <c r="I46" i="45"/>
  <c r="I46" i="42"/>
  <c r="I46" i="25"/>
  <c r="I46" i="68"/>
  <c r="I46" i="69"/>
  <c r="I46" i="34"/>
  <c r="I46" i="57"/>
  <c r="E23" i="72"/>
  <c r="V23" i="72" s="1"/>
  <c r="P122" i="34"/>
  <c r="U122" i="34" s="1"/>
  <c r="P27" i="34"/>
  <c r="T27" i="34" s="1"/>
  <c r="U27" i="34" s="1"/>
  <c r="P16" i="52"/>
  <c r="T16" i="52" s="1"/>
  <c r="U16" i="52" s="1"/>
  <c r="P40" i="52"/>
  <c r="U40" i="52" s="1"/>
  <c r="I46" i="31"/>
  <c r="I46" i="52"/>
  <c r="I46" i="40"/>
  <c r="I46" i="36"/>
  <c r="I46" i="22"/>
  <c r="I46" i="44"/>
  <c r="I46" i="28"/>
  <c r="P19" i="34"/>
  <c r="T19" i="34" s="1"/>
  <c r="U19" i="34" s="1"/>
  <c r="P15" i="52"/>
  <c r="T15" i="52" s="1"/>
  <c r="U15" i="52" s="1"/>
  <c r="I46" i="55"/>
  <c r="P25" i="34"/>
  <c r="T25" i="34" s="1"/>
  <c r="U25" i="34" s="1"/>
  <c r="P20" i="34"/>
  <c r="T20" i="34" s="1"/>
  <c r="U20" i="34" s="1"/>
  <c r="I46" i="21"/>
  <c r="P38" i="52"/>
  <c r="U38" i="52" s="1"/>
  <c r="I46" i="58"/>
  <c r="P18" i="34"/>
  <c r="T18" i="34" s="1"/>
  <c r="U18" i="34" s="1"/>
  <c r="I46" i="38"/>
  <c r="P24" i="52"/>
  <c r="T24" i="52" s="1"/>
  <c r="U24" i="52" s="1"/>
  <c r="I46" i="78"/>
  <c r="I46" i="71"/>
  <c r="E46" i="7"/>
  <c r="C72" i="7"/>
  <c r="E46" i="34"/>
  <c r="C72" i="34"/>
  <c r="E46" i="24"/>
  <c r="C72" i="24"/>
  <c r="E46" i="42"/>
  <c r="C72" i="42"/>
  <c r="E46" i="71"/>
  <c r="C72" i="71"/>
  <c r="E46" i="76"/>
  <c r="C72" i="76"/>
  <c r="E46" i="22"/>
  <c r="C72" i="22"/>
  <c r="E46" i="48"/>
  <c r="C72" i="48"/>
  <c r="E46" i="39"/>
  <c r="C72" i="39"/>
  <c r="E46" i="40"/>
  <c r="C72" i="40"/>
  <c r="E46" i="51"/>
  <c r="C72" i="51"/>
  <c r="E46" i="45"/>
  <c r="C72" i="45"/>
  <c r="E46" i="17"/>
  <c r="C72" i="17"/>
  <c r="E46" i="25"/>
  <c r="C72" i="25"/>
  <c r="E46" i="38"/>
  <c r="C72" i="38"/>
  <c r="E46" i="31"/>
  <c r="C72" i="31"/>
  <c r="E46" i="23"/>
  <c r="C72" i="23"/>
  <c r="E46" i="70"/>
  <c r="C72" i="70"/>
  <c r="E46" i="21"/>
  <c r="C72" i="21"/>
  <c r="E46" i="20"/>
  <c r="C72" i="20"/>
  <c r="E46" i="77"/>
  <c r="C72" i="77"/>
  <c r="E46" i="30"/>
  <c r="C72" i="30"/>
  <c r="E46" i="69"/>
  <c r="C72" i="69"/>
  <c r="E46" i="44"/>
  <c r="C72" i="44"/>
  <c r="E46" i="28"/>
  <c r="C72" i="28"/>
  <c r="E46" i="68"/>
  <c r="C72" i="68"/>
  <c r="E46" i="58"/>
  <c r="C72" i="58"/>
  <c r="E46" i="37"/>
  <c r="C72" i="37"/>
  <c r="E46" i="35"/>
  <c r="C72" i="35"/>
  <c r="E46" i="78"/>
  <c r="C72" i="78"/>
  <c r="E46" i="66"/>
  <c r="C72" i="66"/>
  <c r="H73" i="43"/>
  <c r="E46" i="47"/>
  <c r="C72" i="47"/>
  <c r="E46" i="50"/>
  <c r="C72" i="50"/>
  <c r="E46" i="36"/>
  <c r="C72" i="36"/>
  <c r="E46" i="32"/>
  <c r="C72" i="32"/>
  <c r="H73" i="32" s="1"/>
  <c r="E46" i="16"/>
  <c r="C72" i="16"/>
  <c r="E46" i="52"/>
  <c r="C72" i="52"/>
  <c r="E46" i="55"/>
  <c r="C72" i="55"/>
  <c r="E46" i="18"/>
  <c r="C72" i="18"/>
  <c r="E46" i="57"/>
  <c r="C72" i="57"/>
  <c r="E46" i="67"/>
  <c r="C72" i="67"/>
  <c r="E46" i="26"/>
  <c r="C72" i="26"/>
  <c r="E46" i="75"/>
  <c r="C72" i="75"/>
  <c r="E46" i="27"/>
  <c r="C72" i="27"/>
  <c r="I30" i="16"/>
  <c r="I51" i="33"/>
  <c r="I52" i="33"/>
  <c r="I52" i="43"/>
  <c r="I51" i="43"/>
  <c r="I30" i="17"/>
  <c r="I85" i="34"/>
  <c r="I92" i="34"/>
  <c r="I90" i="34"/>
  <c r="I90" i="52"/>
  <c r="I107" i="71"/>
  <c r="I30" i="32"/>
  <c r="C107" i="71"/>
  <c r="I107" i="52"/>
  <c r="C107" i="52"/>
  <c r="C107" i="76"/>
  <c r="I92" i="52"/>
  <c r="I85" i="52"/>
  <c r="H88" i="52"/>
  <c r="I88" i="52" s="1"/>
  <c r="I107" i="76"/>
  <c r="I45" i="60"/>
  <c r="C107" i="7"/>
  <c r="I30" i="7"/>
  <c r="C107" i="34"/>
  <c r="I46" i="75"/>
  <c r="I30" i="67"/>
  <c r="C107" i="21"/>
  <c r="I107" i="44"/>
  <c r="I30" i="70"/>
  <c r="I30" i="20"/>
  <c r="I107" i="40"/>
  <c r="I107" i="48"/>
  <c r="C107" i="22"/>
  <c r="H104" i="22"/>
  <c r="I107" i="22" s="1"/>
  <c r="P14" i="76"/>
  <c r="P29" i="76"/>
  <c r="T29" i="76" s="1"/>
  <c r="U29" i="76" s="1"/>
  <c r="P24" i="76"/>
  <c r="T24" i="76" s="1"/>
  <c r="U24" i="76" s="1"/>
  <c r="P38" i="76"/>
  <c r="U38" i="76" s="1"/>
  <c r="P41" i="76"/>
  <c r="U41" i="76" s="1"/>
  <c r="P19" i="76"/>
  <c r="T19" i="76" s="1"/>
  <c r="U19" i="76" s="1"/>
  <c r="P122" i="76"/>
  <c r="U122" i="76" s="1"/>
  <c r="P16" i="76"/>
  <c r="T16" i="76" s="1"/>
  <c r="U16" i="76" s="1"/>
  <c r="P26" i="76"/>
  <c r="T26" i="76" s="1"/>
  <c r="U26" i="76" s="1"/>
  <c r="P21" i="76"/>
  <c r="T21" i="76" s="1"/>
  <c r="U21" i="76" s="1"/>
  <c r="P28" i="76"/>
  <c r="T28" i="76" s="1"/>
  <c r="U28" i="76" s="1"/>
  <c r="P39" i="76"/>
  <c r="U39" i="76" s="1"/>
  <c r="P42" i="76"/>
  <c r="U42" i="76" s="1"/>
  <c r="P18" i="76"/>
  <c r="T18" i="76" s="1"/>
  <c r="U18" i="76" s="1"/>
  <c r="P23" i="76"/>
  <c r="T23" i="76" s="1"/>
  <c r="U23" i="76" s="1"/>
  <c r="P121" i="76"/>
  <c r="U121" i="76" s="1"/>
  <c r="P15" i="76"/>
  <c r="T15" i="76" s="1"/>
  <c r="U15" i="76" s="1"/>
  <c r="P25" i="76"/>
  <c r="T25" i="76" s="1"/>
  <c r="U25" i="76" s="1"/>
  <c r="P27" i="76"/>
  <c r="T27" i="76" s="1"/>
  <c r="U27" i="76" s="1"/>
  <c r="P20" i="76"/>
  <c r="T20" i="76" s="1"/>
  <c r="U20" i="76" s="1"/>
  <c r="P40" i="76"/>
  <c r="U40" i="76" s="1"/>
  <c r="P17" i="76"/>
  <c r="T17" i="76" s="1"/>
  <c r="U17" i="76" s="1"/>
  <c r="P43" i="76"/>
  <c r="U43" i="76" s="1"/>
  <c r="P113" i="76"/>
  <c r="U113" i="76" s="1"/>
  <c r="P22" i="76"/>
  <c r="T22" i="76" s="1"/>
  <c r="U22" i="76" s="1"/>
  <c r="P123" i="76"/>
  <c r="U123" i="76" s="1"/>
  <c r="E41" i="72"/>
  <c r="V41" i="72" s="1"/>
  <c r="C107" i="44"/>
  <c r="I85" i="24"/>
  <c r="I90" i="24"/>
  <c r="I92" i="24"/>
  <c r="H88" i="24"/>
  <c r="I88" i="24" s="1"/>
  <c r="P18" i="70"/>
  <c r="T18" i="70" s="1"/>
  <c r="U18" i="70" s="1"/>
  <c r="P23" i="70"/>
  <c r="T23" i="70" s="1"/>
  <c r="U23" i="70" s="1"/>
  <c r="P121" i="70"/>
  <c r="U121" i="70" s="1"/>
  <c r="P15" i="70"/>
  <c r="T15" i="70" s="1"/>
  <c r="U15" i="70" s="1"/>
  <c r="P25" i="70"/>
  <c r="T25" i="70" s="1"/>
  <c r="U25" i="70" s="1"/>
  <c r="P19" i="70"/>
  <c r="T19" i="70" s="1"/>
  <c r="U19" i="70" s="1"/>
  <c r="P122" i="70"/>
  <c r="U122" i="70" s="1"/>
  <c r="P22" i="70"/>
  <c r="T22" i="70" s="1"/>
  <c r="U22" i="70" s="1"/>
  <c r="P27" i="70"/>
  <c r="T27" i="70" s="1"/>
  <c r="U27" i="70" s="1"/>
  <c r="P40" i="70"/>
  <c r="U40" i="70" s="1"/>
  <c r="P20" i="70"/>
  <c r="T20" i="70" s="1"/>
  <c r="U20" i="70" s="1"/>
  <c r="P16" i="70"/>
  <c r="T16" i="70" s="1"/>
  <c r="U16" i="70" s="1"/>
  <c r="P41" i="70"/>
  <c r="U41" i="70" s="1"/>
  <c r="P14" i="70"/>
  <c r="P21" i="70"/>
  <c r="T21" i="70" s="1"/>
  <c r="U21" i="70" s="1"/>
  <c r="P26" i="70"/>
  <c r="T26" i="70" s="1"/>
  <c r="U26" i="70" s="1"/>
  <c r="P28" i="70"/>
  <c r="T28" i="70" s="1"/>
  <c r="U28" i="70" s="1"/>
  <c r="P42" i="70"/>
  <c r="U42" i="70" s="1"/>
  <c r="P38" i="70"/>
  <c r="U38" i="70" s="1"/>
  <c r="P43" i="70"/>
  <c r="U43" i="70" s="1"/>
  <c r="P123" i="70"/>
  <c r="U123" i="70" s="1"/>
  <c r="P113" i="70"/>
  <c r="U113" i="70" s="1"/>
  <c r="P24" i="70"/>
  <c r="T24" i="70" s="1"/>
  <c r="U24" i="70" s="1"/>
  <c r="P29" i="70"/>
  <c r="T29" i="70" s="1"/>
  <c r="U29" i="70" s="1"/>
  <c r="P17" i="70"/>
  <c r="T17" i="70" s="1"/>
  <c r="U17" i="70" s="1"/>
  <c r="P39" i="70"/>
  <c r="U39" i="70" s="1"/>
  <c r="E49" i="72"/>
  <c r="V49" i="72" s="1"/>
  <c r="C107" i="50"/>
  <c r="H104" i="50"/>
  <c r="I107" i="50" s="1"/>
  <c r="H105" i="35"/>
  <c r="I107" i="35" s="1"/>
  <c r="C107" i="35"/>
  <c r="P18" i="35"/>
  <c r="T18" i="35" s="1"/>
  <c r="U18" i="35" s="1"/>
  <c r="P23" i="35"/>
  <c r="T23" i="35" s="1"/>
  <c r="U23" i="35" s="1"/>
  <c r="P121" i="35"/>
  <c r="U121" i="35" s="1"/>
  <c r="P113" i="35"/>
  <c r="U113" i="35" s="1"/>
  <c r="P15" i="35"/>
  <c r="T15" i="35" s="1"/>
  <c r="U15" i="35" s="1"/>
  <c r="P25" i="35"/>
  <c r="T25" i="35" s="1"/>
  <c r="U25" i="35" s="1"/>
  <c r="P20" i="35"/>
  <c r="T20" i="35" s="1"/>
  <c r="U20" i="35" s="1"/>
  <c r="P40" i="35"/>
  <c r="U40" i="35" s="1"/>
  <c r="P43" i="35"/>
  <c r="U43" i="35" s="1"/>
  <c r="P123" i="35"/>
  <c r="U123" i="35" s="1"/>
  <c r="P27" i="35"/>
  <c r="T27" i="35" s="1"/>
  <c r="U27" i="35" s="1"/>
  <c r="P17" i="35"/>
  <c r="T17" i="35" s="1"/>
  <c r="U17" i="35" s="1"/>
  <c r="P22" i="35"/>
  <c r="T22" i="35" s="1"/>
  <c r="U22" i="35" s="1"/>
  <c r="P14" i="35"/>
  <c r="P29" i="35"/>
  <c r="T29" i="35" s="1"/>
  <c r="U29" i="35" s="1"/>
  <c r="P24" i="35"/>
  <c r="T24" i="35" s="1"/>
  <c r="U24" i="35" s="1"/>
  <c r="P38" i="35"/>
  <c r="U38" i="35" s="1"/>
  <c r="P41" i="35"/>
  <c r="U41" i="35" s="1"/>
  <c r="P19" i="35"/>
  <c r="T19" i="35" s="1"/>
  <c r="U19" i="35" s="1"/>
  <c r="P122" i="35"/>
  <c r="U122" i="35" s="1"/>
  <c r="P16" i="35"/>
  <c r="T16" i="35" s="1"/>
  <c r="U16" i="35" s="1"/>
  <c r="P26" i="35"/>
  <c r="T26" i="35" s="1"/>
  <c r="U26" i="35" s="1"/>
  <c r="P21" i="35"/>
  <c r="T21" i="35" s="1"/>
  <c r="U21" i="35" s="1"/>
  <c r="P39" i="35"/>
  <c r="U39" i="35" s="1"/>
  <c r="P42" i="35"/>
  <c r="U42" i="35" s="1"/>
  <c r="P28" i="35"/>
  <c r="T28" i="35" s="1"/>
  <c r="U28" i="35" s="1"/>
  <c r="E24" i="72"/>
  <c r="V24" i="72" s="1"/>
  <c r="I85" i="76"/>
  <c r="I90" i="76"/>
  <c r="I92" i="76"/>
  <c r="H88" i="76"/>
  <c r="I88" i="76" s="1"/>
  <c r="H104" i="37"/>
  <c r="I107" i="37" s="1"/>
  <c r="C107" i="37"/>
  <c r="I85" i="37"/>
  <c r="I90" i="37"/>
  <c r="I92" i="37"/>
  <c r="H88" i="37"/>
  <c r="I88" i="37" s="1"/>
  <c r="I92" i="47"/>
  <c r="H88" i="47"/>
  <c r="I88" i="47" s="1"/>
  <c r="I90" i="47"/>
  <c r="I85" i="47"/>
  <c r="H104" i="51"/>
  <c r="I107" i="51" s="1"/>
  <c r="C107" i="51"/>
  <c r="I85" i="44"/>
  <c r="I90" i="44"/>
  <c r="I92" i="44"/>
  <c r="H88" i="44"/>
  <c r="I88" i="44" s="1"/>
  <c r="P16" i="75"/>
  <c r="T16" i="75" s="1"/>
  <c r="U16" i="75" s="1"/>
  <c r="P15" i="75"/>
  <c r="T15" i="75" s="1"/>
  <c r="U15" i="75" s="1"/>
  <c r="P38" i="75"/>
  <c r="U38" i="75" s="1"/>
  <c r="P41" i="75"/>
  <c r="U41" i="75" s="1"/>
  <c r="P18" i="75"/>
  <c r="T18" i="75" s="1"/>
  <c r="U18" i="75" s="1"/>
  <c r="P26" i="75"/>
  <c r="T26" i="75" s="1"/>
  <c r="U26" i="75" s="1"/>
  <c r="P122" i="75"/>
  <c r="U122" i="75" s="1"/>
  <c r="P28" i="75"/>
  <c r="T28" i="75" s="1"/>
  <c r="U28" i="75" s="1"/>
  <c r="P23" i="75"/>
  <c r="T23" i="75" s="1"/>
  <c r="U23" i="75" s="1"/>
  <c r="P39" i="75"/>
  <c r="U39" i="75" s="1"/>
  <c r="P42" i="75"/>
  <c r="U42" i="75" s="1"/>
  <c r="P21" i="75"/>
  <c r="T21" i="75" s="1"/>
  <c r="U21" i="75" s="1"/>
  <c r="P121" i="75"/>
  <c r="U121" i="75" s="1"/>
  <c r="P25" i="75"/>
  <c r="T25" i="75" s="1"/>
  <c r="U25" i="75" s="1"/>
  <c r="P113" i="75"/>
  <c r="U113" i="75" s="1"/>
  <c r="P14" i="75"/>
  <c r="P19" i="75"/>
  <c r="T19" i="75" s="1"/>
  <c r="U19" i="75" s="1"/>
  <c r="P27" i="75"/>
  <c r="T27" i="75" s="1"/>
  <c r="U27" i="75" s="1"/>
  <c r="P40" i="75"/>
  <c r="U40" i="75" s="1"/>
  <c r="P43" i="75"/>
  <c r="U43" i="75" s="1"/>
  <c r="P123" i="75"/>
  <c r="U123" i="75" s="1"/>
  <c r="P17" i="75"/>
  <c r="T17" i="75" s="1"/>
  <c r="U17" i="75" s="1"/>
  <c r="P24" i="75"/>
  <c r="T24" i="75" s="1"/>
  <c r="U24" i="75" s="1"/>
  <c r="P20" i="75"/>
  <c r="T20" i="75" s="1"/>
  <c r="U20" i="75" s="1"/>
  <c r="P22" i="75"/>
  <c r="T22" i="75" s="1"/>
  <c r="U22" i="75" s="1"/>
  <c r="P29" i="75"/>
  <c r="T29" i="75" s="1"/>
  <c r="U29" i="75" s="1"/>
  <c r="E40" i="72"/>
  <c r="V40" i="72" s="1"/>
  <c r="P15" i="28"/>
  <c r="T15" i="28" s="1"/>
  <c r="U15" i="28" s="1"/>
  <c r="P25" i="28"/>
  <c r="T25" i="28" s="1"/>
  <c r="U25" i="28" s="1"/>
  <c r="P20" i="28"/>
  <c r="T20" i="28" s="1"/>
  <c r="U20" i="28" s="1"/>
  <c r="P40" i="28"/>
  <c r="U40" i="28" s="1"/>
  <c r="P43" i="28"/>
  <c r="U43" i="28" s="1"/>
  <c r="P123" i="28"/>
  <c r="U123" i="28" s="1"/>
  <c r="P27" i="28"/>
  <c r="T27" i="28" s="1"/>
  <c r="U27" i="28" s="1"/>
  <c r="P17" i="28"/>
  <c r="T17" i="28" s="1"/>
  <c r="U17" i="28" s="1"/>
  <c r="P22" i="28"/>
  <c r="T22" i="28" s="1"/>
  <c r="U22" i="28" s="1"/>
  <c r="P14" i="28"/>
  <c r="P29" i="28"/>
  <c r="T29" i="28" s="1"/>
  <c r="U29" i="28" s="1"/>
  <c r="P24" i="28"/>
  <c r="T24" i="28" s="1"/>
  <c r="U24" i="28" s="1"/>
  <c r="P38" i="28"/>
  <c r="U38" i="28" s="1"/>
  <c r="P41" i="28"/>
  <c r="U41" i="28" s="1"/>
  <c r="P19" i="28"/>
  <c r="T19" i="28" s="1"/>
  <c r="U19" i="28" s="1"/>
  <c r="P122" i="28"/>
  <c r="U122" i="28" s="1"/>
  <c r="P16" i="28"/>
  <c r="T16" i="28" s="1"/>
  <c r="U16" i="28" s="1"/>
  <c r="P26" i="28"/>
  <c r="T26" i="28" s="1"/>
  <c r="U26" i="28" s="1"/>
  <c r="P28" i="28"/>
  <c r="T28" i="28" s="1"/>
  <c r="U28" i="28" s="1"/>
  <c r="P39" i="28"/>
  <c r="U39" i="28" s="1"/>
  <c r="P42" i="28"/>
  <c r="U42" i="28" s="1"/>
  <c r="P18" i="28"/>
  <c r="T18" i="28" s="1"/>
  <c r="U18" i="28" s="1"/>
  <c r="P23" i="28"/>
  <c r="T23" i="28" s="1"/>
  <c r="U23" i="28" s="1"/>
  <c r="P121" i="28"/>
  <c r="U121" i="28" s="1"/>
  <c r="P21" i="28"/>
  <c r="T21" i="28" s="1"/>
  <c r="U21" i="28" s="1"/>
  <c r="P113" i="28"/>
  <c r="U113" i="28" s="1"/>
  <c r="E19" i="72"/>
  <c r="V19" i="72" s="1"/>
  <c r="H88" i="45"/>
  <c r="I88" i="45" s="1"/>
  <c r="I85" i="45"/>
  <c r="I90" i="45"/>
  <c r="I92" i="45"/>
  <c r="P28" i="50"/>
  <c r="T28" i="50" s="1"/>
  <c r="U28" i="50" s="1"/>
  <c r="P39" i="50"/>
  <c r="U39" i="50" s="1"/>
  <c r="P42" i="50"/>
  <c r="U42" i="50" s="1"/>
  <c r="P18" i="50"/>
  <c r="T18" i="50" s="1"/>
  <c r="U18" i="50" s="1"/>
  <c r="P23" i="50"/>
  <c r="T23" i="50" s="1"/>
  <c r="U23" i="50" s="1"/>
  <c r="P121" i="50"/>
  <c r="U121" i="50" s="1"/>
  <c r="P113" i="50"/>
  <c r="U113" i="50" s="1"/>
  <c r="P15" i="50"/>
  <c r="T15" i="50" s="1"/>
  <c r="U15" i="50" s="1"/>
  <c r="P25" i="50"/>
  <c r="T25" i="50" s="1"/>
  <c r="U25" i="50" s="1"/>
  <c r="P20" i="50"/>
  <c r="T20" i="50" s="1"/>
  <c r="U20" i="50" s="1"/>
  <c r="P40" i="50"/>
  <c r="U40" i="50" s="1"/>
  <c r="P43" i="50"/>
  <c r="U43" i="50" s="1"/>
  <c r="P123" i="50"/>
  <c r="U123" i="50" s="1"/>
  <c r="P27" i="50"/>
  <c r="T27" i="50" s="1"/>
  <c r="U27" i="50" s="1"/>
  <c r="P17" i="50"/>
  <c r="T17" i="50" s="1"/>
  <c r="U17" i="50" s="1"/>
  <c r="P22" i="50"/>
  <c r="T22" i="50" s="1"/>
  <c r="U22" i="50" s="1"/>
  <c r="P14" i="50"/>
  <c r="P29" i="50"/>
  <c r="T29" i="50" s="1"/>
  <c r="U29" i="50" s="1"/>
  <c r="P24" i="50"/>
  <c r="T24" i="50" s="1"/>
  <c r="U24" i="50" s="1"/>
  <c r="P38" i="50"/>
  <c r="U38" i="50" s="1"/>
  <c r="P41" i="50"/>
  <c r="U41" i="50" s="1"/>
  <c r="P19" i="50"/>
  <c r="T19" i="50" s="1"/>
  <c r="U19" i="50" s="1"/>
  <c r="P122" i="50"/>
  <c r="U122" i="50" s="1"/>
  <c r="P21" i="50"/>
  <c r="T21" i="50" s="1"/>
  <c r="U21" i="50" s="1"/>
  <c r="P16" i="50"/>
  <c r="T16" i="50" s="1"/>
  <c r="U16" i="50" s="1"/>
  <c r="P26" i="50"/>
  <c r="T26" i="50" s="1"/>
  <c r="U26" i="50" s="1"/>
  <c r="E37" i="72"/>
  <c r="V37" i="72" s="1"/>
  <c r="H88" i="57"/>
  <c r="I88" i="57" s="1"/>
  <c r="I85" i="57"/>
  <c r="I90" i="57"/>
  <c r="I92" i="57"/>
  <c r="I85" i="20"/>
  <c r="I90" i="20"/>
  <c r="I92" i="20"/>
  <c r="H88" i="20"/>
  <c r="I88" i="20" s="1"/>
  <c r="C107" i="39"/>
  <c r="H104" i="39"/>
  <c r="I107" i="39" s="1"/>
  <c r="C107" i="57"/>
  <c r="H104" i="57"/>
  <c r="I107" i="57" s="1"/>
  <c r="C107" i="36"/>
  <c r="H104" i="36"/>
  <c r="I107" i="36" s="1"/>
  <c r="H104" i="47"/>
  <c r="I107" i="47" s="1"/>
  <c r="C107" i="47"/>
  <c r="I85" i="28"/>
  <c r="I90" i="28"/>
  <c r="I92" i="28"/>
  <c r="H88" i="28"/>
  <c r="I88" i="28" s="1"/>
  <c r="I85" i="17"/>
  <c r="I92" i="17"/>
  <c r="H88" i="17"/>
  <c r="I88" i="17" s="1"/>
  <c r="I90" i="17"/>
  <c r="C107" i="17"/>
  <c r="H104" i="17"/>
  <c r="I107" i="17" s="1"/>
  <c r="H88" i="43"/>
  <c r="I88" i="43" s="1"/>
  <c r="I85" i="43"/>
  <c r="I90" i="43"/>
  <c r="I92" i="43"/>
  <c r="P18" i="37"/>
  <c r="T18" i="37" s="1"/>
  <c r="U18" i="37" s="1"/>
  <c r="P23" i="37"/>
  <c r="T23" i="37" s="1"/>
  <c r="U23" i="37" s="1"/>
  <c r="P121" i="37"/>
  <c r="U121" i="37" s="1"/>
  <c r="P15" i="37"/>
  <c r="T15" i="37" s="1"/>
  <c r="U15" i="37" s="1"/>
  <c r="P25" i="37"/>
  <c r="T25" i="37" s="1"/>
  <c r="U25" i="37" s="1"/>
  <c r="P20" i="37"/>
  <c r="T20" i="37" s="1"/>
  <c r="U20" i="37" s="1"/>
  <c r="P40" i="37"/>
  <c r="U40" i="37" s="1"/>
  <c r="P43" i="37"/>
  <c r="U43" i="37" s="1"/>
  <c r="P123" i="37"/>
  <c r="U123" i="37" s="1"/>
  <c r="P27" i="37"/>
  <c r="T27" i="37" s="1"/>
  <c r="U27" i="37" s="1"/>
  <c r="P17" i="37"/>
  <c r="T17" i="37" s="1"/>
  <c r="U17" i="37" s="1"/>
  <c r="P22" i="37"/>
  <c r="T22" i="37" s="1"/>
  <c r="U22" i="37" s="1"/>
  <c r="P14" i="37"/>
  <c r="P29" i="37"/>
  <c r="T29" i="37" s="1"/>
  <c r="U29" i="37" s="1"/>
  <c r="P24" i="37"/>
  <c r="T24" i="37" s="1"/>
  <c r="U24" i="37" s="1"/>
  <c r="P38" i="37"/>
  <c r="U38" i="37" s="1"/>
  <c r="P41" i="37"/>
  <c r="U41" i="37" s="1"/>
  <c r="P19" i="37"/>
  <c r="T19" i="37" s="1"/>
  <c r="U19" i="37" s="1"/>
  <c r="P16" i="37"/>
  <c r="T16" i="37" s="1"/>
  <c r="U16" i="37" s="1"/>
  <c r="P26" i="37"/>
  <c r="T26" i="37" s="1"/>
  <c r="U26" i="37" s="1"/>
  <c r="P21" i="37"/>
  <c r="T21" i="37" s="1"/>
  <c r="U21" i="37" s="1"/>
  <c r="P39" i="37"/>
  <c r="U39" i="37" s="1"/>
  <c r="P122" i="37"/>
  <c r="U122" i="37" s="1"/>
  <c r="P113" i="37"/>
  <c r="U113" i="37" s="1"/>
  <c r="P42" i="37"/>
  <c r="U42" i="37" s="1"/>
  <c r="P28" i="37"/>
  <c r="T28" i="37" s="1"/>
  <c r="U28" i="37" s="1"/>
  <c r="E27" i="72"/>
  <c r="V27" i="72" s="1"/>
  <c r="P17" i="47"/>
  <c r="T17" i="47" s="1"/>
  <c r="U17" i="47" s="1"/>
  <c r="P22" i="47"/>
  <c r="T22" i="47" s="1"/>
  <c r="U22" i="47" s="1"/>
  <c r="P14" i="47"/>
  <c r="P29" i="47"/>
  <c r="T29" i="47" s="1"/>
  <c r="U29" i="47" s="1"/>
  <c r="P24" i="47"/>
  <c r="T24" i="47" s="1"/>
  <c r="U24" i="47" s="1"/>
  <c r="P19" i="47"/>
  <c r="T19" i="47" s="1"/>
  <c r="U19" i="47" s="1"/>
  <c r="P15" i="47"/>
  <c r="T15" i="47" s="1"/>
  <c r="U15" i="47" s="1"/>
  <c r="P39" i="47"/>
  <c r="U39" i="47" s="1"/>
  <c r="P43" i="47"/>
  <c r="U43" i="47" s="1"/>
  <c r="P121" i="47"/>
  <c r="U121" i="47" s="1"/>
  <c r="P27" i="47"/>
  <c r="T27" i="47" s="1"/>
  <c r="U27" i="47" s="1"/>
  <c r="P113" i="47"/>
  <c r="U113" i="47" s="1"/>
  <c r="P25" i="47"/>
  <c r="T25" i="47" s="1"/>
  <c r="U25" i="47" s="1"/>
  <c r="P20" i="47"/>
  <c r="T20" i="47" s="1"/>
  <c r="U20" i="47" s="1"/>
  <c r="P40" i="47"/>
  <c r="U40" i="47" s="1"/>
  <c r="P123" i="47"/>
  <c r="U123" i="47" s="1"/>
  <c r="P23" i="47"/>
  <c r="T23" i="47" s="1"/>
  <c r="U23" i="47" s="1"/>
  <c r="P28" i="47"/>
  <c r="T28" i="47" s="1"/>
  <c r="U28" i="47" s="1"/>
  <c r="P41" i="47"/>
  <c r="U41" i="47" s="1"/>
  <c r="P18" i="47"/>
  <c r="T18" i="47" s="1"/>
  <c r="U18" i="47" s="1"/>
  <c r="P26" i="47"/>
  <c r="T26" i="47" s="1"/>
  <c r="U26" i="47" s="1"/>
  <c r="P21" i="47"/>
  <c r="T21" i="47" s="1"/>
  <c r="U21" i="47" s="1"/>
  <c r="P16" i="47"/>
  <c r="T16" i="47" s="1"/>
  <c r="U16" i="47" s="1"/>
  <c r="P42" i="47"/>
  <c r="U42" i="47" s="1"/>
  <c r="P122" i="47"/>
  <c r="U122" i="47" s="1"/>
  <c r="P38" i="47"/>
  <c r="U38" i="47" s="1"/>
  <c r="E35" i="72"/>
  <c r="V35" i="72" s="1"/>
  <c r="P14" i="39"/>
  <c r="P29" i="39"/>
  <c r="T29" i="39" s="1"/>
  <c r="U29" i="39" s="1"/>
  <c r="P24" i="39"/>
  <c r="T24" i="39" s="1"/>
  <c r="U24" i="39" s="1"/>
  <c r="P38" i="39"/>
  <c r="U38" i="39" s="1"/>
  <c r="P41" i="39"/>
  <c r="U41" i="39" s="1"/>
  <c r="P19" i="39"/>
  <c r="T19" i="39" s="1"/>
  <c r="U19" i="39" s="1"/>
  <c r="P122" i="39"/>
  <c r="U122" i="39" s="1"/>
  <c r="P16" i="39"/>
  <c r="T16" i="39" s="1"/>
  <c r="U16" i="39" s="1"/>
  <c r="P26" i="39"/>
  <c r="T26" i="39" s="1"/>
  <c r="U26" i="39" s="1"/>
  <c r="P21" i="39"/>
  <c r="T21" i="39" s="1"/>
  <c r="U21" i="39" s="1"/>
  <c r="P28" i="39"/>
  <c r="T28" i="39" s="1"/>
  <c r="U28" i="39" s="1"/>
  <c r="P39" i="39"/>
  <c r="U39" i="39" s="1"/>
  <c r="P42" i="39"/>
  <c r="U42" i="39" s="1"/>
  <c r="P18" i="39"/>
  <c r="T18" i="39" s="1"/>
  <c r="U18" i="39" s="1"/>
  <c r="P23" i="39"/>
  <c r="T23" i="39" s="1"/>
  <c r="U23" i="39" s="1"/>
  <c r="P121" i="39"/>
  <c r="U121" i="39" s="1"/>
  <c r="P113" i="39"/>
  <c r="U113" i="39" s="1"/>
  <c r="P15" i="39"/>
  <c r="T15" i="39" s="1"/>
  <c r="U15" i="39" s="1"/>
  <c r="P25" i="39"/>
  <c r="T25" i="39" s="1"/>
  <c r="U25" i="39" s="1"/>
  <c r="P20" i="39"/>
  <c r="T20" i="39" s="1"/>
  <c r="U20" i="39" s="1"/>
  <c r="P40" i="39"/>
  <c r="U40" i="39" s="1"/>
  <c r="P43" i="39"/>
  <c r="U43" i="39" s="1"/>
  <c r="P123" i="39"/>
  <c r="U123" i="39" s="1"/>
  <c r="P27" i="39"/>
  <c r="T27" i="39" s="1"/>
  <c r="U27" i="39" s="1"/>
  <c r="P22" i="39"/>
  <c r="T22" i="39" s="1"/>
  <c r="U22" i="39" s="1"/>
  <c r="P17" i="39"/>
  <c r="T17" i="39" s="1"/>
  <c r="U17" i="39" s="1"/>
  <c r="E29" i="72"/>
  <c r="V29" i="72" s="1"/>
  <c r="P20" i="44"/>
  <c r="T20" i="44" s="1"/>
  <c r="U20" i="44" s="1"/>
  <c r="P40" i="44"/>
  <c r="U40" i="44" s="1"/>
  <c r="P43" i="44"/>
  <c r="U43" i="44" s="1"/>
  <c r="P27" i="44"/>
  <c r="T27" i="44" s="1"/>
  <c r="U27" i="44" s="1"/>
  <c r="P17" i="44"/>
  <c r="T17" i="44" s="1"/>
  <c r="U17" i="44" s="1"/>
  <c r="P22" i="44"/>
  <c r="T22" i="44" s="1"/>
  <c r="U22" i="44" s="1"/>
  <c r="P14" i="44"/>
  <c r="P24" i="44"/>
  <c r="T24" i="44" s="1"/>
  <c r="U24" i="44" s="1"/>
  <c r="P38" i="44"/>
  <c r="U38" i="44" s="1"/>
  <c r="P41" i="44"/>
  <c r="U41" i="44" s="1"/>
  <c r="P19" i="44"/>
  <c r="T19" i="44" s="1"/>
  <c r="U19" i="44" s="1"/>
  <c r="P21" i="44"/>
  <c r="T21" i="44" s="1"/>
  <c r="U21" i="44" s="1"/>
  <c r="P26" i="44"/>
  <c r="T26" i="44" s="1"/>
  <c r="U26" i="44" s="1"/>
  <c r="P23" i="44"/>
  <c r="T23" i="44" s="1"/>
  <c r="U23" i="44" s="1"/>
  <c r="P29" i="44"/>
  <c r="T29" i="44" s="1"/>
  <c r="U29" i="44" s="1"/>
  <c r="P121" i="44"/>
  <c r="U121" i="44" s="1"/>
  <c r="P113" i="44"/>
  <c r="U113" i="44" s="1"/>
  <c r="P18" i="44"/>
  <c r="T18" i="44" s="1"/>
  <c r="U18" i="44" s="1"/>
  <c r="P42" i="44"/>
  <c r="U42" i="44" s="1"/>
  <c r="P123" i="44"/>
  <c r="U123" i="44" s="1"/>
  <c r="P16" i="44"/>
  <c r="T16" i="44" s="1"/>
  <c r="U16" i="44" s="1"/>
  <c r="P39" i="44"/>
  <c r="U39" i="44" s="1"/>
  <c r="P28" i="44"/>
  <c r="T28" i="44" s="1"/>
  <c r="U28" i="44" s="1"/>
  <c r="P122" i="44"/>
  <c r="U122" i="44" s="1"/>
  <c r="P25" i="44"/>
  <c r="T25" i="44" s="1"/>
  <c r="U25" i="44" s="1"/>
  <c r="P15" i="44"/>
  <c r="T15" i="44" s="1"/>
  <c r="U15" i="44" s="1"/>
  <c r="E33" i="72"/>
  <c r="V33" i="72" s="1"/>
  <c r="P20" i="42"/>
  <c r="T20" i="42" s="1"/>
  <c r="U20" i="42" s="1"/>
  <c r="P40" i="42"/>
  <c r="U40" i="42" s="1"/>
  <c r="P43" i="42"/>
  <c r="U43" i="42" s="1"/>
  <c r="P123" i="42"/>
  <c r="U123" i="42" s="1"/>
  <c r="P27" i="42"/>
  <c r="T27" i="42" s="1"/>
  <c r="U27" i="42" s="1"/>
  <c r="P17" i="42"/>
  <c r="T17" i="42" s="1"/>
  <c r="U17" i="42" s="1"/>
  <c r="P22" i="42"/>
  <c r="T22" i="42" s="1"/>
  <c r="U22" i="42" s="1"/>
  <c r="P14" i="42"/>
  <c r="P29" i="42"/>
  <c r="T29" i="42" s="1"/>
  <c r="U29" i="42" s="1"/>
  <c r="P19" i="42"/>
  <c r="T19" i="42" s="1"/>
  <c r="U19" i="42" s="1"/>
  <c r="P122" i="42"/>
  <c r="U122" i="42" s="1"/>
  <c r="P16" i="42"/>
  <c r="T16" i="42" s="1"/>
  <c r="U16" i="42" s="1"/>
  <c r="P26" i="42"/>
  <c r="T26" i="42" s="1"/>
  <c r="U26" i="42" s="1"/>
  <c r="P21" i="42"/>
  <c r="T21" i="42" s="1"/>
  <c r="U21" i="42" s="1"/>
  <c r="P113" i="42"/>
  <c r="U113" i="42" s="1"/>
  <c r="P15" i="42"/>
  <c r="T15" i="42" s="1"/>
  <c r="U15" i="42" s="1"/>
  <c r="P18" i="42"/>
  <c r="T18" i="42" s="1"/>
  <c r="U18" i="42" s="1"/>
  <c r="P41" i="42"/>
  <c r="U41" i="42" s="1"/>
  <c r="P121" i="42"/>
  <c r="U121" i="42" s="1"/>
  <c r="P42" i="42"/>
  <c r="U42" i="42" s="1"/>
  <c r="P23" i="42"/>
  <c r="T23" i="42" s="1"/>
  <c r="U23" i="42" s="1"/>
  <c r="P24" i="42"/>
  <c r="T24" i="42" s="1"/>
  <c r="U24" i="42" s="1"/>
  <c r="P38" i="42"/>
  <c r="U38" i="42" s="1"/>
  <c r="P28" i="42"/>
  <c r="T28" i="42" s="1"/>
  <c r="U28" i="42" s="1"/>
  <c r="P39" i="42"/>
  <c r="U39" i="42" s="1"/>
  <c r="P25" i="42"/>
  <c r="T25" i="42" s="1"/>
  <c r="U25" i="42" s="1"/>
  <c r="E31" i="72"/>
  <c r="V31" i="72" s="1"/>
  <c r="H88" i="69"/>
  <c r="I88" i="69" s="1"/>
  <c r="I92" i="69"/>
  <c r="I90" i="69"/>
  <c r="I85" i="69"/>
  <c r="H104" i="75"/>
  <c r="I107" i="75" s="1"/>
  <c r="C107" i="75"/>
  <c r="P21" i="17"/>
  <c r="T21" i="17" s="1"/>
  <c r="U21" i="17" s="1"/>
  <c r="P28" i="17"/>
  <c r="T28" i="17" s="1"/>
  <c r="U28" i="17" s="1"/>
  <c r="P39" i="17"/>
  <c r="U39" i="17" s="1"/>
  <c r="P42" i="17"/>
  <c r="U42" i="17" s="1"/>
  <c r="P18" i="17"/>
  <c r="T18" i="17" s="1"/>
  <c r="U18" i="17" s="1"/>
  <c r="P23" i="17"/>
  <c r="T23" i="17" s="1"/>
  <c r="U23" i="17" s="1"/>
  <c r="P15" i="17"/>
  <c r="T15" i="17" s="1"/>
  <c r="U15" i="17" s="1"/>
  <c r="P25" i="17"/>
  <c r="T25" i="17" s="1"/>
  <c r="U25" i="17" s="1"/>
  <c r="P20" i="17"/>
  <c r="T20" i="17" s="1"/>
  <c r="U20" i="17" s="1"/>
  <c r="P40" i="17"/>
  <c r="U40" i="17" s="1"/>
  <c r="P43" i="17"/>
  <c r="U43" i="17" s="1"/>
  <c r="P123" i="17"/>
  <c r="U123" i="17" s="1"/>
  <c r="P17" i="17"/>
  <c r="T17" i="17" s="1"/>
  <c r="U17" i="17" s="1"/>
  <c r="P22" i="17"/>
  <c r="T22" i="17" s="1"/>
  <c r="U22" i="17" s="1"/>
  <c r="P19" i="17"/>
  <c r="T19" i="17" s="1"/>
  <c r="U19" i="17" s="1"/>
  <c r="P122" i="17"/>
  <c r="U122" i="17" s="1"/>
  <c r="P24" i="17"/>
  <c r="T24" i="17" s="1"/>
  <c r="U24" i="17" s="1"/>
  <c r="P14" i="17"/>
  <c r="P38" i="17"/>
  <c r="U38" i="17" s="1"/>
  <c r="P121" i="17"/>
  <c r="U121" i="17" s="1"/>
  <c r="P29" i="17"/>
  <c r="T29" i="17" s="1"/>
  <c r="U29" i="17" s="1"/>
  <c r="P41" i="17"/>
  <c r="U41" i="17" s="1"/>
  <c r="P26" i="17"/>
  <c r="T26" i="17" s="1"/>
  <c r="U26" i="17" s="1"/>
  <c r="P113" i="17"/>
  <c r="U113" i="17" s="1"/>
  <c r="P16" i="17"/>
  <c r="T16" i="17" s="1"/>
  <c r="U16" i="17" s="1"/>
  <c r="E10" i="72"/>
  <c r="P27" i="17"/>
  <c r="T27" i="17" s="1"/>
  <c r="U27" i="17" s="1"/>
  <c r="C107" i="27"/>
  <c r="H104" i="27"/>
  <c r="I107" i="27" s="1"/>
  <c r="P18" i="45"/>
  <c r="T18" i="45" s="1"/>
  <c r="U18" i="45" s="1"/>
  <c r="P23" i="45"/>
  <c r="T23" i="45" s="1"/>
  <c r="U23" i="45" s="1"/>
  <c r="P121" i="45"/>
  <c r="U121" i="45" s="1"/>
  <c r="P113" i="45"/>
  <c r="U113" i="45" s="1"/>
  <c r="P15" i="45"/>
  <c r="T15" i="45" s="1"/>
  <c r="U15" i="45" s="1"/>
  <c r="P25" i="45"/>
  <c r="T25" i="45" s="1"/>
  <c r="U25" i="45" s="1"/>
  <c r="P20" i="45"/>
  <c r="T20" i="45" s="1"/>
  <c r="U20" i="45" s="1"/>
  <c r="P40" i="45"/>
  <c r="U40" i="45" s="1"/>
  <c r="P43" i="45"/>
  <c r="U43" i="45" s="1"/>
  <c r="P123" i="45"/>
  <c r="U123" i="45" s="1"/>
  <c r="P27" i="45"/>
  <c r="T27" i="45" s="1"/>
  <c r="U27" i="45" s="1"/>
  <c r="P17" i="45"/>
  <c r="T17" i="45" s="1"/>
  <c r="U17" i="45" s="1"/>
  <c r="P22" i="45"/>
  <c r="T22" i="45" s="1"/>
  <c r="U22" i="45" s="1"/>
  <c r="P14" i="45"/>
  <c r="P29" i="45"/>
  <c r="T29" i="45" s="1"/>
  <c r="U29" i="45" s="1"/>
  <c r="P24" i="45"/>
  <c r="T24" i="45" s="1"/>
  <c r="U24" i="45" s="1"/>
  <c r="P38" i="45"/>
  <c r="U38" i="45" s="1"/>
  <c r="P41" i="45"/>
  <c r="U41" i="45" s="1"/>
  <c r="P16" i="45"/>
  <c r="T16" i="45" s="1"/>
  <c r="U16" i="45" s="1"/>
  <c r="P26" i="45"/>
  <c r="T26" i="45" s="1"/>
  <c r="U26" i="45" s="1"/>
  <c r="P39" i="45"/>
  <c r="U39" i="45" s="1"/>
  <c r="P122" i="45"/>
  <c r="U122" i="45" s="1"/>
  <c r="P19" i="45"/>
  <c r="T19" i="45" s="1"/>
  <c r="U19" i="45" s="1"/>
  <c r="P28" i="45"/>
  <c r="T28" i="45" s="1"/>
  <c r="U28" i="45" s="1"/>
  <c r="P42" i="45"/>
  <c r="U42" i="45" s="1"/>
  <c r="P21" i="45"/>
  <c r="T21" i="45" s="1"/>
  <c r="U21" i="45" s="1"/>
  <c r="E34" i="72"/>
  <c r="V34" i="72" s="1"/>
  <c r="H104" i="66"/>
  <c r="I107" i="66" s="1"/>
  <c r="C107" i="66"/>
  <c r="P14" i="40"/>
  <c r="P24" i="40"/>
  <c r="T24" i="40" s="1"/>
  <c r="U24" i="40" s="1"/>
  <c r="P18" i="40"/>
  <c r="T18" i="40" s="1"/>
  <c r="U18" i="40" s="1"/>
  <c r="P23" i="40"/>
  <c r="T23" i="40" s="1"/>
  <c r="U23" i="40" s="1"/>
  <c r="P17" i="40"/>
  <c r="T17" i="40" s="1"/>
  <c r="U17" i="40" s="1"/>
  <c r="P40" i="40"/>
  <c r="U40" i="40" s="1"/>
  <c r="P43" i="40"/>
  <c r="U43" i="40" s="1"/>
  <c r="P123" i="40"/>
  <c r="U123" i="40" s="1"/>
  <c r="P20" i="40"/>
  <c r="T20" i="40" s="1"/>
  <c r="U20" i="40" s="1"/>
  <c r="P27" i="40"/>
  <c r="T27" i="40" s="1"/>
  <c r="U27" i="40" s="1"/>
  <c r="P15" i="40"/>
  <c r="T15" i="40" s="1"/>
  <c r="U15" i="40" s="1"/>
  <c r="P29" i="40"/>
  <c r="T29" i="40" s="1"/>
  <c r="U29" i="40" s="1"/>
  <c r="P38" i="40"/>
  <c r="U38" i="40" s="1"/>
  <c r="P41" i="40"/>
  <c r="U41" i="40" s="1"/>
  <c r="P122" i="40"/>
  <c r="U122" i="40" s="1"/>
  <c r="P21" i="40"/>
  <c r="T21" i="40" s="1"/>
  <c r="U21" i="40" s="1"/>
  <c r="P26" i="40"/>
  <c r="T26" i="40" s="1"/>
  <c r="U26" i="40" s="1"/>
  <c r="P16" i="40"/>
  <c r="T16" i="40" s="1"/>
  <c r="U16" i="40" s="1"/>
  <c r="P19" i="40"/>
  <c r="T19" i="40" s="1"/>
  <c r="U19" i="40" s="1"/>
  <c r="P28" i="40"/>
  <c r="T28" i="40" s="1"/>
  <c r="U28" i="40" s="1"/>
  <c r="P39" i="40"/>
  <c r="U39" i="40" s="1"/>
  <c r="P42" i="40"/>
  <c r="U42" i="40" s="1"/>
  <c r="P22" i="40"/>
  <c r="T22" i="40" s="1"/>
  <c r="U22" i="40" s="1"/>
  <c r="P121" i="40"/>
  <c r="U121" i="40" s="1"/>
  <c r="P113" i="40"/>
  <c r="U113" i="40" s="1"/>
  <c r="P25" i="40"/>
  <c r="T25" i="40" s="1"/>
  <c r="U25" i="40" s="1"/>
  <c r="E30" i="72"/>
  <c r="V30" i="72" s="1"/>
  <c r="H104" i="26"/>
  <c r="I107" i="26" s="1"/>
  <c r="C107" i="26"/>
  <c r="I85" i="39"/>
  <c r="I90" i="39"/>
  <c r="I92" i="39"/>
  <c r="H88" i="39"/>
  <c r="I88" i="39" s="1"/>
  <c r="I92" i="42"/>
  <c r="H88" i="42"/>
  <c r="I88" i="42" s="1"/>
  <c r="I90" i="42"/>
  <c r="I85" i="42"/>
  <c r="H88" i="31"/>
  <c r="I88" i="31" s="1"/>
  <c r="I85" i="31"/>
  <c r="I90" i="31"/>
  <c r="I92" i="31"/>
  <c r="C107" i="25"/>
  <c r="H104" i="25"/>
  <c r="I107" i="25" s="1"/>
  <c r="I30" i="66"/>
  <c r="I85" i="40"/>
  <c r="I90" i="40"/>
  <c r="I92" i="40"/>
  <c r="H88" i="40"/>
  <c r="I88" i="40" s="1"/>
  <c r="P15" i="21"/>
  <c r="T15" i="21" s="1"/>
  <c r="U15" i="21" s="1"/>
  <c r="P25" i="21"/>
  <c r="T25" i="21" s="1"/>
  <c r="U25" i="21" s="1"/>
  <c r="P20" i="21"/>
  <c r="T20" i="21" s="1"/>
  <c r="U20" i="21" s="1"/>
  <c r="P40" i="21"/>
  <c r="U40" i="21" s="1"/>
  <c r="P43" i="21"/>
  <c r="U43" i="21" s="1"/>
  <c r="P123" i="21"/>
  <c r="U123" i="21" s="1"/>
  <c r="P27" i="21"/>
  <c r="T27" i="21" s="1"/>
  <c r="U27" i="21" s="1"/>
  <c r="P17" i="21"/>
  <c r="T17" i="21" s="1"/>
  <c r="U17" i="21" s="1"/>
  <c r="P22" i="21"/>
  <c r="T22" i="21" s="1"/>
  <c r="U22" i="21" s="1"/>
  <c r="P14" i="21"/>
  <c r="P29" i="21"/>
  <c r="T29" i="21" s="1"/>
  <c r="U29" i="21" s="1"/>
  <c r="P24" i="21"/>
  <c r="T24" i="21" s="1"/>
  <c r="U24" i="21" s="1"/>
  <c r="P38" i="21"/>
  <c r="U38" i="21" s="1"/>
  <c r="P41" i="21"/>
  <c r="U41" i="21" s="1"/>
  <c r="P16" i="21"/>
  <c r="T16" i="21" s="1"/>
  <c r="U16" i="21" s="1"/>
  <c r="P26" i="21"/>
  <c r="T26" i="21" s="1"/>
  <c r="U26" i="21" s="1"/>
  <c r="P21" i="21"/>
  <c r="T21" i="21" s="1"/>
  <c r="U21" i="21" s="1"/>
  <c r="P28" i="21"/>
  <c r="T28" i="21" s="1"/>
  <c r="U28" i="21" s="1"/>
  <c r="P39" i="21"/>
  <c r="U39" i="21" s="1"/>
  <c r="P42" i="21"/>
  <c r="U42" i="21" s="1"/>
  <c r="P18" i="21"/>
  <c r="T18" i="21" s="1"/>
  <c r="U18" i="21" s="1"/>
  <c r="P23" i="21"/>
  <c r="T23" i="21" s="1"/>
  <c r="U23" i="21" s="1"/>
  <c r="P121" i="21"/>
  <c r="U121" i="21" s="1"/>
  <c r="P122" i="21"/>
  <c r="U122" i="21" s="1"/>
  <c r="P113" i="21"/>
  <c r="U113" i="21" s="1"/>
  <c r="E13" i="72"/>
  <c r="V13" i="72" s="1"/>
  <c r="P19" i="21"/>
  <c r="T19" i="21" s="1"/>
  <c r="U19" i="21" s="1"/>
  <c r="C107" i="20"/>
  <c r="H104" i="20"/>
  <c r="I107" i="20" s="1"/>
  <c r="P15" i="68"/>
  <c r="T15" i="68" s="1"/>
  <c r="U15" i="68" s="1"/>
  <c r="P27" i="68"/>
  <c r="T27" i="68" s="1"/>
  <c r="U27" i="68" s="1"/>
  <c r="P17" i="68"/>
  <c r="T17" i="68" s="1"/>
  <c r="U17" i="68" s="1"/>
  <c r="P24" i="68"/>
  <c r="T24" i="68" s="1"/>
  <c r="U24" i="68" s="1"/>
  <c r="P16" i="68"/>
  <c r="T16" i="68" s="1"/>
  <c r="U16" i="68" s="1"/>
  <c r="P20" i="68"/>
  <c r="T20" i="68" s="1"/>
  <c r="U20" i="68" s="1"/>
  <c r="P23" i="68"/>
  <c r="T23" i="68" s="1"/>
  <c r="U23" i="68" s="1"/>
  <c r="P25" i="68"/>
  <c r="T25" i="68" s="1"/>
  <c r="U25" i="68" s="1"/>
  <c r="P29" i="68"/>
  <c r="T29" i="68" s="1"/>
  <c r="U29" i="68" s="1"/>
  <c r="P18" i="68"/>
  <c r="T18" i="68" s="1"/>
  <c r="U18" i="68" s="1"/>
  <c r="P38" i="68"/>
  <c r="U38" i="68" s="1"/>
  <c r="P41" i="68"/>
  <c r="U41" i="68" s="1"/>
  <c r="P21" i="68"/>
  <c r="T21" i="68" s="1"/>
  <c r="U21" i="68" s="1"/>
  <c r="P122" i="68"/>
  <c r="U122" i="68" s="1"/>
  <c r="P19" i="68"/>
  <c r="T19" i="68" s="1"/>
  <c r="U19" i="68" s="1"/>
  <c r="P121" i="68"/>
  <c r="U121" i="68" s="1"/>
  <c r="P43" i="68"/>
  <c r="U43" i="68" s="1"/>
  <c r="P26" i="68"/>
  <c r="T26" i="68" s="1"/>
  <c r="U26" i="68" s="1"/>
  <c r="P22" i="68"/>
  <c r="T22" i="68" s="1"/>
  <c r="U22" i="68" s="1"/>
  <c r="P113" i="68"/>
  <c r="U113" i="68" s="1"/>
  <c r="P39" i="68"/>
  <c r="U39" i="68" s="1"/>
  <c r="P123" i="68"/>
  <c r="U123" i="68" s="1"/>
  <c r="P28" i="68"/>
  <c r="T28" i="68" s="1"/>
  <c r="U28" i="68" s="1"/>
  <c r="P40" i="68"/>
  <c r="U40" i="68" s="1"/>
  <c r="P14" i="68"/>
  <c r="P42" i="68"/>
  <c r="U42" i="68" s="1"/>
  <c r="E51" i="72"/>
  <c r="V51" i="72" s="1"/>
  <c r="I85" i="21"/>
  <c r="I90" i="21"/>
  <c r="I92" i="21"/>
  <c r="H88" i="21"/>
  <c r="I88" i="21" s="1"/>
  <c r="H104" i="18"/>
  <c r="I107" i="18" s="1"/>
  <c r="C107" i="18"/>
  <c r="I92" i="38"/>
  <c r="H88" i="38"/>
  <c r="I88" i="38" s="1"/>
  <c r="I85" i="38"/>
  <c r="I90" i="38"/>
  <c r="P18" i="43"/>
  <c r="T18" i="43" s="1"/>
  <c r="U18" i="43" s="1"/>
  <c r="P23" i="43"/>
  <c r="T23" i="43" s="1"/>
  <c r="U23" i="43" s="1"/>
  <c r="P121" i="43"/>
  <c r="U121" i="43" s="1"/>
  <c r="P113" i="43"/>
  <c r="U113" i="43" s="1"/>
  <c r="P15" i="43"/>
  <c r="T15" i="43" s="1"/>
  <c r="U15" i="43" s="1"/>
  <c r="P25" i="43"/>
  <c r="T25" i="43" s="1"/>
  <c r="U25" i="43" s="1"/>
  <c r="P20" i="43"/>
  <c r="T20" i="43" s="1"/>
  <c r="U20" i="43" s="1"/>
  <c r="P40" i="43"/>
  <c r="U40" i="43" s="1"/>
  <c r="P43" i="43"/>
  <c r="U43" i="43" s="1"/>
  <c r="P123" i="43"/>
  <c r="U123" i="43" s="1"/>
  <c r="P27" i="43"/>
  <c r="T27" i="43" s="1"/>
  <c r="U27" i="43" s="1"/>
  <c r="P17" i="43"/>
  <c r="T17" i="43" s="1"/>
  <c r="U17" i="43" s="1"/>
  <c r="P22" i="43"/>
  <c r="T22" i="43" s="1"/>
  <c r="U22" i="43" s="1"/>
  <c r="P14" i="43"/>
  <c r="P29" i="43"/>
  <c r="T29" i="43" s="1"/>
  <c r="U29" i="43" s="1"/>
  <c r="P24" i="43"/>
  <c r="T24" i="43" s="1"/>
  <c r="U24" i="43" s="1"/>
  <c r="P38" i="43"/>
  <c r="U38" i="43" s="1"/>
  <c r="P41" i="43"/>
  <c r="U41" i="43" s="1"/>
  <c r="P21" i="43"/>
  <c r="T21" i="43" s="1"/>
  <c r="U21" i="43" s="1"/>
  <c r="P16" i="43"/>
  <c r="T16" i="43" s="1"/>
  <c r="U16" i="43" s="1"/>
  <c r="P42" i="43"/>
  <c r="U42" i="43" s="1"/>
  <c r="P26" i="43"/>
  <c r="T26" i="43" s="1"/>
  <c r="U26" i="43" s="1"/>
  <c r="P39" i="43"/>
  <c r="U39" i="43" s="1"/>
  <c r="P122" i="43"/>
  <c r="U122" i="43" s="1"/>
  <c r="P19" i="43"/>
  <c r="T19" i="43" s="1"/>
  <c r="U19" i="43" s="1"/>
  <c r="P28" i="43"/>
  <c r="T28" i="43" s="1"/>
  <c r="U28" i="43" s="1"/>
  <c r="E32" i="72"/>
  <c r="V32" i="72" s="1"/>
  <c r="I30" i="26"/>
  <c r="E32" i="60"/>
  <c r="P21" i="69"/>
  <c r="T21" i="69" s="1"/>
  <c r="U21" i="69" s="1"/>
  <c r="P28" i="69"/>
  <c r="T28" i="69" s="1"/>
  <c r="U28" i="69" s="1"/>
  <c r="P39" i="69"/>
  <c r="U39" i="69" s="1"/>
  <c r="P42" i="69"/>
  <c r="U42" i="69" s="1"/>
  <c r="P18" i="69"/>
  <c r="T18" i="69" s="1"/>
  <c r="U18" i="69" s="1"/>
  <c r="P23" i="69"/>
  <c r="T23" i="69" s="1"/>
  <c r="U23" i="69" s="1"/>
  <c r="P121" i="69"/>
  <c r="U121" i="69" s="1"/>
  <c r="P113" i="69"/>
  <c r="U113" i="69" s="1"/>
  <c r="P15" i="69"/>
  <c r="T15" i="69" s="1"/>
  <c r="U15" i="69" s="1"/>
  <c r="P25" i="69"/>
  <c r="T25" i="69" s="1"/>
  <c r="U25" i="69" s="1"/>
  <c r="P20" i="69"/>
  <c r="T20" i="69" s="1"/>
  <c r="U20" i="69" s="1"/>
  <c r="P40" i="69"/>
  <c r="U40" i="69" s="1"/>
  <c r="P43" i="69"/>
  <c r="U43" i="69" s="1"/>
  <c r="P123" i="69"/>
  <c r="U123" i="69" s="1"/>
  <c r="P17" i="69"/>
  <c r="T17" i="69" s="1"/>
  <c r="U17" i="69" s="1"/>
  <c r="P22" i="69"/>
  <c r="T22" i="69" s="1"/>
  <c r="U22" i="69" s="1"/>
  <c r="P14" i="69"/>
  <c r="P29" i="69"/>
  <c r="T29" i="69" s="1"/>
  <c r="U29" i="69" s="1"/>
  <c r="P24" i="69"/>
  <c r="T24" i="69" s="1"/>
  <c r="U24" i="69" s="1"/>
  <c r="P38" i="69"/>
  <c r="U38" i="69" s="1"/>
  <c r="P41" i="69"/>
  <c r="U41" i="69" s="1"/>
  <c r="P19" i="69"/>
  <c r="T19" i="69" s="1"/>
  <c r="U19" i="69" s="1"/>
  <c r="P26" i="69"/>
  <c r="T26" i="69" s="1"/>
  <c r="U26" i="69" s="1"/>
  <c r="P122" i="69"/>
  <c r="U122" i="69" s="1"/>
  <c r="P27" i="69"/>
  <c r="T27" i="69" s="1"/>
  <c r="U27" i="69" s="1"/>
  <c r="P16" i="69"/>
  <c r="T16" i="69" s="1"/>
  <c r="U16" i="69" s="1"/>
  <c r="E48" i="72"/>
  <c r="V48" i="72" s="1"/>
  <c r="I92" i="66"/>
  <c r="H88" i="66"/>
  <c r="I88" i="66" s="1"/>
  <c r="I85" i="66"/>
  <c r="I90" i="66"/>
  <c r="P20" i="55"/>
  <c r="T20" i="55" s="1"/>
  <c r="U20" i="55" s="1"/>
  <c r="P40" i="55"/>
  <c r="U40" i="55" s="1"/>
  <c r="P43" i="55"/>
  <c r="U43" i="55" s="1"/>
  <c r="P123" i="55"/>
  <c r="U123" i="55" s="1"/>
  <c r="P27" i="55"/>
  <c r="T27" i="55" s="1"/>
  <c r="U27" i="55" s="1"/>
  <c r="P17" i="55"/>
  <c r="T17" i="55" s="1"/>
  <c r="U17" i="55" s="1"/>
  <c r="P22" i="55"/>
  <c r="T22" i="55" s="1"/>
  <c r="U22" i="55" s="1"/>
  <c r="P14" i="55"/>
  <c r="P29" i="55"/>
  <c r="T29" i="55" s="1"/>
  <c r="U29" i="55" s="1"/>
  <c r="P24" i="55"/>
  <c r="T24" i="55" s="1"/>
  <c r="U24" i="55" s="1"/>
  <c r="P38" i="55"/>
  <c r="U38" i="55" s="1"/>
  <c r="P41" i="55"/>
  <c r="U41" i="55" s="1"/>
  <c r="P19" i="55"/>
  <c r="T19" i="55" s="1"/>
  <c r="U19" i="55" s="1"/>
  <c r="P122" i="55"/>
  <c r="U122" i="55" s="1"/>
  <c r="P16" i="55"/>
  <c r="T16" i="55" s="1"/>
  <c r="U16" i="55" s="1"/>
  <c r="P26" i="55"/>
  <c r="T26" i="55" s="1"/>
  <c r="U26" i="55" s="1"/>
  <c r="P21" i="55"/>
  <c r="T21" i="55" s="1"/>
  <c r="U21" i="55" s="1"/>
  <c r="P28" i="55"/>
  <c r="T28" i="55" s="1"/>
  <c r="U28" i="55" s="1"/>
  <c r="P39" i="55"/>
  <c r="U39" i="55" s="1"/>
  <c r="P42" i="55"/>
  <c r="U42" i="55" s="1"/>
  <c r="P113" i="55"/>
  <c r="U113" i="55" s="1"/>
  <c r="P23" i="55"/>
  <c r="T23" i="55" s="1"/>
  <c r="U23" i="55" s="1"/>
  <c r="P121" i="55"/>
  <c r="U121" i="55" s="1"/>
  <c r="P18" i="55"/>
  <c r="T18" i="55" s="1"/>
  <c r="U18" i="55" s="1"/>
  <c r="P25" i="55"/>
  <c r="T25" i="55" s="1"/>
  <c r="U25" i="55" s="1"/>
  <c r="P15" i="55"/>
  <c r="T15" i="55" s="1"/>
  <c r="U15" i="55" s="1"/>
  <c r="E42" i="72"/>
  <c r="V42" i="72" s="1"/>
  <c r="I85" i="68"/>
  <c r="I90" i="68"/>
  <c r="I92" i="68"/>
  <c r="H88" i="68"/>
  <c r="I88" i="68" s="1"/>
  <c r="I92" i="22"/>
  <c r="I90" i="22"/>
  <c r="I85" i="22"/>
  <c r="H88" i="22"/>
  <c r="I88" i="22" s="1"/>
  <c r="P113" i="67"/>
  <c r="U113" i="67" s="1"/>
  <c r="P15" i="67"/>
  <c r="T15" i="67" s="1"/>
  <c r="U15" i="67" s="1"/>
  <c r="P20" i="67"/>
  <c r="T20" i="67" s="1"/>
  <c r="U20" i="67" s="1"/>
  <c r="P40" i="67"/>
  <c r="U40" i="67" s="1"/>
  <c r="P43" i="67"/>
  <c r="U43" i="67" s="1"/>
  <c r="P123" i="67"/>
  <c r="U123" i="67" s="1"/>
  <c r="P29" i="67"/>
  <c r="T29" i="67" s="1"/>
  <c r="U29" i="67" s="1"/>
  <c r="P17" i="67"/>
  <c r="T17" i="67" s="1"/>
  <c r="U17" i="67" s="1"/>
  <c r="P19" i="67"/>
  <c r="T19" i="67" s="1"/>
  <c r="U19" i="67" s="1"/>
  <c r="P39" i="67"/>
  <c r="U39" i="67" s="1"/>
  <c r="P122" i="67"/>
  <c r="U122" i="67" s="1"/>
  <c r="P24" i="67"/>
  <c r="T24" i="67" s="1"/>
  <c r="U24" i="67" s="1"/>
  <c r="P26" i="67"/>
  <c r="T26" i="67" s="1"/>
  <c r="U26" i="67" s="1"/>
  <c r="P16" i="67"/>
  <c r="T16" i="67" s="1"/>
  <c r="U16" i="67" s="1"/>
  <c r="P18" i="67"/>
  <c r="T18" i="67" s="1"/>
  <c r="U18" i="67" s="1"/>
  <c r="P41" i="67"/>
  <c r="U41" i="67" s="1"/>
  <c r="P121" i="67"/>
  <c r="U121" i="67" s="1"/>
  <c r="P14" i="67"/>
  <c r="P42" i="67"/>
  <c r="U42" i="67" s="1"/>
  <c r="P25" i="67"/>
  <c r="T25" i="67" s="1"/>
  <c r="U25" i="67" s="1"/>
  <c r="P21" i="67"/>
  <c r="T21" i="67" s="1"/>
  <c r="U21" i="67" s="1"/>
  <c r="P22" i="67"/>
  <c r="T22" i="67" s="1"/>
  <c r="U22" i="67" s="1"/>
  <c r="P27" i="67"/>
  <c r="T27" i="67" s="1"/>
  <c r="U27" i="67" s="1"/>
  <c r="P38" i="67"/>
  <c r="U38" i="67" s="1"/>
  <c r="P23" i="67"/>
  <c r="T23" i="67" s="1"/>
  <c r="U23" i="67" s="1"/>
  <c r="P28" i="67"/>
  <c r="T28" i="67" s="1"/>
  <c r="U28" i="67" s="1"/>
  <c r="E47" i="72"/>
  <c r="V47" i="72" s="1"/>
  <c r="P17" i="27"/>
  <c r="T17" i="27" s="1"/>
  <c r="U17" i="27" s="1"/>
  <c r="P22" i="27"/>
  <c r="T22" i="27" s="1"/>
  <c r="U22" i="27" s="1"/>
  <c r="P14" i="27"/>
  <c r="P29" i="27"/>
  <c r="T29" i="27" s="1"/>
  <c r="U29" i="27" s="1"/>
  <c r="P24" i="27"/>
  <c r="T24" i="27" s="1"/>
  <c r="U24" i="27" s="1"/>
  <c r="P38" i="27"/>
  <c r="U38" i="27" s="1"/>
  <c r="P41" i="27"/>
  <c r="U41" i="27" s="1"/>
  <c r="P19" i="27"/>
  <c r="T19" i="27" s="1"/>
  <c r="U19" i="27" s="1"/>
  <c r="P122" i="27"/>
  <c r="U122" i="27" s="1"/>
  <c r="P16" i="27"/>
  <c r="T16" i="27" s="1"/>
  <c r="U16" i="27" s="1"/>
  <c r="P26" i="27"/>
  <c r="T26" i="27" s="1"/>
  <c r="U26" i="27" s="1"/>
  <c r="P21" i="27"/>
  <c r="T21" i="27" s="1"/>
  <c r="U21" i="27" s="1"/>
  <c r="P28" i="27"/>
  <c r="T28" i="27" s="1"/>
  <c r="U28" i="27" s="1"/>
  <c r="P39" i="27"/>
  <c r="U39" i="27" s="1"/>
  <c r="P42" i="27"/>
  <c r="U42" i="27" s="1"/>
  <c r="P18" i="27"/>
  <c r="T18" i="27" s="1"/>
  <c r="U18" i="27" s="1"/>
  <c r="P23" i="27"/>
  <c r="T23" i="27" s="1"/>
  <c r="U23" i="27" s="1"/>
  <c r="P121" i="27"/>
  <c r="U121" i="27" s="1"/>
  <c r="P15" i="27"/>
  <c r="T15" i="27" s="1"/>
  <c r="U15" i="27" s="1"/>
  <c r="P25" i="27"/>
  <c r="T25" i="27" s="1"/>
  <c r="U25" i="27" s="1"/>
  <c r="P20" i="27"/>
  <c r="T20" i="27" s="1"/>
  <c r="U20" i="27" s="1"/>
  <c r="P40" i="27"/>
  <c r="U40" i="27" s="1"/>
  <c r="P43" i="27"/>
  <c r="U43" i="27" s="1"/>
  <c r="P123" i="27"/>
  <c r="U123" i="27" s="1"/>
  <c r="P113" i="27"/>
  <c r="U113" i="27" s="1"/>
  <c r="P27" i="27"/>
  <c r="T27" i="27" s="1"/>
  <c r="U27" i="27" s="1"/>
  <c r="E18" i="72"/>
  <c r="V18" i="72" s="1"/>
  <c r="C107" i="48"/>
  <c r="P15" i="51"/>
  <c r="T15" i="51" s="1"/>
  <c r="U15" i="51" s="1"/>
  <c r="P25" i="51"/>
  <c r="T25" i="51" s="1"/>
  <c r="U25" i="51" s="1"/>
  <c r="P27" i="51"/>
  <c r="T27" i="51" s="1"/>
  <c r="U27" i="51" s="1"/>
  <c r="P14" i="51"/>
  <c r="P29" i="51"/>
  <c r="T29" i="51" s="1"/>
  <c r="U29" i="51" s="1"/>
  <c r="P24" i="51"/>
  <c r="T24" i="51" s="1"/>
  <c r="U24" i="51" s="1"/>
  <c r="P38" i="51"/>
  <c r="U38" i="51" s="1"/>
  <c r="P41" i="51"/>
  <c r="U41" i="51" s="1"/>
  <c r="P122" i="51"/>
  <c r="U122" i="51" s="1"/>
  <c r="P17" i="51"/>
  <c r="T17" i="51" s="1"/>
  <c r="U17" i="51" s="1"/>
  <c r="P22" i="51"/>
  <c r="T22" i="51" s="1"/>
  <c r="U22" i="51" s="1"/>
  <c r="P42" i="51"/>
  <c r="U42" i="51" s="1"/>
  <c r="P20" i="51"/>
  <c r="T20" i="51" s="1"/>
  <c r="U20" i="51" s="1"/>
  <c r="P121" i="51"/>
  <c r="U121" i="51" s="1"/>
  <c r="P43" i="51"/>
  <c r="U43" i="51" s="1"/>
  <c r="P113" i="51"/>
  <c r="U113" i="51" s="1"/>
  <c r="P28" i="51"/>
  <c r="T28" i="51" s="1"/>
  <c r="U28" i="51" s="1"/>
  <c r="P18" i="51"/>
  <c r="T18" i="51" s="1"/>
  <c r="U18" i="51" s="1"/>
  <c r="P23" i="51"/>
  <c r="T23" i="51" s="1"/>
  <c r="U23" i="51" s="1"/>
  <c r="P123" i="51"/>
  <c r="U123" i="51" s="1"/>
  <c r="P16" i="51"/>
  <c r="T16" i="51" s="1"/>
  <c r="U16" i="51" s="1"/>
  <c r="P26" i="51"/>
  <c r="T26" i="51" s="1"/>
  <c r="U26" i="51" s="1"/>
  <c r="P39" i="51"/>
  <c r="U39" i="51" s="1"/>
  <c r="P21" i="51"/>
  <c r="T21" i="51" s="1"/>
  <c r="U21" i="51" s="1"/>
  <c r="P19" i="51"/>
  <c r="T19" i="51" s="1"/>
  <c r="U19" i="51" s="1"/>
  <c r="P40" i="51"/>
  <c r="U40" i="51" s="1"/>
  <c r="E38" i="72"/>
  <c r="V38" i="72" s="1"/>
  <c r="I92" i="23"/>
  <c r="H88" i="23"/>
  <c r="I88" i="23" s="1"/>
  <c r="I85" i="23"/>
  <c r="I90" i="23"/>
  <c r="C107" i="42"/>
  <c r="H104" i="42"/>
  <c r="I107" i="42" s="1"/>
  <c r="P18" i="31"/>
  <c r="T18" i="31" s="1"/>
  <c r="U18" i="31" s="1"/>
  <c r="P23" i="31"/>
  <c r="T23" i="31" s="1"/>
  <c r="U23" i="31" s="1"/>
  <c r="P20" i="31"/>
  <c r="T20" i="31" s="1"/>
  <c r="U20" i="31" s="1"/>
  <c r="P27" i="31"/>
  <c r="T27" i="31" s="1"/>
  <c r="U27" i="31" s="1"/>
  <c r="P17" i="31"/>
  <c r="T17" i="31" s="1"/>
  <c r="U17" i="31" s="1"/>
  <c r="P22" i="31"/>
  <c r="T22" i="31" s="1"/>
  <c r="U22" i="31" s="1"/>
  <c r="P16" i="31"/>
  <c r="T16" i="31" s="1"/>
  <c r="U16" i="31" s="1"/>
  <c r="P26" i="31"/>
  <c r="T26" i="31" s="1"/>
  <c r="U26" i="31" s="1"/>
  <c r="P19" i="31"/>
  <c r="T19" i="31" s="1"/>
  <c r="U19" i="31" s="1"/>
  <c r="P25" i="31"/>
  <c r="T25" i="31" s="1"/>
  <c r="U25" i="31" s="1"/>
  <c r="P28" i="31"/>
  <c r="T28" i="31" s="1"/>
  <c r="U28" i="31" s="1"/>
  <c r="P121" i="31"/>
  <c r="U121" i="31" s="1"/>
  <c r="P14" i="31"/>
  <c r="P113" i="31"/>
  <c r="U113" i="31" s="1"/>
  <c r="P40" i="31"/>
  <c r="U40" i="31" s="1"/>
  <c r="P43" i="31"/>
  <c r="U43" i="31" s="1"/>
  <c r="P123" i="31"/>
  <c r="U123" i="31" s="1"/>
  <c r="P15" i="31"/>
  <c r="T15" i="31" s="1"/>
  <c r="U15" i="31" s="1"/>
  <c r="P29" i="31"/>
  <c r="T29" i="31" s="1"/>
  <c r="U29" i="31" s="1"/>
  <c r="P38" i="31"/>
  <c r="U38" i="31" s="1"/>
  <c r="P41" i="31"/>
  <c r="U41" i="31" s="1"/>
  <c r="P21" i="31"/>
  <c r="T21" i="31" s="1"/>
  <c r="U21" i="31" s="1"/>
  <c r="P24" i="31"/>
  <c r="T24" i="31" s="1"/>
  <c r="U24" i="31" s="1"/>
  <c r="P122" i="31"/>
  <c r="U122" i="31" s="1"/>
  <c r="P39" i="31"/>
  <c r="U39" i="31" s="1"/>
  <c r="P42" i="31"/>
  <c r="U42" i="31" s="1"/>
  <c r="H88" i="25"/>
  <c r="I88" i="25" s="1"/>
  <c r="I85" i="25"/>
  <c r="I90" i="25"/>
  <c r="I92" i="25"/>
  <c r="P16" i="66"/>
  <c r="T16" i="66" s="1"/>
  <c r="U16" i="66" s="1"/>
  <c r="P26" i="66"/>
  <c r="T26" i="66" s="1"/>
  <c r="U26" i="66" s="1"/>
  <c r="P28" i="66"/>
  <c r="T28" i="66" s="1"/>
  <c r="U28" i="66" s="1"/>
  <c r="P39" i="66"/>
  <c r="U39" i="66" s="1"/>
  <c r="P42" i="66"/>
  <c r="U42" i="66" s="1"/>
  <c r="P18" i="66"/>
  <c r="T18" i="66" s="1"/>
  <c r="U18" i="66" s="1"/>
  <c r="P23" i="66"/>
  <c r="T23" i="66" s="1"/>
  <c r="U23" i="66" s="1"/>
  <c r="P121" i="66"/>
  <c r="U121" i="66" s="1"/>
  <c r="P113" i="66"/>
  <c r="U113" i="66" s="1"/>
  <c r="P15" i="66"/>
  <c r="T15" i="66" s="1"/>
  <c r="U15" i="66" s="1"/>
  <c r="P25" i="66"/>
  <c r="T25" i="66" s="1"/>
  <c r="U25" i="66" s="1"/>
  <c r="P27" i="66"/>
  <c r="T27" i="66" s="1"/>
  <c r="U27" i="66" s="1"/>
  <c r="P17" i="66"/>
  <c r="T17" i="66" s="1"/>
  <c r="U17" i="66" s="1"/>
  <c r="P22" i="66"/>
  <c r="T22" i="66" s="1"/>
  <c r="U22" i="66" s="1"/>
  <c r="P14" i="66"/>
  <c r="P29" i="66"/>
  <c r="T29" i="66" s="1"/>
  <c r="U29" i="66" s="1"/>
  <c r="P19" i="66"/>
  <c r="T19" i="66" s="1"/>
  <c r="U19" i="66" s="1"/>
  <c r="P20" i="66"/>
  <c r="T20" i="66" s="1"/>
  <c r="U20" i="66" s="1"/>
  <c r="P24" i="66"/>
  <c r="T24" i="66" s="1"/>
  <c r="U24" i="66" s="1"/>
  <c r="P40" i="66"/>
  <c r="U40" i="66" s="1"/>
  <c r="P41" i="66"/>
  <c r="U41" i="66" s="1"/>
  <c r="P21" i="66"/>
  <c r="T21" i="66" s="1"/>
  <c r="U21" i="66" s="1"/>
  <c r="P122" i="66"/>
  <c r="U122" i="66" s="1"/>
  <c r="P43" i="66"/>
  <c r="U43" i="66" s="1"/>
  <c r="P123" i="66"/>
  <c r="U123" i="66" s="1"/>
  <c r="P38" i="66"/>
  <c r="U38" i="66" s="1"/>
  <c r="E46" i="72"/>
  <c r="V46" i="72" s="1"/>
  <c r="I85" i="55"/>
  <c r="I90" i="55"/>
  <c r="I92" i="55"/>
  <c r="H88" i="55"/>
  <c r="I88" i="55" s="1"/>
  <c r="H104" i="58"/>
  <c r="I107" i="58" s="1"/>
  <c r="C107" i="58"/>
  <c r="C107" i="55"/>
  <c r="H104" i="55"/>
  <c r="I107" i="55" s="1"/>
  <c r="I92" i="58"/>
  <c r="H88" i="58"/>
  <c r="I88" i="58" s="1"/>
  <c r="I90" i="58"/>
  <c r="I85" i="58"/>
  <c r="P18" i="58"/>
  <c r="T18" i="58" s="1"/>
  <c r="U18" i="58" s="1"/>
  <c r="P23" i="58"/>
  <c r="T23" i="58" s="1"/>
  <c r="U23" i="58" s="1"/>
  <c r="P121" i="58"/>
  <c r="U121" i="58" s="1"/>
  <c r="P15" i="58"/>
  <c r="T15" i="58" s="1"/>
  <c r="U15" i="58" s="1"/>
  <c r="P25" i="58"/>
  <c r="T25" i="58" s="1"/>
  <c r="U25" i="58" s="1"/>
  <c r="P20" i="58"/>
  <c r="T20" i="58" s="1"/>
  <c r="U20" i="58" s="1"/>
  <c r="P40" i="58"/>
  <c r="U40" i="58" s="1"/>
  <c r="P43" i="58"/>
  <c r="U43" i="58" s="1"/>
  <c r="P123" i="58"/>
  <c r="U123" i="58" s="1"/>
  <c r="P27" i="58"/>
  <c r="T27" i="58" s="1"/>
  <c r="U27" i="58" s="1"/>
  <c r="P17" i="58"/>
  <c r="T17" i="58" s="1"/>
  <c r="U17" i="58" s="1"/>
  <c r="P22" i="58"/>
  <c r="T22" i="58" s="1"/>
  <c r="U22" i="58" s="1"/>
  <c r="P19" i="58"/>
  <c r="T19" i="58" s="1"/>
  <c r="U19" i="58" s="1"/>
  <c r="P122" i="58"/>
  <c r="U122" i="58" s="1"/>
  <c r="P16" i="58"/>
  <c r="T16" i="58" s="1"/>
  <c r="U16" i="58" s="1"/>
  <c r="P26" i="58"/>
  <c r="T26" i="58" s="1"/>
  <c r="U26" i="58" s="1"/>
  <c r="P29" i="58"/>
  <c r="T29" i="58" s="1"/>
  <c r="U29" i="58" s="1"/>
  <c r="P41" i="58"/>
  <c r="U41" i="58" s="1"/>
  <c r="P113" i="58"/>
  <c r="U113" i="58" s="1"/>
  <c r="P42" i="58"/>
  <c r="U42" i="58" s="1"/>
  <c r="P14" i="58"/>
  <c r="P38" i="58"/>
  <c r="U38" i="58" s="1"/>
  <c r="P21" i="58"/>
  <c r="T21" i="58" s="1"/>
  <c r="U21" i="58" s="1"/>
  <c r="P24" i="58"/>
  <c r="T24" i="58" s="1"/>
  <c r="U24" i="58" s="1"/>
  <c r="P28" i="58"/>
  <c r="T28" i="58" s="1"/>
  <c r="U28" i="58" s="1"/>
  <c r="P39" i="58"/>
  <c r="U39" i="58" s="1"/>
  <c r="E45" i="72"/>
  <c r="V45" i="72" s="1"/>
  <c r="I30" i="18"/>
  <c r="I46" i="18" s="1"/>
  <c r="H104" i="32"/>
  <c r="I107" i="32" s="1"/>
  <c r="C107" i="32"/>
  <c r="P16" i="38"/>
  <c r="T16" i="38" s="1"/>
  <c r="U16" i="38" s="1"/>
  <c r="P26" i="38"/>
  <c r="T26" i="38" s="1"/>
  <c r="U26" i="38" s="1"/>
  <c r="P28" i="38"/>
  <c r="T28" i="38" s="1"/>
  <c r="U28" i="38" s="1"/>
  <c r="P39" i="38"/>
  <c r="U39" i="38" s="1"/>
  <c r="P42" i="38"/>
  <c r="U42" i="38" s="1"/>
  <c r="P18" i="38"/>
  <c r="T18" i="38" s="1"/>
  <c r="U18" i="38" s="1"/>
  <c r="P23" i="38"/>
  <c r="T23" i="38" s="1"/>
  <c r="U23" i="38" s="1"/>
  <c r="P121" i="38"/>
  <c r="U121" i="38" s="1"/>
  <c r="P113" i="38"/>
  <c r="U113" i="38" s="1"/>
  <c r="P15" i="38"/>
  <c r="T15" i="38" s="1"/>
  <c r="U15" i="38" s="1"/>
  <c r="P25" i="38"/>
  <c r="T25" i="38" s="1"/>
  <c r="U25" i="38" s="1"/>
  <c r="P20" i="38"/>
  <c r="T20" i="38" s="1"/>
  <c r="U20" i="38" s="1"/>
  <c r="P40" i="38"/>
  <c r="U40" i="38" s="1"/>
  <c r="P43" i="38"/>
  <c r="U43" i="38" s="1"/>
  <c r="P123" i="38"/>
  <c r="U123" i="38" s="1"/>
  <c r="P27" i="38"/>
  <c r="T27" i="38" s="1"/>
  <c r="U27" i="38" s="1"/>
  <c r="P17" i="38"/>
  <c r="T17" i="38" s="1"/>
  <c r="U17" i="38" s="1"/>
  <c r="P22" i="38"/>
  <c r="T22" i="38" s="1"/>
  <c r="U22" i="38" s="1"/>
  <c r="P14" i="38"/>
  <c r="P29" i="38"/>
  <c r="T29" i="38" s="1"/>
  <c r="U29" i="38" s="1"/>
  <c r="P24" i="38"/>
  <c r="T24" i="38" s="1"/>
  <c r="U24" i="38" s="1"/>
  <c r="P38" i="38"/>
  <c r="U38" i="38" s="1"/>
  <c r="P41" i="38"/>
  <c r="U41" i="38" s="1"/>
  <c r="P21" i="38"/>
  <c r="T21" i="38" s="1"/>
  <c r="U21" i="38" s="1"/>
  <c r="P19" i="38"/>
  <c r="T19" i="38" s="1"/>
  <c r="U19" i="38" s="1"/>
  <c r="P122" i="38"/>
  <c r="U122" i="38" s="1"/>
  <c r="E28" i="72"/>
  <c r="V28" i="72" s="1"/>
  <c r="H88" i="67"/>
  <c r="I88" i="67" s="1"/>
  <c r="I90" i="67"/>
  <c r="I92" i="67"/>
  <c r="I85" i="67"/>
  <c r="H88" i="77"/>
  <c r="I88" i="77" s="1"/>
  <c r="I85" i="77"/>
  <c r="I90" i="77"/>
  <c r="I92" i="77"/>
  <c r="I92" i="26"/>
  <c r="H88" i="26"/>
  <c r="I88" i="26" s="1"/>
  <c r="I85" i="26"/>
  <c r="I90" i="26"/>
  <c r="C107" i="40"/>
  <c r="P15" i="16"/>
  <c r="T15" i="16" s="1"/>
  <c r="U15" i="16" s="1"/>
  <c r="P17" i="16"/>
  <c r="T17" i="16" s="1"/>
  <c r="U17" i="16" s="1"/>
  <c r="P19" i="16"/>
  <c r="T19" i="16" s="1"/>
  <c r="U19" i="16" s="1"/>
  <c r="P14" i="16"/>
  <c r="P29" i="16"/>
  <c r="T29" i="16" s="1"/>
  <c r="U29" i="16" s="1"/>
  <c r="P24" i="16"/>
  <c r="T24" i="16" s="1"/>
  <c r="U24" i="16" s="1"/>
  <c r="P38" i="16"/>
  <c r="U38" i="16" s="1"/>
  <c r="P41" i="16"/>
  <c r="U41" i="16" s="1"/>
  <c r="P122" i="16"/>
  <c r="U122" i="16" s="1"/>
  <c r="P26" i="16"/>
  <c r="T26" i="16" s="1"/>
  <c r="U26" i="16" s="1"/>
  <c r="P21" i="16"/>
  <c r="T21" i="16" s="1"/>
  <c r="U21" i="16" s="1"/>
  <c r="P28" i="16"/>
  <c r="T28" i="16" s="1"/>
  <c r="U28" i="16" s="1"/>
  <c r="P39" i="16"/>
  <c r="U39" i="16" s="1"/>
  <c r="P42" i="16"/>
  <c r="U42" i="16" s="1"/>
  <c r="P23" i="16"/>
  <c r="T23" i="16" s="1"/>
  <c r="U23" i="16" s="1"/>
  <c r="P121" i="16"/>
  <c r="U121" i="16" s="1"/>
  <c r="P113" i="16"/>
  <c r="U113" i="16" s="1"/>
  <c r="E9" i="72"/>
  <c r="V9" i="72" s="1"/>
  <c r="P25" i="16"/>
  <c r="T25" i="16" s="1"/>
  <c r="U25" i="16" s="1"/>
  <c r="P16" i="16"/>
  <c r="T16" i="16" s="1"/>
  <c r="U16" i="16" s="1"/>
  <c r="P20" i="16"/>
  <c r="T20" i="16" s="1"/>
  <c r="U20" i="16" s="1"/>
  <c r="P27" i="16"/>
  <c r="T27" i="16" s="1"/>
  <c r="U27" i="16" s="1"/>
  <c r="P123" i="16"/>
  <c r="U123" i="16" s="1"/>
  <c r="P40" i="16"/>
  <c r="U40" i="16" s="1"/>
  <c r="P18" i="16"/>
  <c r="T18" i="16" s="1"/>
  <c r="U18" i="16" s="1"/>
  <c r="P22" i="16"/>
  <c r="T22" i="16" s="1"/>
  <c r="U22" i="16" s="1"/>
  <c r="P43" i="16"/>
  <c r="U43" i="16" s="1"/>
  <c r="C107" i="28"/>
  <c r="H104" i="28"/>
  <c r="I107" i="28" s="1"/>
  <c r="I92" i="78"/>
  <c r="H88" i="78"/>
  <c r="I88" i="78" s="1"/>
  <c r="I90" i="78"/>
  <c r="I85" i="78"/>
  <c r="I85" i="27"/>
  <c r="I90" i="27"/>
  <c r="I92" i="27"/>
  <c r="H88" i="27"/>
  <c r="I88" i="27" s="1"/>
  <c r="P17" i="30"/>
  <c r="T17" i="30" s="1"/>
  <c r="U17" i="30" s="1"/>
  <c r="P22" i="30"/>
  <c r="T22" i="30" s="1"/>
  <c r="U22" i="30" s="1"/>
  <c r="P14" i="30"/>
  <c r="P29" i="30"/>
  <c r="T29" i="30" s="1"/>
  <c r="U29" i="30" s="1"/>
  <c r="P24" i="30"/>
  <c r="T24" i="30" s="1"/>
  <c r="U24" i="30" s="1"/>
  <c r="P38" i="30"/>
  <c r="U38" i="30" s="1"/>
  <c r="P41" i="30"/>
  <c r="U41" i="30" s="1"/>
  <c r="P19" i="30"/>
  <c r="T19" i="30" s="1"/>
  <c r="U19" i="30" s="1"/>
  <c r="P122" i="30"/>
  <c r="U122" i="30" s="1"/>
  <c r="P16" i="30"/>
  <c r="T16" i="30" s="1"/>
  <c r="U16" i="30" s="1"/>
  <c r="P26" i="30"/>
  <c r="T26" i="30" s="1"/>
  <c r="U26" i="30" s="1"/>
  <c r="P21" i="30"/>
  <c r="T21" i="30" s="1"/>
  <c r="U21" i="30" s="1"/>
  <c r="P28" i="30"/>
  <c r="T28" i="30" s="1"/>
  <c r="U28" i="30" s="1"/>
  <c r="P39" i="30"/>
  <c r="U39" i="30" s="1"/>
  <c r="P42" i="30"/>
  <c r="U42" i="30" s="1"/>
  <c r="P18" i="30"/>
  <c r="T18" i="30" s="1"/>
  <c r="U18" i="30" s="1"/>
  <c r="P23" i="30"/>
  <c r="T23" i="30" s="1"/>
  <c r="U23" i="30" s="1"/>
  <c r="P121" i="30"/>
  <c r="U121" i="30" s="1"/>
  <c r="P113" i="30"/>
  <c r="U113" i="30" s="1"/>
  <c r="P15" i="30"/>
  <c r="T15" i="30" s="1"/>
  <c r="U15" i="30" s="1"/>
  <c r="P25" i="30"/>
  <c r="T25" i="30" s="1"/>
  <c r="U25" i="30" s="1"/>
  <c r="P20" i="30"/>
  <c r="T20" i="30" s="1"/>
  <c r="U20" i="30" s="1"/>
  <c r="P40" i="30"/>
  <c r="U40" i="30" s="1"/>
  <c r="P43" i="30"/>
  <c r="U43" i="30" s="1"/>
  <c r="P27" i="30"/>
  <c r="T27" i="30" s="1"/>
  <c r="U27" i="30" s="1"/>
  <c r="P123" i="30"/>
  <c r="U123" i="30" s="1"/>
  <c r="H88" i="51"/>
  <c r="I88" i="51" s="1"/>
  <c r="I92" i="51"/>
  <c r="I85" i="51"/>
  <c r="I90" i="51"/>
  <c r="I92" i="18"/>
  <c r="H88" i="18"/>
  <c r="I88" i="18" s="1"/>
  <c r="I90" i="18"/>
  <c r="I85" i="18"/>
  <c r="C107" i="70"/>
  <c r="H104" i="70"/>
  <c r="I107" i="70" s="1"/>
  <c r="P17" i="20"/>
  <c r="T17" i="20" s="1"/>
  <c r="U17" i="20" s="1"/>
  <c r="P22" i="20"/>
  <c r="T22" i="20" s="1"/>
  <c r="U22" i="20" s="1"/>
  <c r="P14" i="20"/>
  <c r="P29" i="20"/>
  <c r="T29" i="20" s="1"/>
  <c r="U29" i="20" s="1"/>
  <c r="P24" i="20"/>
  <c r="T24" i="20" s="1"/>
  <c r="U24" i="20" s="1"/>
  <c r="P38" i="20"/>
  <c r="U38" i="20" s="1"/>
  <c r="P41" i="20"/>
  <c r="U41" i="20" s="1"/>
  <c r="P19" i="20"/>
  <c r="T19" i="20" s="1"/>
  <c r="U19" i="20" s="1"/>
  <c r="P122" i="20"/>
  <c r="U122" i="20" s="1"/>
  <c r="P16" i="20"/>
  <c r="T16" i="20" s="1"/>
  <c r="U16" i="20" s="1"/>
  <c r="P26" i="20"/>
  <c r="T26" i="20" s="1"/>
  <c r="U26" i="20" s="1"/>
  <c r="P21" i="20"/>
  <c r="T21" i="20" s="1"/>
  <c r="U21" i="20" s="1"/>
  <c r="P18" i="20"/>
  <c r="T18" i="20" s="1"/>
  <c r="U18" i="20" s="1"/>
  <c r="P23" i="20"/>
  <c r="T23" i="20" s="1"/>
  <c r="U23" i="20" s="1"/>
  <c r="P121" i="20"/>
  <c r="U121" i="20" s="1"/>
  <c r="P113" i="20"/>
  <c r="U113" i="20" s="1"/>
  <c r="P15" i="20"/>
  <c r="T15" i="20" s="1"/>
  <c r="U15" i="20" s="1"/>
  <c r="P25" i="20"/>
  <c r="T25" i="20" s="1"/>
  <c r="U25" i="20" s="1"/>
  <c r="P20" i="20"/>
  <c r="T20" i="20" s="1"/>
  <c r="U20" i="20" s="1"/>
  <c r="P40" i="20"/>
  <c r="U40" i="20" s="1"/>
  <c r="P43" i="20"/>
  <c r="U43" i="20" s="1"/>
  <c r="P123" i="20"/>
  <c r="U123" i="20" s="1"/>
  <c r="E12" i="72"/>
  <c r="P39" i="20"/>
  <c r="U39" i="20" s="1"/>
  <c r="P27" i="20"/>
  <c r="T27" i="20" s="1"/>
  <c r="U27" i="20" s="1"/>
  <c r="P28" i="20"/>
  <c r="T28" i="20" s="1"/>
  <c r="U28" i="20" s="1"/>
  <c r="P42" i="20"/>
  <c r="U42" i="20" s="1"/>
  <c r="P18" i="22"/>
  <c r="T18" i="22" s="1"/>
  <c r="U18" i="22" s="1"/>
  <c r="P23" i="22"/>
  <c r="T23" i="22" s="1"/>
  <c r="U23" i="22" s="1"/>
  <c r="P121" i="22"/>
  <c r="U121" i="22" s="1"/>
  <c r="P15" i="22"/>
  <c r="T15" i="22" s="1"/>
  <c r="U15" i="22" s="1"/>
  <c r="P25" i="22"/>
  <c r="T25" i="22" s="1"/>
  <c r="U25" i="22" s="1"/>
  <c r="P20" i="22"/>
  <c r="T20" i="22" s="1"/>
  <c r="U20" i="22" s="1"/>
  <c r="P40" i="22"/>
  <c r="U40" i="22" s="1"/>
  <c r="P43" i="22"/>
  <c r="U43" i="22" s="1"/>
  <c r="P123" i="22"/>
  <c r="U123" i="22" s="1"/>
  <c r="P27" i="22"/>
  <c r="T27" i="22" s="1"/>
  <c r="U27" i="22" s="1"/>
  <c r="P14" i="22"/>
  <c r="P29" i="22"/>
  <c r="T29" i="22" s="1"/>
  <c r="U29" i="22" s="1"/>
  <c r="P16" i="22"/>
  <c r="T16" i="22" s="1"/>
  <c r="U16" i="22" s="1"/>
  <c r="P26" i="22"/>
  <c r="T26" i="22" s="1"/>
  <c r="U26" i="22" s="1"/>
  <c r="P24" i="22"/>
  <c r="T24" i="22" s="1"/>
  <c r="U24" i="22" s="1"/>
  <c r="P42" i="22"/>
  <c r="U42" i="22" s="1"/>
  <c r="P19" i="22"/>
  <c r="T19" i="22" s="1"/>
  <c r="U19" i="22" s="1"/>
  <c r="P22" i="22"/>
  <c r="T22" i="22" s="1"/>
  <c r="U22" i="22" s="1"/>
  <c r="P38" i="22"/>
  <c r="U38" i="22" s="1"/>
  <c r="P28" i="22"/>
  <c r="T28" i="22" s="1"/>
  <c r="U28" i="22" s="1"/>
  <c r="P17" i="22"/>
  <c r="T17" i="22" s="1"/>
  <c r="U17" i="22" s="1"/>
  <c r="P39" i="22"/>
  <c r="U39" i="22" s="1"/>
  <c r="P122" i="22"/>
  <c r="U122" i="22" s="1"/>
  <c r="P41" i="22"/>
  <c r="U41" i="22" s="1"/>
  <c r="P113" i="22"/>
  <c r="U113" i="22" s="1"/>
  <c r="P21" i="22"/>
  <c r="T21" i="22" s="1"/>
  <c r="U21" i="22" s="1"/>
  <c r="E16" i="72"/>
  <c r="P16" i="71"/>
  <c r="T16" i="71" s="1"/>
  <c r="U16" i="71" s="1"/>
  <c r="P26" i="71"/>
  <c r="T26" i="71" s="1"/>
  <c r="U26" i="71" s="1"/>
  <c r="P21" i="71"/>
  <c r="T21" i="71" s="1"/>
  <c r="U21" i="71" s="1"/>
  <c r="P28" i="71"/>
  <c r="T28" i="71" s="1"/>
  <c r="U28" i="71" s="1"/>
  <c r="P39" i="71"/>
  <c r="U39" i="71" s="1"/>
  <c r="P42" i="71"/>
  <c r="U42" i="71" s="1"/>
  <c r="P113" i="71"/>
  <c r="U113" i="71" s="1"/>
  <c r="P17" i="71"/>
  <c r="T17" i="71" s="1"/>
  <c r="U17" i="71" s="1"/>
  <c r="P22" i="71"/>
  <c r="T22" i="71" s="1"/>
  <c r="U22" i="71" s="1"/>
  <c r="P18" i="71"/>
  <c r="T18" i="71" s="1"/>
  <c r="U18" i="71" s="1"/>
  <c r="P38" i="71"/>
  <c r="U38" i="71" s="1"/>
  <c r="P121" i="71"/>
  <c r="U121" i="71" s="1"/>
  <c r="P123" i="71"/>
  <c r="U123" i="71" s="1"/>
  <c r="P29" i="71"/>
  <c r="T29" i="71" s="1"/>
  <c r="U29" i="71" s="1"/>
  <c r="P14" i="71"/>
  <c r="P24" i="71"/>
  <c r="T24" i="71" s="1"/>
  <c r="U24" i="71" s="1"/>
  <c r="P40" i="71"/>
  <c r="U40" i="71" s="1"/>
  <c r="P19" i="71"/>
  <c r="T19" i="71" s="1"/>
  <c r="U19" i="71" s="1"/>
  <c r="P27" i="71"/>
  <c r="T27" i="71" s="1"/>
  <c r="U27" i="71" s="1"/>
  <c r="P41" i="71"/>
  <c r="U41" i="71" s="1"/>
  <c r="P25" i="71"/>
  <c r="T25" i="71" s="1"/>
  <c r="U25" i="71" s="1"/>
  <c r="P15" i="71"/>
  <c r="T15" i="71" s="1"/>
  <c r="U15" i="71" s="1"/>
  <c r="P20" i="71"/>
  <c r="T20" i="71" s="1"/>
  <c r="U20" i="71" s="1"/>
  <c r="P122" i="71"/>
  <c r="U122" i="71" s="1"/>
  <c r="P23" i="71"/>
  <c r="T23" i="71" s="1"/>
  <c r="U23" i="71" s="1"/>
  <c r="P43" i="71"/>
  <c r="U43" i="71" s="1"/>
  <c r="E50" i="72"/>
  <c r="P15" i="48"/>
  <c r="T15" i="48" s="1"/>
  <c r="U15" i="48" s="1"/>
  <c r="P25" i="48"/>
  <c r="T25" i="48" s="1"/>
  <c r="U25" i="48" s="1"/>
  <c r="P20" i="48"/>
  <c r="T20" i="48" s="1"/>
  <c r="U20" i="48" s="1"/>
  <c r="P40" i="48"/>
  <c r="U40" i="48" s="1"/>
  <c r="P43" i="48"/>
  <c r="U43" i="48" s="1"/>
  <c r="P123" i="48"/>
  <c r="U123" i="48" s="1"/>
  <c r="P27" i="48"/>
  <c r="T27" i="48" s="1"/>
  <c r="U27" i="48" s="1"/>
  <c r="P17" i="48"/>
  <c r="T17" i="48" s="1"/>
  <c r="U17" i="48" s="1"/>
  <c r="P22" i="48"/>
  <c r="T22" i="48" s="1"/>
  <c r="U22" i="48" s="1"/>
  <c r="P24" i="48"/>
  <c r="T24" i="48" s="1"/>
  <c r="U24" i="48" s="1"/>
  <c r="P38" i="48"/>
  <c r="U38" i="48" s="1"/>
  <c r="P41" i="48"/>
  <c r="U41" i="48" s="1"/>
  <c r="P19" i="48"/>
  <c r="T19" i="48" s="1"/>
  <c r="U19" i="48" s="1"/>
  <c r="P16" i="48"/>
  <c r="T16" i="48" s="1"/>
  <c r="U16" i="48" s="1"/>
  <c r="P26" i="48"/>
  <c r="T26" i="48" s="1"/>
  <c r="U26" i="48" s="1"/>
  <c r="P21" i="48"/>
  <c r="T21" i="48" s="1"/>
  <c r="U21" i="48" s="1"/>
  <c r="P28" i="48"/>
  <c r="T28" i="48" s="1"/>
  <c r="U28" i="48" s="1"/>
  <c r="P39" i="48"/>
  <c r="U39" i="48" s="1"/>
  <c r="P42" i="48"/>
  <c r="U42" i="48" s="1"/>
  <c r="P18" i="48"/>
  <c r="T18" i="48" s="1"/>
  <c r="U18" i="48" s="1"/>
  <c r="P14" i="48"/>
  <c r="P23" i="48"/>
  <c r="T23" i="48" s="1"/>
  <c r="U23" i="48" s="1"/>
  <c r="P122" i="48"/>
  <c r="U122" i="48" s="1"/>
  <c r="P113" i="48"/>
  <c r="U113" i="48" s="1"/>
  <c r="P29" i="48"/>
  <c r="T29" i="48" s="1"/>
  <c r="U29" i="48" s="1"/>
  <c r="P121" i="48"/>
  <c r="U121" i="48" s="1"/>
  <c r="E36" i="72"/>
  <c r="V36" i="72" s="1"/>
  <c r="I107" i="21"/>
  <c r="I85" i="30"/>
  <c r="I90" i="30"/>
  <c r="I92" i="30"/>
  <c r="H88" i="30"/>
  <c r="I88" i="30" s="1"/>
  <c r="I85" i="56"/>
  <c r="I90" i="56"/>
  <c r="I92" i="56"/>
  <c r="H88" i="56"/>
  <c r="I88" i="56" s="1"/>
  <c r="P16" i="23"/>
  <c r="T16" i="23" s="1"/>
  <c r="U16" i="23" s="1"/>
  <c r="P26" i="23"/>
  <c r="T26" i="23" s="1"/>
  <c r="U26" i="23" s="1"/>
  <c r="P21" i="23"/>
  <c r="T21" i="23" s="1"/>
  <c r="U21" i="23" s="1"/>
  <c r="P28" i="23"/>
  <c r="T28" i="23" s="1"/>
  <c r="U28" i="23" s="1"/>
  <c r="P39" i="23"/>
  <c r="U39" i="23" s="1"/>
  <c r="P42" i="23"/>
  <c r="U42" i="23" s="1"/>
  <c r="P18" i="23"/>
  <c r="T18" i="23" s="1"/>
  <c r="U18" i="23" s="1"/>
  <c r="P23" i="23"/>
  <c r="T23" i="23" s="1"/>
  <c r="U23" i="23" s="1"/>
  <c r="P121" i="23"/>
  <c r="U121" i="23" s="1"/>
  <c r="P113" i="23"/>
  <c r="U113" i="23" s="1"/>
  <c r="P15" i="23"/>
  <c r="T15" i="23" s="1"/>
  <c r="U15" i="23" s="1"/>
  <c r="P25" i="23"/>
  <c r="T25" i="23" s="1"/>
  <c r="U25" i="23" s="1"/>
  <c r="P20" i="23"/>
  <c r="T20" i="23" s="1"/>
  <c r="U20" i="23" s="1"/>
  <c r="P40" i="23"/>
  <c r="U40" i="23" s="1"/>
  <c r="P43" i="23"/>
  <c r="U43" i="23" s="1"/>
  <c r="P123" i="23"/>
  <c r="U123" i="23" s="1"/>
  <c r="P27" i="23"/>
  <c r="T27" i="23" s="1"/>
  <c r="U27" i="23" s="1"/>
  <c r="P17" i="23"/>
  <c r="T17" i="23" s="1"/>
  <c r="U17" i="23" s="1"/>
  <c r="P22" i="23"/>
  <c r="T22" i="23" s="1"/>
  <c r="U22" i="23" s="1"/>
  <c r="P14" i="23"/>
  <c r="P29" i="23"/>
  <c r="T29" i="23" s="1"/>
  <c r="U29" i="23" s="1"/>
  <c r="P24" i="23"/>
  <c r="T24" i="23" s="1"/>
  <c r="U24" i="23" s="1"/>
  <c r="P38" i="23"/>
  <c r="U38" i="23" s="1"/>
  <c r="P41" i="23"/>
  <c r="U41" i="23" s="1"/>
  <c r="P19" i="23"/>
  <c r="T19" i="23" s="1"/>
  <c r="U19" i="23" s="1"/>
  <c r="P122" i="23"/>
  <c r="U122" i="23" s="1"/>
  <c r="E25" i="72"/>
  <c r="C107" i="30"/>
  <c r="H104" i="30"/>
  <c r="I107" i="30" s="1"/>
  <c r="P19" i="18"/>
  <c r="T19" i="18" s="1"/>
  <c r="U19" i="18" s="1"/>
  <c r="P16" i="18"/>
  <c r="T16" i="18" s="1"/>
  <c r="U16" i="18" s="1"/>
  <c r="P26" i="18"/>
  <c r="T26" i="18" s="1"/>
  <c r="U26" i="18" s="1"/>
  <c r="P122" i="18"/>
  <c r="U122" i="18" s="1"/>
  <c r="P21" i="18"/>
  <c r="T21" i="18" s="1"/>
  <c r="U21" i="18" s="1"/>
  <c r="P28" i="18"/>
  <c r="T28" i="18" s="1"/>
  <c r="U28" i="18" s="1"/>
  <c r="P39" i="18"/>
  <c r="U39" i="18" s="1"/>
  <c r="P42" i="18"/>
  <c r="U42" i="18" s="1"/>
  <c r="P18" i="18"/>
  <c r="T18" i="18" s="1"/>
  <c r="U18" i="18" s="1"/>
  <c r="P23" i="18"/>
  <c r="T23" i="18" s="1"/>
  <c r="U23" i="18" s="1"/>
  <c r="P121" i="18"/>
  <c r="U121" i="18" s="1"/>
  <c r="P20" i="18"/>
  <c r="T20" i="18" s="1"/>
  <c r="U20" i="18" s="1"/>
  <c r="P40" i="18"/>
  <c r="U40" i="18" s="1"/>
  <c r="P43" i="18"/>
  <c r="U43" i="18" s="1"/>
  <c r="P17" i="18"/>
  <c r="T17" i="18" s="1"/>
  <c r="U17" i="18" s="1"/>
  <c r="P22" i="18"/>
  <c r="T22" i="18" s="1"/>
  <c r="U22" i="18" s="1"/>
  <c r="P14" i="18"/>
  <c r="P29" i="18"/>
  <c r="T29" i="18" s="1"/>
  <c r="U29" i="18" s="1"/>
  <c r="P15" i="18"/>
  <c r="T15" i="18" s="1"/>
  <c r="U15" i="18" s="1"/>
  <c r="P113" i="18"/>
  <c r="U113" i="18" s="1"/>
  <c r="P24" i="18"/>
  <c r="T24" i="18" s="1"/>
  <c r="U24" i="18" s="1"/>
  <c r="P25" i="18"/>
  <c r="T25" i="18" s="1"/>
  <c r="U25" i="18" s="1"/>
  <c r="P41" i="18"/>
  <c r="U41" i="18" s="1"/>
  <c r="P123" i="18"/>
  <c r="U123" i="18" s="1"/>
  <c r="P27" i="18"/>
  <c r="T27" i="18" s="1"/>
  <c r="U27" i="18" s="1"/>
  <c r="P38" i="18"/>
  <c r="U38" i="18" s="1"/>
  <c r="E11" i="72"/>
  <c r="P19" i="25"/>
  <c r="T19" i="25" s="1"/>
  <c r="U19" i="25" s="1"/>
  <c r="P16" i="25"/>
  <c r="T16" i="25" s="1"/>
  <c r="U16" i="25" s="1"/>
  <c r="P26" i="25"/>
  <c r="T26" i="25" s="1"/>
  <c r="U26" i="25" s="1"/>
  <c r="P18" i="25"/>
  <c r="T18" i="25" s="1"/>
  <c r="U18" i="25" s="1"/>
  <c r="P23" i="25"/>
  <c r="T23" i="25" s="1"/>
  <c r="U23" i="25" s="1"/>
  <c r="P39" i="25"/>
  <c r="U39" i="25" s="1"/>
  <c r="P42" i="25"/>
  <c r="U42" i="25" s="1"/>
  <c r="P28" i="25"/>
  <c r="T28" i="25" s="1"/>
  <c r="U28" i="25" s="1"/>
  <c r="P121" i="25"/>
  <c r="U121" i="25" s="1"/>
  <c r="P113" i="25"/>
  <c r="U113" i="25" s="1"/>
  <c r="P22" i="25"/>
  <c r="T22" i="25" s="1"/>
  <c r="U22" i="25" s="1"/>
  <c r="P24" i="25"/>
  <c r="T24" i="25" s="1"/>
  <c r="U24" i="25" s="1"/>
  <c r="P20" i="25"/>
  <c r="T20" i="25" s="1"/>
  <c r="U20" i="25" s="1"/>
  <c r="P40" i="25"/>
  <c r="U40" i="25" s="1"/>
  <c r="P43" i="25"/>
  <c r="U43" i="25" s="1"/>
  <c r="P123" i="25"/>
  <c r="U123" i="25" s="1"/>
  <c r="P14" i="25"/>
  <c r="P27" i="25"/>
  <c r="T27" i="25" s="1"/>
  <c r="U27" i="25" s="1"/>
  <c r="P25" i="25"/>
  <c r="T25" i="25" s="1"/>
  <c r="U25" i="25" s="1"/>
  <c r="P29" i="25"/>
  <c r="T29" i="25" s="1"/>
  <c r="U29" i="25" s="1"/>
  <c r="P38" i="25"/>
  <c r="U38" i="25" s="1"/>
  <c r="P41" i="25"/>
  <c r="U41" i="25" s="1"/>
  <c r="P21" i="25"/>
  <c r="T21" i="25" s="1"/>
  <c r="U21" i="25" s="1"/>
  <c r="P122" i="25"/>
  <c r="U122" i="25" s="1"/>
  <c r="P15" i="25"/>
  <c r="T15" i="25" s="1"/>
  <c r="U15" i="25" s="1"/>
  <c r="P17" i="25"/>
  <c r="T17" i="25" s="1"/>
  <c r="U17" i="25" s="1"/>
  <c r="E14" i="72"/>
  <c r="V14" i="72" s="1"/>
  <c r="P17" i="33"/>
  <c r="T17" i="33" s="1"/>
  <c r="U17" i="33" s="1"/>
  <c r="P22" i="33"/>
  <c r="T22" i="33" s="1"/>
  <c r="U22" i="33" s="1"/>
  <c r="P14" i="33"/>
  <c r="P29" i="33"/>
  <c r="T29" i="33" s="1"/>
  <c r="U29" i="33" s="1"/>
  <c r="P24" i="33"/>
  <c r="T24" i="33" s="1"/>
  <c r="U24" i="33" s="1"/>
  <c r="P38" i="33"/>
  <c r="U38" i="33" s="1"/>
  <c r="P41" i="33"/>
  <c r="U41" i="33" s="1"/>
  <c r="P19" i="33"/>
  <c r="T19" i="33" s="1"/>
  <c r="U19" i="33" s="1"/>
  <c r="P122" i="33"/>
  <c r="U122" i="33" s="1"/>
  <c r="P16" i="33"/>
  <c r="T16" i="33" s="1"/>
  <c r="U16" i="33" s="1"/>
  <c r="P26" i="33"/>
  <c r="T26" i="33" s="1"/>
  <c r="U26" i="33" s="1"/>
  <c r="P21" i="33"/>
  <c r="T21" i="33" s="1"/>
  <c r="U21" i="33" s="1"/>
  <c r="P28" i="33"/>
  <c r="T28" i="33" s="1"/>
  <c r="U28" i="33" s="1"/>
  <c r="P39" i="33"/>
  <c r="U39" i="33" s="1"/>
  <c r="P42" i="33"/>
  <c r="U42" i="33" s="1"/>
  <c r="P18" i="33"/>
  <c r="T18" i="33" s="1"/>
  <c r="U18" i="33" s="1"/>
  <c r="P23" i="33"/>
  <c r="T23" i="33" s="1"/>
  <c r="U23" i="33" s="1"/>
  <c r="P121" i="33"/>
  <c r="U121" i="33" s="1"/>
  <c r="P20" i="33"/>
  <c r="T20" i="33" s="1"/>
  <c r="U20" i="33" s="1"/>
  <c r="P40" i="33"/>
  <c r="U40" i="33" s="1"/>
  <c r="P43" i="33"/>
  <c r="U43" i="33" s="1"/>
  <c r="P123" i="33"/>
  <c r="U123" i="33" s="1"/>
  <c r="P15" i="33"/>
  <c r="T15" i="33" s="1"/>
  <c r="U15" i="33" s="1"/>
  <c r="P27" i="33"/>
  <c r="T27" i="33" s="1"/>
  <c r="U27" i="33" s="1"/>
  <c r="P25" i="33"/>
  <c r="T25" i="33" s="1"/>
  <c r="U25" i="33" s="1"/>
  <c r="P113" i="33"/>
  <c r="U113" i="33" s="1"/>
  <c r="E22" i="72"/>
  <c r="V22" i="72" s="1"/>
  <c r="P28" i="57"/>
  <c r="T28" i="57" s="1"/>
  <c r="U28" i="57" s="1"/>
  <c r="P39" i="57"/>
  <c r="U39" i="57" s="1"/>
  <c r="P42" i="57"/>
  <c r="U42" i="57" s="1"/>
  <c r="P113" i="57"/>
  <c r="U113" i="57" s="1"/>
  <c r="P15" i="57"/>
  <c r="T15" i="57" s="1"/>
  <c r="U15" i="57" s="1"/>
  <c r="P25" i="57"/>
  <c r="T25" i="57" s="1"/>
  <c r="U25" i="57" s="1"/>
  <c r="P27" i="57"/>
  <c r="T27" i="57" s="1"/>
  <c r="U27" i="57" s="1"/>
  <c r="P14" i="57"/>
  <c r="P29" i="57"/>
  <c r="T29" i="57" s="1"/>
  <c r="U29" i="57" s="1"/>
  <c r="P24" i="57"/>
  <c r="T24" i="57" s="1"/>
  <c r="U24" i="57" s="1"/>
  <c r="P38" i="57"/>
  <c r="U38" i="57" s="1"/>
  <c r="P41" i="57"/>
  <c r="U41" i="57" s="1"/>
  <c r="P19" i="57"/>
  <c r="T19" i="57" s="1"/>
  <c r="U19" i="57" s="1"/>
  <c r="P122" i="57"/>
  <c r="U122" i="57" s="1"/>
  <c r="P123" i="57"/>
  <c r="U123" i="57" s="1"/>
  <c r="P22" i="57"/>
  <c r="T22" i="57" s="1"/>
  <c r="U22" i="57" s="1"/>
  <c r="P16" i="57"/>
  <c r="T16" i="57" s="1"/>
  <c r="U16" i="57" s="1"/>
  <c r="P26" i="57"/>
  <c r="T26" i="57" s="1"/>
  <c r="U26" i="57" s="1"/>
  <c r="P121" i="57"/>
  <c r="U121" i="57" s="1"/>
  <c r="P23" i="57"/>
  <c r="T23" i="57" s="1"/>
  <c r="U23" i="57" s="1"/>
  <c r="P43" i="57"/>
  <c r="U43" i="57" s="1"/>
  <c r="P20" i="57"/>
  <c r="T20" i="57" s="1"/>
  <c r="U20" i="57" s="1"/>
  <c r="P17" i="57"/>
  <c r="T17" i="57" s="1"/>
  <c r="U17" i="57" s="1"/>
  <c r="P18" i="57"/>
  <c r="T18" i="57" s="1"/>
  <c r="U18" i="57" s="1"/>
  <c r="P40" i="57"/>
  <c r="U40" i="57" s="1"/>
  <c r="P21" i="57"/>
  <c r="T21" i="57" s="1"/>
  <c r="U21" i="57" s="1"/>
  <c r="E44" i="72"/>
  <c r="V44" i="72" s="1"/>
  <c r="I92" i="71"/>
  <c r="H88" i="71"/>
  <c r="I88" i="71" s="1"/>
  <c r="I85" i="71"/>
  <c r="I90" i="71"/>
  <c r="I85" i="48"/>
  <c r="I90" i="48"/>
  <c r="I92" i="48"/>
  <c r="H88" i="48"/>
  <c r="I88" i="48" s="1"/>
  <c r="P28" i="77"/>
  <c r="T28" i="77" s="1"/>
  <c r="U28" i="77" s="1"/>
  <c r="P39" i="77"/>
  <c r="U39" i="77" s="1"/>
  <c r="P42" i="77"/>
  <c r="U42" i="77" s="1"/>
  <c r="P18" i="77"/>
  <c r="T18" i="77" s="1"/>
  <c r="U18" i="77" s="1"/>
  <c r="P23" i="77"/>
  <c r="T23" i="77" s="1"/>
  <c r="U23" i="77" s="1"/>
  <c r="P121" i="77"/>
  <c r="U121" i="77" s="1"/>
  <c r="P113" i="77"/>
  <c r="U113" i="77" s="1"/>
  <c r="P15" i="77"/>
  <c r="T15" i="77" s="1"/>
  <c r="U15" i="77" s="1"/>
  <c r="P25" i="77"/>
  <c r="T25" i="77" s="1"/>
  <c r="U25" i="77" s="1"/>
  <c r="P20" i="77"/>
  <c r="T20" i="77" s="1"/>
  <c r="U20" i="77" s="1"/>
  <c r="P40" i="77"/>
  <c r="U40" i="77" s="1"/>
  <c r="P43" i="77"/>
  <c r="U43" i="77" s="1"/>
  <c r="P123" i="77"/>
  <c r="U123" i="77" s="1"/>
  <c r="P27" i="77"/>
  <c r="T27" i="77" s="1"/>
  <c r="U27" i="77" s="1"/>
  <c r="P17" i="77"/>
  <c r="T17" i="77" s="1"/>
  <c r="U17" i="77" s="1"/>
  <c r="P22" i="77"/>
  <c r="T22" i="77" s="1"/>
  <c r="U22" i="77" s="1"/>
  <c r="P14" i="77"/>
  <c r="P29" i="77"/>
  <c r="T29" i="77" s="1"/>
  <c r="U29" i="77" s="1"/>
  <c r="P24" i="77"/>
  <c r="T24" i="77" s="1"/>
  <c r="U24" i="77" s="1"/>
  <c r="P38" i="77"/>
  <c r="U38" i="77" s="1"/>
  <c r="P41" i="77"/>
  <c r="U41" i="77" s="1"/>
  <c r="P19" i="77"/>
  <c r="T19" i="77" s="1"/>
  <c r="U19" i="77" s="1"/>
  <c r="P122" i="77"/>
  <c r="U122" i="77" s="1"/>
  <c r="P16" i="77"/>
  <c r="T16" i="77" s="1"/>
  <c r="U16" i="77" s="1"/>
  <c r="P26" i="77"/>
  <c r="T26" i="77" s="1"/>
  <c r="U26" i="77" s="1"/>
  <c r="P21" i="77"/>
  <c r="T21" i="77" s="1"/>
  <c r="U21" i="77" s="1"/>
  <c r="E52" i="72"/>
  <c r="V52" i="72" s="1"/>
  <c r="P19" i="26"/>
  <c r="T19" i="26" s="1"/>
  <c r="U19" i="26" s="1"/>
  <c r="P122" i="26"/>
  <c r="U122" i="26" s="1"/>
  <c r="P16" i="26"/>
  <c r="T16" i="26" s="1"/>
  <c r="U16" i="26" s="1"/>
  <c r="P26" i="26"/>
  <c r="T26" i="26" s="1"/>
  <c r="U26" i="26" s="1"/>
  <c r="P21" i="26"/>
  <c r="T21" i="26" s="1"/>
  <c r="U21" i="26" s="1"/>
  <c r="P28" i="26"/>
  <c r="T28" i="26" s="1"/>
  <c r="U28" i="26" s="1"/>
  <c r="P39" i="26"/>
  <c r="U39" i="26" s="1"/>
  <c r="P42" i="26"/>
  <c r="U42" i="26" s="1"/>
  <c r="P18" i="26"/>
  <c r="T18" i="26" s="1"/>
  <c r="U18" i="26" s="1"/>
  <c r="P23" i="26"/>
  <c r="T23" i="26" s="1"/>
  <c r="U23" i="26" s="1"/>
  <c r="P121" i="26"/>
  <c r="U121" i="26" s="1"/>
  <c r="P113" i="26"/>
  <c r="U113" i="26" s="1"/>
  <c r="P15" i="26"/>
  <c r="T15" i="26" s="1"/>
  <c r="U15" i="26" s="1"/>
  <c r="P25" i="26"/>
  <c r="T25" i="26" s="1"/>
  <c r="U25" i="26" s="1"/>
  <c r="P20" i="26"/>
  <c r="T20" i="26" s="1"/>
  <c r="U20" i="26" s="1"/>
  <c r="P40" i="26"/>
  <c r="U40" i="26" s="1"/>
  <c r="P43" i="26"/>
  <c r="U43" i="26" s="1"/>
  <c r="P123" i="26"/>
  <c r="U123" i="26" s="1"/>
  <c r="P17" i="26"/>
  <c r="T17" i="26" s="1"/>
  <c r="U17" i="26" s="1"/>
  <c r="P22" i="26"/>
  <c r="T22" i="26" s="1"/>
  <c r="U22" i="26" s="1"/>
  <c r="P14" i="26"/>
  <c r="P29" i="26"/>
  <c r="T29" i="26" s="1"/>
  <c r="U29" i="26" s="1"/>
  <c r="P38" i="26"/>
  <c r="U38" i="26" s="1"/>
  <c r="P27" i="26"/>
  <c r="T27" i="26" s="1"/>
  <c r="U27" i="26" s="1"/>
  <c r="P41" i="26"/>
  <c r="U41" i="26" s="1"/>
  <c r="P24" i="26"/>
  <c r="T24" i="26" s="1"/>
  <c r="U24" i="26" s="1"/>
  <c r="E17" i="72"/>
  <c r="I85" i="16"/>
  <c r="I90" i="16"/>
  <c r="I92" i="16"/>
  <c r="P19" i="78"/>
  <c r="T19" i="78" s="1"/>
  <c r="U19" i="78" s="1"/>
  <c r="P122" i="78"/>
  <c r="U122" i="78" s="1"/>
  <c r="P16" i="78"/>
  <c r="T16" i="78" s="1"/>
  <c r="U16" i="78" s="1"/>
  <c r="P26" i="78"/>
  <c r="T26" i="78" s="1"/>
  <c r="U26" i="78" s="1"/>
  <c r="P21" i="78"/>
  <c r="T21" i="78" s="1"/>
  <c r="U21" i="78" s="1"/>
  <c r="P28" i="78"/>
  <c r="T28" i="78" s="1"/>
  <c r="U28" i="78" s="1"/>
  <c r="P39" i="78"/>
  <c r="U39" i="78" s="1"/>
  <c r="P42" i="78"/>
  <c r="U42" i="78" s="1"/>
  <c r="P18" i="78"/>
  <c r="T18" i="78" s="1"/>
  <c r="U18" i="78" s="1"/>
  <c r="P23" i="78"/>
  <c r="T23" i="78" s="1"/>
  <c r="U23" i="78" s="1"/>
  <c r="P121" i="78"/>
  <c r="U121" i="78" s="1"/>
  <c r="P113" i="78"/>
  <c r="U113" i="78" s="1"/>
  <c r="P15" i="78"/>
  <c r="T15" i="78" s="1"/>
  <c r="U15" i="78" s="1"/>
  <c r="P25" i="78"/>
  <c r="T25" i="78" s="1"/>
  <c r="U25" i="78" s="1"/>
  <c r="P20" i="78"/>
  <c r="T20" i="78" s="1"/>
  <c r="U20" i="78" s="1"/>
  <c r="P40" i="78"/>
  <c r="U40" i="78" s="1"/>
  <c r="P43" i="78"/>
  <c r="U43" i="78" s="1"/>
  <c r="P123" i="78"/>
  <c r="U123" i="78" s="1"/>
  <c r="P27" i="78"/>
  <c r="T27" i="78" s="1"/>
  <c r="U27" i="78" s="1"/>
  <c r="P17" i="78"/>
  <c r="T17" i="78" s="1"/>
  <c r="U17" i="78" s="1"/>
  <c r="P22" i="78"/>
  <c r="T22" i="78" s="1"/>
  <c r="U22" i="78" s="1"/>
  <c r="P29" i="78"/>
  <c r="T29" i="78" s="1"/>
  <c r="U29" i="78" s="1"/>
  <c r="P14" i="78"/>
  <c r="P24" i="78"/>
  <c r="T24" i="78" s="1"/>
  <c r="U24" i="78" s="1"/>
  <c r="P38" i="78"/>
  <c r="U38" i="78" s="1"/>
  <c r="P41" i="78"/>
  <c r="U41" i="78" s="1"/>
  <c r="E53" i="72"/>
  <c r="V53" i="72" s="1"/>
  <c r="I30" i="30"/>
  <c r="C107" i="31"/>
  <c r="H104" i="31"/>
  <c r="I107" i="31" s="1"/>
  <c r="H104" i="23"/>
  <c r="I107" i="23" s="1"/>
  <c r="C107" i="23"/>
  <c r="I85" i="33"/>
  <c r="I90" i="33"/>
  <c r="I92" i="33"/>
  <c r="H88" i="33"/>
  <c r="I88" i="33" s="1"/>
  <c r="P17" i="36"/>
  <c r="T17" i="36" s="1"/>
  <c r="U17" i="36" s="1"/>
  <c r="P22" i="36"/>
  <c r="T22" i="36" s="1"/>
  <c r="U22" i="36" s="1"/>
  <c r="P14" i="36"/>
  <c r="P29" i="36"/>
  <c r="T29" i="36" s="1"/>
  <c r="U29" i="36" s="1"/>
  <c r="P24" i="36"/>
  <c r="T24" i="36" s="1"/>
  <c r="U24" i="36" s="1"/>
  <c r="P38" i="36"/>
  <c r="U38" i="36" s="1"/>
  <c r="P41" i="36"/>
  <c r="U41" i="36" s="1"/>
  <c r="P18" i="36"/>
  <c r="T18" i="36" s="1"/>
  <c r="U18" i="36" s="1"/>
  <c r="P23" i="36"/>
  <c r="T23" i="36" s="1"/>
  <c r="U23" i="36" s="1"/>
  <c r="P121" i="36"/>
  <c r="U121" i="36" s="1"/>
  <c r="P39" i="36"/>
  <c r="U39" i="36" s="1"/>
  <c r="P43" i="36"/>
  <c r="U43" i="36" s="1"/>
  <c r="P123" i="36"/>
  <c r="U123" i="36" s="1"/>
  <c r="P15" i="36"/>
  <c r="T15" i="36" s="1"/>
  <c r="U15" i="36" s="1"/>
  <c r="P27" i="36"/>
  <c r="T27" i="36" s="1"/>
  <c r="U27" i="36" s="1"/>
  <c r="P40" i="36"/>
  <c r="U40" i="36" s="1"/>
  <c r="P20" i="36"/>
  <c r="T20" i="36" s="1"/>
  <c r="U20" i="36" s="1"/>
  <c r="P25" i="36"/>
  <c r="T25" i="36" s="1"/>
  <c r="U25" i="36" s="1"/>
  <c r="P113" i="36"/>
  <c r="U113" i="36" s="1"/>
  <c r="P16" i="36"/>
  <c r="T16" i="36" s="1"/>
  <c r="U16" i="36" s="1"/>
  <c r="P28" i="36"/>
  <c r="T28" i="36" s="1"/>
  <c r="U28" i="36" s="1"/>
  <c r="P122" i="36"/>
  <c r="U122" i="36" s="1"/>
  <c r="P19" i="36"/>
  <c r="T19" i="36" s="1"/>
  <c r="U19" i="36" s="1"/>
  <c r="P21" i="36"/>
  <c r="T21" i="36" s="1"/>
  <c r="U21" i="36" s="1"/>
  <c r="P26" i="36"/>
  <c r="T26" i="36" s="1"/>
  <c r="U26" i="36" s="1"/>
  <c r="P42" i="36"/>
  <c r="U42" i="36" s="1"/>
  <c r="E26" i="72"/>
  <c r="I92" i="32"/>
  <c r="H88" i="32"/>
  <c r="I88" i="32" s="1"/>
  <c r="I90" i="32"/>
  <c r="I85" i="32"/>
  <c r="H105" i="69"/>
  <c r="I107" i="69" s="1"/>
  <c r="C107" i="69"/>
  <c r="H104" i="67"/>
  <c r="I107" i="67" s="1"/>
  <c r="C107" i="67"/>
  <c r="H104" i="38"/>
  <c r="I107" i="38" s="1"/>
  <c r="C107" i="38"/>
  <c r="C107" i="77"/>
  <c r="H104" i="77"/>
  <c r="I107" i="77" s="1"/>
  <c r="C107" i="24"/>
  <c r="H104" i="24"/>
  <c r="I107" i="24" s="1"/>
  <c r="C107" i="16"/>
  <c r="H104" i="16"/>
  <c r="P15" i="56"/>
  <c r="T15" i="56" s="1"/>
  <c r="U15" i="56" s="1"/>
  <c r="P25" i="56"/>
  <c r="T25" i="56" s="1"/>
  <c r="U25" i="56" s="1"/>
  <c r="P27" i="56"/>
  <c r="T27" i="56" s="1"/>
  <c r="U27" i="56" s="1"/>
  <c r="P17" i="56"/>
  <c r="T17" i="56" s="1"/>
  <c r="U17" i="56" s="1"/>
  <c r="P22" i="56"/>
  <c r="T22" i="56" s="1"/>
  <c r="U22" i="56" s="1"/>
  <c r="P24" i="56"/>
  <c r="T24" i="56" s="1"/>
  <c r="U24" i="56" s="1"/>
  <c r="P38" i="56"/>
  <c r="U38" i="56" s="1"/>
  <c r="P41" i="56"/>
  <c r="U41" i="56" s="1"/>
  <c r="P16" i="56"/>
  <c r="T16" i="56" s="1"/>
  <c r="U16" i="56" s="1"/>
  <c r="P26" i="56"/>
  <c r="T26" i="56" s="1"/>
  <c r="U26" i="56" s="1"/>
  <c r="P21" i="56"/>
  <c r="T21" i="56" s="1"/>
  <c r="U21" i="56" s="1"/>
  <c r="P28" i="56"/>
  <c r="T28" i="56" s="1"/>
  <c r="U28" i="56" s="1"/>
  <c r="P39" i="56"/>
  <c r="U39" i="56" s="1"/>
  <c r="P42" i="56"/>
  <c r="U42" i="56" s="1"/>
  <c r="P123" i="56"/>
  <c r="U123" i="56" s="1"/>
  <c r="P18" i="56"/>
  <c r="T18" i="56" s="1"/>
  <c r="U18" i="56" s="1"/>
  <c r="P40" i="56"/>
  <c r="U40" i="56" s="1"/>
  <c r="P121" i="56"/>
  <c r="U121" i="56" s="1"/>
  <c r="P29" i="56"/>
  <c r="T29" i="56" s="1"/>
  <c r="U29" i="56" s="1"/>
  <c r="P19" i="56"/>
  <c r="T19" i="56" s="1"/>
  <c r="U19" i="56" s="1"/>
  <c r="P113" i="56"/>
  <c r="U113" i="56" s="1"/>
  <c r="P23" i="56"/>
  <c r="T23" i="56" s="1"/>
  <c r="U23" i="56" s="1"/>
  <c r="P122" i="56"/>
  <c r="U122" i="56" s="1"/>
  <c r="P14" i="56"/>
  <c r="P43" i="56"/>
  <c r="U43" i="56" s="1"/>
  <c r="P20" i="56"/>
  <c r="T20" i="56" s="1"/>
  <c r="U20" i="56" s="1"/>
  <c r="E43" i="72"/>
  <c r="V43" i="72" s="1"/>
  <c r="C107" i="45"/>
  <c r="H104" i="45"/>
  <c r="I107" i="45" s="1"/>
  <c r="I30" i="23"/>
  <c r="H88" i="70"/>
  <c r="I88" i="70" s="1"/>
  <c r="I92" i="70"/>
  <c r="I90" i="70"/>
  <c r="I85" i="70"/>
  <c r="C107" i="68"/>
  <c r="H104" i="68"/>
  <c r="I107" i="68" s="1"/>
  <c r="H88" i="35"/>
  <c r="I88" i="35" s="1"/>
  <c r="I85" i="35"/>
  <c r="I90" i="35"/>
  <c r="I92" i="35"/>
  <c r="I85" i="36"/>
  <c r="I90" i="36"/>
  <c r="H88" i="36"/>
  <c r="I88" i="36" s="1"/>
  <c r="I92" i="36"/>
  <c r="P19" i="32"/>
  <c r="T19" i="32" s="1"/>
  <c r="U19" i="32" s="1"/>
  <c r="P16" i="32"/>
  <c r="T16" i="32" s="1"/>
  <c r="U16" i="32" s="1"/>
  <c r="P26" i="32"/>
  <c r="T26" i="32" s="1"/>
  <c r="U26" i="32" s="1"/>
  <c r="P21" i="32"/>
  <c r="T21" i="32" s="1"/>
  <c r="U21" i="32" s="1"/>
  <c r="P28" i="32"/>
  <c r="T28" i="32" s="1"/>
  <c r="U28" i="32" s="1"/>
  <c r="P39" i="32"/>
  <c r="U39" i="32" s="1"/>
  <c r="P42" i="32"/>
  <c r="U42" i="32" s="1"/>
  <c r="P18" i="32"/>
  <c r="T18" i="32" s="1"/>
  <c r="U18" i="32" s="1"/>
  <c r="P23" i="32"/>
  <c r="T23" i="32" s="1"/>
  <c r="U23" i="32" s="1"/>
  <c r="P121" i="32"/>
  <c r="U121" i="32" s="1"/>
  <c r="P113" i="32"/>
  <c r="U113" i="32" s="1"/>
  <c r="P15" i="32"/>
  <c r="T15" i="32" s="1"/>
  <c r="U15" i="32" s="1"/>
  <c r="P25" i="32"/>
  <c r="T25" i="32" s="1"/>
  <c r="U25" i="32" s="1"/>
  <c r="P20" i="32"/>
  <c r="T20" i="32" s="1"/>
  <c r="U20" i="32" s="1"/>
  <c r="P40" i="32"/>
  <c r="U40" i="32" s="1"/>
  <c r="P43" i="32"/>
  <c r="U43" i="32" s="1"/>
  <c r="P14" i="32"/>
  <c r="P29" i="32"/>
  <c r="T29" i="32" s="1"/>
  <c r="U29" i="32" s="1"/>
  <c r="P17" i="32"/>
  <c r="T17" i="32" s="1"/>
  <c r="U17" i="32" s="1"/>
  <c r="P22" i="32"/>
  <c r="T22" i="32" s="1"/>
  <c r="U22" i="32" s="1"/>
  <c r="P41" i="32"/>
  <c r="U41" i="32" s="1"/>
  <c r="P122" i="32"/>
  <c r="U122" i="32" s="1"/>
  <c r="P27" i="32"/>
  <c r="T27" i="32" s="1"/>
  <c r="U27" i="32" s="1"/>
  <c r="P38" i="32"/>
  <c r="U38" i="32" s="1"/>
  <c r="P24" i="32"/>
  <c r="T24" i="32" s="1"/>
  <c r="U24" i="32" s="1"/>
  <c r="P123" i="32"/>
  <c r="U123" i="32" s="1"/>
  <c r="E21" i="72"/>
  <c r="V21" i="72" s="1"/>
  <c r="P20" i="24"/>
  <c r="T20" i="24" s="1"/>
  <c r="U20" i="24" s="1"/>
  <c r="P40" i="24"/>
  <c r="U40" i="24" s="1"/>
  <c r="P43" i="24"/>
  <c r="U43" i="24" s="1"/>
  <c r="P123" i="24"/>
  <c r="U123" i="24" s="1"/>
  <c r="P17" i="24"/>
  <c r="T17" i="24" s="1"/>
  <c r="U17" i="24" s="1"/>
  <c r="P22" i="24"/>
  <c r="T22" i="24" s="1"/>
  <c r="U22" i="24" s="1"/>
  <c r="P14" i="24"/>
  <c r="P29" i="24"/>
  <c r="T29" i="24" s="1"/>
  <c r="U29" i="24" s="1"/>
  <c r="P24" i="24"/>
  <c r="T24" i="24" s="1"/>
  <c r="U24" i="24" s="1"/>
  <c r="P38" i="24"/>
  <c r="U38" i="24" s="1"/>
  <c r="P41" i="24"/>
  <c r="U41" i="24" s="1"/>
  <c r="P16" i="24"/>
  <c r="T16" i="24" s="1"/>
  <c r="U16" i="24" s="1"/>
  <c r="P26" i="24"/>
  <c r="T26" i="24" s="1"/>
  <c r="U26" i="24" s="1"/>
  <c r="P18" i="24"/>
  <c r="T18" i="24" s="1"/>
  <c r="U18" i="24" s="1"/>
  <c r="P23" i="24"/>
  <c r="T23" i="24" s="1"/>
  <c r="U23" i="24" s="1"/>
  <c r="P121" i="24"/>
  <c r="U121" i="24" s="1"/>
  <c r="P19" i="24"/>
  <c r="T19" i="24" s="1"/>
  <c r="U19" i="24" s="1"/>
  <c r="P28" i="24"/>
  <c r="T28" i="24" s="1"/>
  <c r="U28" i="24" s="1"/>
  <c r="P25" i="24"/>
  <c r="T25" i="24" s="1"/>
  <c r="U25" i="24" s="1"/>
  <c r="P39" i="24"/>
  <c r="U39" i="24" s="1"/>
  <c r="P15" i="24"/>
  <c r="T15" i="24" s="1"/>
  <c r="U15" i="24" s="1"/>
  <c r="P113" i="24"/>
  <c r="U113" i="24" s="1"/>
  <c r="P21" i="24"/>
  <c r="T21" i="24" s="1"/>
  <c r="U21" i="24" s="1"/>
  <c r="P27" i="24"/>
  <c r="T27" i="24" s="1"/>
  <c r="U27" i="24" s="1"/>
  <c r="P122" i="24"/>
  <c r="U122" i="24" s="1"/>
  <c r="E15" i="72"/>
  <c r="P42" i="24"/>
  <c r="U42" i="24" s="1"/>
  <c r="I85" i="75"/>
  <c r="I90" i="75"/>
  <c r="I92" i="75"/>
  <c r="H88" i="75"/>
  <c r="I88" i="75" s="1"/>
  <c r="H104" i="78"/>
  <c r="I107" i="78" s="1"/>
  <c r="C107" i="78"/>
  <c r="H88" i="50"/>
  <c r="I88" i="50" s="1"/>
  <c r="I85" i="50"/>
  <c r="I90" i="50"/>
  <c r="I92" i="50"/>
  <c r="P14" i="7"/>
  <c r="P16" i="7"/>
  <c r="T16" i="7" s="1"/>
  <c r="U16" i="7" s="1"/>
  <c r="P121" i="7"/>
  <c r="U121" i="7" s="1"/>
  <c r="P18" i="7"/>
  <c r="T18" i="7" s="1"/>
  <c r="U18" i="7" s="1"/>
  <c r="P20" i="7"/>
  <c r="T20" i="7" s="1"/>
  <c r="U20" i="7" s="1"/>
  <c r="P22" i="7"/>
  <c r="T22" i="7" s="1"/>
  <c r="U22" i="7" s="1"/>
  <c r="P24" i="7"/>
  <c r="T24" i="7" s="1"/>
  <c r="U24" i="7" s="1"/>
  <c r="P26" i="7"/>
  <c r="T26" i="7" s="1"/>
  <c r="U26" i="7" s="1"/>
  <c r="P28" i="7"/>
  <c r="T28" i="7" s="1"/>
  <c r="U28" i="7" s="1"/>
  <c r="P39" i="7"/>
  <c r="U39" i="7" s="1"/>
  <c r="P42" i="7"/>
  <c r="U42" i="7" s="1"/>
  <c r="P113" i="7"/>
  <c r="U113" i="7" s="1"/>
  <c r="P123" i="7"/>
  <c r="U123" i="7" s="1"/>
  <c r="P15" i="7"/>
  <c r="T15" i="7" s="1"/>
  <c r="U15" i="7" s="1"/>
  <c r="P40" i="7"/>
  <c r="U40" i="7" s="1"/>
  <c r="P43" i="7"/>
  <c r="U43" i="7" s="1"/>
  <c r="P17" i="7"/>
  <c r="T17" i="7" s="1"/>
  <c r="U17" i="7" s="1"/>
  <c r="P19" i="7"/>
  <c r="T19" i="7" s="1"/>
  <c r="U19" i="7" s="1"/>
  <c r="P23" i="7"/>
  <c r="T23" i="7" s="1"/>
  <c r="U23" i="7" s="1"/>
  <c r="P27" i="7"/>
  <c r="T27" i="7" s="1"/>
  <c r="U27" i="7" s="1"/>
  <c r="P38" i="7"/>
  <c r="U38" i="7" s="1"/>
  <c r="P122" i="7"/>
  <c r="U122" i="7" s="1"/>
  <c r="P41" i="7"/>
  <c r="U41" i="7" s="1"/>
  <c r="P21" i="7"/>
  <c r="T21" i="7" s="1"/>
  <c r="U21" i="7" s="1"/>
  <c r="P25" i="7"/>
  <c r="T25" i="7" s="1"/>
  <c r="U25" i="7" s="1"/>
  <c r="P29" i="7"/>
  <c r="T29" i="7" s="1"/>
  <c r="U29" i="7" s="1"/>
  <c r="I91" i="60" l="1"/>
  <c r="H105" i="60"/>
  <c r="I93" i="60"/>
  <c r="I86" i="60"/>
  <c r="H89" i="60"/>
  <c r="H99" i="60"/>
  <c r="C74" i="60"/>
  <c r="H75" i="60" s="1"/>
  <c r="H97" i="60" s="1"/>
  <c r="H98" i="16"/>
  <c r="I98" i="16" s="1"/>
  <c r="H96" i="56"/>
  <c r="I96" i="56" s="1"/>
  <c r="I128" i="56" s="1"/>
  <c r="I107" i="7"/>
  <c r="I108" i="60" s="1"/>
  <c r="H88" i="7"/>
  <c r="I88" i="7" s="1"/>
  <c r="I89" i="60" s="1"/>
  <c r="H98" i="7"/>
  <c r="I98" i="7" s="1"/>
  <c r="I99" i="60" s="1"/>
  <c r="I52" i="38"/>
  <c r="I52" i="22"/>
  <c r="I51" i="69"/>
  <c r="I51" i="37"/>
  <c r="I52" i="76"/>
  <c r="I51" i="36"/>
  <c r="I52" i="48"/>
  <c r="I52" i="58"/>
  <c r="I51" i="40"/>
  <c r="I52" i="25"/>
  <c r="I51" i="56"/>
  <c r="I51" i="52"/>
  <c r="I51" i="42"/>
  <c r="I52" i="21"/>
  <c r="I51" i="45"/>
  <c r="I51" i="27"/>
  <c r="I51" i="24"/>
  <c r="I51" i="51"/>
  <c r="I51" i="25"/>
  <c r="I51" i="55"/>
  <c r="I52" i="50"/>
  <c r="I52" i="45"/>
  <c r="I52" i="77"/>
  <c r="I52" i="47"/>
  <c r="I51" i="71"/>
  <c r="I52" i="78"/>
  <c r="I52" i="28"/>
  <c r="I51" i="57"/>
  <c r="I52" i="44"/>
  <c r="I51" i="34"/>
  <c r="I52" i="35"/>
  <c r="I52" i="39"/>
  <c r="I51" i="39"/>
  <c r="I51" i="50"/>
  <c r="I51" i="76"/>
  <c r="I52" i="40"/>
  <c r="I51" i="38"/>
  <c r="I52" i="55"/>
  <c r="U124" i="34"/>
  <c r="I51" i="28"/>
  <c r="U124" i="52"/>
  <c r="U44" i="34"/>
  <c r="O105" i="52"/>
  <c r="T105" i="52" s="1"/>
  <c r="I52" i="37"/>
  <c r="I51" i="77"/>
  <c r="I52" i="69"/>
  <c r="I52" i="34"/>
  <c r="I51" i="58"/>
  <c r="I51" i="47"/>
  <c r="O105" i="34"/>
  <c r="T105" i="34" s="1"/>
  <c r="C108" i="60"/>
  <c r="I51" i="78"/>
  <c r="I52" i="24"/>
  <c r="I52" i="51"/>
  <c r="I52" i="57"/>
  <c r="O106" i="34"/>
  <c r="T106" i="34" s="1"/>
  <c r="P30" i="34"/>
  <c r="P78" i="34" s="1"/>
  <c r="T79" i="34" s="1"/>
  <c r="T85" i="34" s="1"/>
  <c r="U85" i="34" s="1"/>
  <c r="P30" i="52"/>
  <c r="P69" i="52" s="1"/>
  <c r="T70" i="52" s="1"/>
  <c r="I52" i="36"/>
  <c r="I51" i="44"/>
  <c r="R44" i="34"/>
  <c r="I52" i="52"/>
  <c r="I52" i="56"/>
  <c r="I52" i="27"/>
  <c r="U44" i="52"/>
  <c r="I46" i="17"/>
  <c r="O106" i="52"/>
  <c r="T106" i="52" s="1"/>
  <c r="I46" i="66"/>
  <c r="I52" i="71"/>
  <c r="T14" i="52"/>
  <c r="U14" i="52" s="1"/>
  <c r="U30" i="52" s="1"/>
  <c r="I46" i="67"/>
  <c r="I52" i="42"/>
  <c r="I51" i="21"/>
  <c r="R44" i="52"/>
  <c r="I46" i="7"/>
  <c r="I46" i="32"/>
  <c r="I128" i="32" s="1"/>
  <c r="I46" i="26"/>
  <c r="I46" i="20"/>
  <c r="I51" i="35"/>
  <c r="I46" i="23"/>
  <c r="I46" i="70"/>
  <c r="I51" i="48"/>
  <c r="I51" i="22"/>
  <c r="I46" i="16"/>
  <c r="I46" i="30"/>
  <c r="H94" i="33"/>
  <c r="I94" i="33" s="1"/>
  <c r="H96" i="33"/>
  <c r="I96" i="33" s="1"/>
  <c r="I53" i="43"/>
  <c r="H94" i="43"/>
  <c r="I94" i="43" s="1"/>
  <c r="H96" i="43"/>
  <c r="I96" i="43" s="1"/>
  <c r="H94" i="32"/>
  <c r="I94" i="32" s="1"/>
  <c r="H96" i="32"/>
  <c r="I96" i="32" s="1"/>
  <c r="H73" i="35"/>
  <c r="H73" i="44"/>
  <c r="H73" i="70"/>
  <c r="H73" i="58"/>
  <c r="H73" i="30"/>
  <c r="H73" i="31"/>
  <c r="H73" i="66"/>
  <c r="I53" i="33"/>
  <c r="H73" i="26"/>
  <c r="H73" i="16"/>
  <c r="H73" i="7"/>
  <c r="H73" i="68"/>
  <c r="H73" i="20"/>
  <c r="H73" i="78"/>
  <c r="H73" i="28"/>
  <c r="H73" i="21"/>
  <c r="H73" i="17"/>
  <c r="H73" i="22"/>
  <c r="H73" i="67"/>
  <c r="H73" i="45"/>
  <c r="H73" i="76"/>
  <c r="H73" i="57"/>
  <c r="H73" i="36"/>
  <c r="H73" i="37"/>
  <c r="H73" i="69"/>
  <c r="H73" i="23"/>
  <c r="H73" i="51"/>
  <c r="H73" i="71"/>
  <c r="H73" i="18"/>
  <c r="H73" i="50"/>
  <c r="H73" i="40"/>
  <c r="H73" i="42"/>
  <c r="H73" i="27"/>
  <c r="H73" i="55"/>
  <c r="H73" i="47"/>
  <c r="H73" i="77"/>
  <c r="H73" i="38"/>
  <c r="H73" i="39"/>
  <c r="H73" i="24"/>
  <c r="H73" i="75"/>
  <c r="H73" i="52"/>
  <c r="H73" i="25"/>
  <c r="H73" i="48"/>
  <c r="H73" i="34"/>
  <c r="I51" i="75"/>
  <c r="I52" i="75"/>
  <c r="U124" i="50"/>
  <c r="U124" i="35"/>
  <c r="O57" i="72"/>
  <c r="U124" i="42"/>
  <c r="U124" i="68"/>
  <c r="U124" i="55"/>
  <c r="U124" i="20"/>
  <c r="U124" i="44"/>
  <c r="U124" i="75"/>
  <c r="U124" i="25"/>
  <c r="U124" i="30"/>
  <c r="U124" i="16"/>
  <c r="I30" i="60"/>
  <c r="I32" i="60" s="1"/>
  <c r="U124" i="24"/>
  <c r="T14" i="24"/>
  <c r="U14" i="24" s="1"/>
  <c r="P30" i="24"/>
  <c r="O105" i="26"/>
  <c r="T105" i="26" s="1"/>
  <c r="O106" i="57"/>
  <c r="T106" i="57" s="1"/>
  <c r="O106" i="33"/>
  <c r="T106" i="33" s="1"/>
  <c r="O106" i="25"/>
  <c r="T106" i="25" s="1"/>
  <c r="P30" i="23"/>
  <c r="T14" i="23"/>
  <c r="U14" i="23" s="1"/>
  <c r="U124" i="23"/>
  <c r="U124" i="48"/>
  <c r="U44" i="20"/>
  <c r="R44" i="20"/>
  <c r="P30" i="38"/>
  <c r="T14" i="38"/>
  <c r="U14" i="38" s="1"/>
  <c r="U124" i="38"/>
  <c r="P30" i="66"/>
  <c r="T14" i="66"/>
  <c r="U14" i="66" s="1"/>
  <c r="O105" i="51"/>
  <c r="T105" i="51" s="1"/>
  <c r="P30" i="69"/>
  <c r="T14" i="69"/>
  <c r="U14" i="69" s="1"/>
  <c r="O106" i="21"/>
  <c r="T106" i="21" s="1"/>
  <c r="P30" i="37"/>
  <c r="T14" i="37"/>
  <c r="U14" i="37" s="1"/>
  <c r="O105" i="28"/>
  <c r="T105" i="28" s="1"/>
  <c r="O106" i="56"/>
  <c r="T106" i="56" s="1"/>
  <c r="O106" i="36"/>
  <c r="T106" i="36" s="1"/>
  <c r="O106" i="78"/>
  <c r="T106" i="78" s="1"/>
  <c r="U44" i="26"/>
  <c r="R44" i="26"/>
  <c r="U44" i="33"/>
  <c r="R44" i="33"/>
  <c r="O106" i="18"/>
  <c r="T106" i="18" s="1"/>
  <c r="R44" i="22"/>
  <c r="U44" i="22"/>
  <c r="T14" i="16"/>
  <c r="U14" i="16" s="1"/>
  <c r="P30" i="16"/>
  <c r="O105" i="31"/>
  <c r="T105" i="31" s="1"/>
  <c r="O106" i="27"/>
  <c r="T106" i="27" s="1"/>
  <c r="T14" i="55"/>
  <c r="U14" i="55" s="1"/>
  <c r="P30" i="55"/>
  <c r="O106" i="69"/>
  <c r="T106" i="69" s="1"/>
  <c r="U44" i="43"/>
  <c r="R44" i="43"/>
  <c r="O105" i="40"/>
  <c r="T105" i="40" s="1"/>
  <c r="O105" i="17"/>
  <c r="T105" i="17" s="1"/>
  <c r="T14" i="44"/>
  <c r="U14" i="44" s="1"/>
  <c r="P30" i="44"/>
  <c r="O106" i="37"/>
  <c r="T106" i="37" s="1"/>
  <c r="P30" i="35"/>
  <c r="T14" i="35"/>
  <c r="U14" i="35" s="1"/>
  <c r="O106" i="24"/>
  <c r="T106" i="24" s="1"/>
  <c r="O105" i="32"/>
  <c r="T105" i="32" s="1"/>
  <c r="P30" i="56"/>
  <c r="T14" i="56"/>
  <c r="U14" i="56" s="1"/>
  <c r="U44" i="77"/>
  <c r="R44" i="77"/>
  <c r="O105" i="25"/>
  <c r="T105" i="25" s="1"/>
  <c r="O106" i="23"/>
  <c r="T106" i="23" s="1"/>
  <c r="U124" i="71"/>
  <c r="O105" i="71"/>
  <c r="T105" i="71" s="1"/>
  <c r="O106" i="20"/>
  <c r="T106" i="20" s="1"/>
  <c r="T14" i="30"/>
  <c r="U14" i="30" s="1"/>
  <c r="P30" i="30"/>
  <c r="O106" i="38"/>
  <c r="T106" i="38" s="1"/>
  <c r="U44" i="27"/>
  <c r="R44" i="27"/>
  <c r="P30" i="21"/>
  <c r="T14" i="21"/>
  <c r="U14" i="21" s="1"/>
  <c r="R44" i="45"/>
  <c r="U44" i="45"/>
  <c r="O106" i="17"/>
  <c r="T106" i="17" s="1"/>
  <c r="U124" i="39"/>
  <c r="U44" i="50"/>
  <c r="R44" i="50"/>
  <c r="U44" i="75"/>
  <c r="R44" i="75"/>
  <c r="U124" i="26"/>
  <c r="O105" i="48"/>
  <c r="T105" i="48" s="1"/>
  <c r="R44" i="71"/>
  <c r="U44" i="71"/>
  <c r="O106" i="51"/>
  <c r="T106" i="51" s="1"/>
  <c r="P30" i="67"/>
  <c r="T14" i="67"/>
  <c r="U14" i="67" s="1"/>
  <c r="O105" i="55"/>
  <c r="T105" i="55" s="1"/>
  <c r="T30" i="34"/>
  <c r="U30" i="34"/>
  <c r="O104" i="34"/>
  <c r="T104" i="34" s="1"/>
  <c r="U44" i="68"/>
  <c r="R44" i="68"/>
  <c r="T14" i="47"/>
  <c r="U14" i="47" s="1"/>
  <c r="P30" i="47"/>
  <c r="O105" i="35"/>
  <c r="T105" i="35" s="1"/>
  <c r="O106" i="35"/>
  <c r="T106" i="35" s="1"/>
  <c r="T14" i="76"/>
  <c r="U14" i="76" s="1"/>
  <c r="P30" i="76"/>
  <c r="R44" i="36"/>
  <c r="U44" i="36"/>
  <c r="U44" i="57"/>
  <c r="R44" i="57"/>
  <c r="P30" i="18"/>
  <c r="T14" i="18"/>
  <c r="U14" i="18" s="1"/>
  <c r="O106" i="71"/>
  <c r="T106" i="71" s="1"/>
  <c r="T14" i="20"/>
  <c r="U14" i="20" s="1"/>
  <c r="P30" i="20"/>
  <c r="O105" i="30"/>
  <c r="T105" i="30" s="1"/>
  <c r="O105" i="16"/>
  <c r="T105" i="16" s="1"/>
  <c r="O105" i="66"/>
  <c r="T105" i="66" s="1"/>
  <c r="U124" i="67"/>
  <c r="O106" i="55"/>
  <c r="T106" i="55" s="1"/>
  <c r="O106" i="68"/>
  <c r="T106" i="68" s="1"/>
  <c r="O106" i="42"/>
  <c r="T106" i="42" s="1"/>
  <c r="T14" i="42"/>
  <c r="U14" i="42" s="1"/>
  <c r="P30" i="42"/>
  <c r="O106" i="39"/>
  <c r="T106" i="39" s="1"/>
  <c r="O105" i="47"/>
  <c r="T105" i="47" s="1"/>
  <c r="U124" i="28"/>
  <c r="O105" i="75"/>
  <c r="T105" i="75" s="1"/>
  <c r="I107" i="16"/>
  <c r="P30" i="26"/>
  <c r="T14" i="26"/>
  <c r="U14" i="26" s="1"/>
  <c r="O106" i="7"/>
  <c r="T106" i="7" s="1"/>
  <c r="O105" i="24"/>
  <c r="T105" i="24" s="1"/>
  <c r="U124" i="32"/>
  <c r="O106" i="26"/>
  <c r="T106" i="26" s="1"/>
  <c r="U124" i="57"/>
  <c r="T14" i="33"/>
  <c r="U14" i="33" s="1"/>
  <c r="P30" i="33"/>
  <c r="U44" i="25"/>
  <c r="R44" i="25"/>
  <c r="U44" i="18"/>
  <c r="R44" i="18"/>
  <c r="O105" i="58"/>
  <c r="T105" i="58" s="1"/>
  <c r="U44" i="51"/>
  <c r="R44" i="51"/>
  <c r="P30" i="43"/>
  <c r="T14" i="43"/>
  <c r="U14" i="43" s="1"/>
  <c r="U124" i="43"/>
  <c r="U44" i="39"/>
  <c r="R44" i="39"/>
  <c r="O105" i="37"/>
  <c r="T105" i="37" s="1"/>
  <c r="P30" i="70"/>
  <c r="T14" i="70"/>
  <c r="U14" i="70" s="1"/>
  <c r="O105" i="76"/>
  <c r="T105" i="76" s="1"/>
  <c r="U124" i="7"/>
  <c r="U44" i="78"/>
  <c r="R44" i="78"/>
  <c r="P30" i="77"/>
  <c r="T14" i="77"/>
  <c r="U14" i="77" s="1"/>
  <c r="U124" i="77"/>
  <c r="O105" i="20"/>
  <c r="T105" i="20" s="1"/>
  <c r="U44" i="58"/>
  <c r="R44" i="58"/>
  <c r="U124" i="58"/>
  <c r="T14" i="27"/>
  <c r="U14" i="27" s="1"/>
  <c r="P30" i="27"/>
  <c r="O106" i="67"/>
  <c r="T106" i="67" s="1"/>
  <c r="P30" i="45"/>
  <c r="T14" i="45"/>
  <c r="U14" i="45" s="1"/>
  <c r="U124" i="45"/>
  <c r="P30" i="50"/>
  <c r="T14" i="50"/>
  <c r="U14" i="50" s="1"/>
  <c r="O106" i="28"/>
  <c r="T106" i="28" s="1"/>
  <c r="U44" i="28"/>
  <c r="R44" i="28"/>
  <c r="O106" i="32"/>
  <c r="T106" i="32" s="1"/>
  <c r="O105" i="33"/>
  <c r="T105" i="33" s="1"/>
  <c r="P30" i="48"/>
  <c r="T14" i="48"/>
  <c r="U14" i="48" s="1"/>
  <c r="U44" i="48"/>
  <c r="R44" i="48"/>
  <c r="P30" i="58"/>
  <c r="T14" i="58"/>
  <c r="U14" i="58" s="1"/>
  <c r="P30" i="31"/>
  <c r="T14" i="31"/>
  <c r="U14" i="31" s="1"/>
  <c r="O106" i="31"/>
  <c r="T106" i="31" s="1"/>
  <c r="O105" i="67"/>
  <c r="T105" i="67" s="1"/>
  <c r="O106" i="43"/>
  <c r="T106" i="43" s="1"/>
  <c r="O105" i="21"/>
  <c r="T105" i="21" s="1"/>
  <c r="U124" i="40"/>
  <c r="U124" i="47"/>
  <c r="O105" i="50"/>
  <c r="T105" i="50" s="1"/>
  <c r="O105" i="70"/>
  <c r="T105" i="70" s="1"/>
  <c r="T14" i="7"/>
  <c r="U14" i="7" s="1"/>
  <c r="P30" i="7"/>
  <c r="R44" i="24"/>
  <c r="U44" i="24"/>
  <c r="O105" i="56"/>
  <c r="T105" i="56" s="1"/>
  <c r="T14" i="36"/>
  <c r="U14" i="36" s="1"/>
  <c r="P30" i="36"/>
  <c r="O105" i="78"/>
  <c r="T105" i="78" s="1"/>
  <c r="O105" i="77"/>
  <c r="T105" i="77" s="1"/>
  <c r="O106" i="77"/>
  <c r="T106" i="77" s="1"/>
  <c r="O105" i="57"/>
  <c r="T105" i="57" s="1"/>
  <c r="P30" i="57"/>
  <c r="T14" i="57"/>
  <c r="U14" i="57" s="1"/>
  <c r="R44" i="23"/>
  <c r="U44" i="23"/>
  <c r="O106" i="48"/>
  <c r="T106" i="48" s="1"/>
  <c r="O105" i="22"/>
  <c r="T105" i="22" s="1"/>
  <c r="U124" i="22"/>
  <c r="R44" i="38"/>
  <c r="U44" i="38"/>
  <c r="O105" i="38"/>
  <c r="T105" i="38" s="1"/>
  <c r="O106" i="58"/>
  <c r="T106" i="58" s="1"/>
  <c r="U124" i="66"/>
  <c r="U124" i="31"/>
  <c r="U124" i="51"/>
  <c r="P30" i="51"/>
  <c r="T14" i="51"/>
  <c r="U14" i="51" s="1"/>
  <c r="O105" i="27"/>
  <c r="T105" i="27" s="1"/>
  <c r="U44" i="67"/>
  <c r="R44" i="67"/>
  <c r="R44" i="69"/>
  <c r="U44" i="69"/>
  <c r="O106" i="40"/>
  <c r="T106" i="40" s="1"/>
  <c r="O106" i="45"/>
  <c r="T106" i="45" s="1"/>
  <c r="U44" i="42"/>
  <c r="R44" i="42"/>
  <c r="O105" i="44"/>
  <c r="T105" i="44" s="1"/>
  <c r="O106" i="47"/>
  <c r="T106" i="47" s="1"/>
  <c r="O106" i="50"/>
  <c r="T106" i="50" s="1"/>
  <c r="U124" i="70"/>
  <c r="U44" i="7"/>
  <c r="R44" i="7"/>
  <c r="P30" i="32"/>
  <c r="T14" i="32"/>
  <c r="U14" i="32" s="1"/>
  <c r="O105" i="23"/>
  <c r="T105" i="23" s="1"/>
  <c r="O106" i="30"/>
  <c r="T106" i="30" s="1"/>
  <c r="U44" i="16"/>
  <c r="R44" i="16"/>
  <c r="U44" i="55"/>
  <c r="R44" i="55"/>
  <c r="O105" i="43"/>
  <c r="T105" i="43" s="1"/>
  <c r="T14" i="68"/>
  <c r="U14" i="68" s="1"/>
  <c r="P30" i="68"/>
  <c r="U44" i="40"/>
  <c r="R44" i="40"/>
  <c r="U124" i="17"/>
  <c r="T14" i="39"/>
  <c r="U14" i="39" s="1"/>
  <c r="P30" i="39"/>
  <c r="U44" i="37"/>
  <c r="R44" i="37"/>
  <c r="U44" i="35"/>
  <c r="R44" i="35"/>
  <c r="U124" i="76"/>
  <c r="O105" i="7"/>
  <c r="T105" i="7" s="1"/>
  <c r="U124" i="56"/>
  <c r="P30" i="78"/>
  <c r="T14" i="78"/>
  <c r="U14" i="78" s="1"/>
  <c r="U124" i="33"/>
  <c r="P30" i="25"/>
  <c r="T14" i="25"/>
  <c r="U14" i="25" s="1"/>
  <c r="O105" i="18"/>
  <c r="T105" i="18" s="1"/>
  <c r="O106" i="22"/>
  <c r="T106" i="22" s="1"/>
  <c r="U44" i="30"/>
  <c r="R44" i="30"/>
  <c r="R44" i="66"/>
  <c r="U44" i="66"/>
  <c r="O106" i="66"/>
  <c r="T106" i="66" s="1"/>
  <c r="U44" i="31"/>
  <c r="R44" i="31"/>
  <c r="O105" i="68"/>
  <c r="T105" i="68" s="1"/>
  <c r="U124" i="21"/>
  <c r="R44" i="21"/>
  <c r="U44" i="21"/>
  <c r="T14" i="40"/>
  <c r="U14" i="40" s="1"/>
  <c r="P30" i="40"/>
  <c r="U44" i="17"/>
  <c r="R44" i="17"/>
  <c r="O105" i="42"/>
  <c r="T105" i="42" s="1"/>
  <c r="P30" i="28"/>
  <c r="T14" i="28"/>
  <c r="U14" i="28" s="1"/>
  <c r="T14" i="75"/>
  <c r="U14" i="75" s="1"/>
  <c r="P30" i="75"/>
  <c r="O106" i="70"/>
  <c r="T106" i="70" s="1"/>
  <c r="R44" i="32"/>
  <c r="U44" i="32"/>
  <c r="U44" i="56"/>
  <c r="R44" i="56"/>
  <c r="O105" i="36"/>
  <c r="T105" i="36" s="1"/>
  <c r="U124" i="36"/>
  <c r="U124" i="78"/>
  <c r="U124" i="18"/>
  <c r="T14" i="71"/>
  <c r="U14" i="71" s="1"/>
  <c r="P30" i="71"/>
  <c r="P30" i="22"/>
  <c r="T14" i="22"/>
  <c r="U14" i="22" s="1"/>
  <c r="O106" i="16"/>
  <c r="T106" i="16" s="1"/>
  <c r="U124" i="27"/>
  <c r="O105" i="69"/>
  <c r="T105" i="69" s="1"/>
  <c r="U124" i="69"/>
  <c r="O105" i="45"/>
  <c r="T105" i="45" s="1"/>
  <c r="P30" i="17"/>
  <c r="T14" i="17"/>
  <c r="U14" i="17" s="1"/>
  <c r="O106" i="44"/>
  <c r="T106" i="44" s="1"/>
  <c r="U44" i="44"/>
  <c r="R44" i="44"/>
  <c r="O105" i="39"/>
  <c r="T105" i="39" s="1"/>
  <c r="U44" i="47"/>
  <c r="R44" i="47"/>
  <c r="U124" i="37"/>
  <c r="O106" i="75"/>
  <c r="T106" i="75" s="1"/>
  <c r="U44" i="70"/>
  <c r="R44" i="70"/>
  <c r="O106" i="76"/>
  <c r="T106" i="76" s="1"/>
  <c r="U44" i="76"/>
  <c r="R44" i="76"/>
  <c r="I128" i="33" l="1"/>
  <c r="I128" i="43"/>
  <c r="I47" i="60"/>
  <c r="I53" i="38"/>
  <c r="I53" i="36"/>
  <c r="I53" i="71"/>
  <c r="I53" i="22"/>
  <c r="T88" i="52"/>
  <c r="U88" i="52" s="1"/>
  <c r="T98" i="52"/>
  <c r="U98" i="52" s="1"/>
  <c r="I53" i="76"/>
  <c r="I53" i="77"/>
  <c r="I53" i="52"/>
  <c r="I53" i="45"/>
  <c r="I53" i="78"/>
  <c r="I53" i="48"/>
  <c r="I53" i="44"/>
  <c r="I53" i="68"/>
  <c r="I53" i="50"/>
  <c r="I53" i="24"/>
  <c r="I53" i="58"/>
  <c r="I53" i="27"/>
  <c r="I53" i="47"/>
  <c r="I53" i="69"/>
  <c r="I53" i="42"/>
  <c r="I53" i="25"/>
  <c r="I53" i="51"/>
  <c r="I53" i="37"/>
  <c r="I53" i="39"/>
  <c r="I53" i="35"/>
  <c r="I130" i="43"/>
  <c r="H135" i="43" s="1"/>
  <c r="I135" i="43" s="1"/>
  <c r="I130" i="33"/>
  <c r="H135" i="33" s="1"/>
  <c r="I135" i="33" s="1"/>
  <c r="I53" i="21"/>
  <c r="I53" i="57"/>
  <c r="I53" i="56"/>
  <c r="I130" i="56" s="1"/>
  <c r="H135" i="56" s="1"/>
  <c r="I135" i="56" s="1"/>
  <c r="I52" i="67"/>
  <c r="I52" i="70"/>
  <c r="I52" i="23"/>
  <c r="I51" i="66"/>
  <c r="I51" i="20"/>
  <c r="I53" i="28"/>
  <c r="I52" i="26"/>
  <c r="I51" i="17"/>
  <c r="I52" i="32"/>
  <c r="I53" i="55"/>
  <c r="I52" i="7"/>
  <c r="I53" i="34"/>
  <c r="I51" i="30"/>
  <c r="I53" i="31"/>
  <c r="I52" i="16"/>
  <c r="I51" i="18"/>
  <c r="I53" i="40"/>
  <c r="I51" i="67"/>
  <c r="I51" i="70"/>
  <c r="I52" i="20"/>
  <c r="P81" i="34"/>
  <c r="T82" i="34" s="1"/>
  <c r="T90" i="34" s="1"/>
  <c r="U90" i="34" s="1"/>
  <c r="P75" i="34"/>
  <c r="T76" i="34" s="1"/>
  <c r="T92" i="34" s="1"/>
  <c r="U92" i="34" s="1"/>
  <c r="P69" i="34"/>
  <c r="T70" i="34" s="1"/>
  <c r="T30" i="52"/>
  <c r="P72" i="52" s="1"/>
  <c r="O104" i="52"/>
  <c r="I52" i="30"/>
  <c r="I51" i="7"/>
  <c r="P75" i="52"/>
  <c r="T76" i="52" s="1"/>
  <c r="T92" i="52" s="1"/>
  <c r="U92" i="52" s="1"/>
  <c r="P81" i="52"/>
  <c r="T82" i="52" s="1"/>
  <c r="T90" i="52" s="1"/>
  <c r="U90" i="52" s="1"/>
  <c r="P78" i="52"/>
  <c r="T79" i="52" s="1"/>
  <c r="T85" i="52" s="1"/>
  <c r="U85" i="52" s="1"/>
  <c r="H95" i="60"/>
  <c r="I52" i="66"/>
  <c r="I51" i="26"/>
  <c r="I51" i="32"/>
  <c r="I51" i="16"/>
  <c r="I51" i="23"/>
  <c r="U46" i="52"/>
  <c r="R51" i="52"/>
  <c r="U51" i="52" s="1"/>
  <c r="R52" i="52"/>
  <c r="U52" i="52" s="1"/>
  <c r="U46" i="34"/>
  <c r="R51" i="34"/>
  <c r="U51" i="34" s="1"/>
  <c r="R52" i="34"/>
  <c r="U52" i="34" s="1"/>
  <c r="I52" i="18"/>
  <c r="I54" i="60" s="1"/>
  <c r="I52" i="17"/>
  <c r="H94" i="36"/>
  <c r="I94" i="36" s="1"/>
  <c r="H96" i="36"/>
  <c r="I96" i="36" s="1"/>
  <c r="H94" i="68"/>
  <c r="I94" i="68" s="1"/>
  <c r="H96" i="68"/>
  <c r="I96" i="68" s="1"/>
  <c r="H94" i="24"/>
  <c r="I94" i="24" s="1"/>
  <c r="H96" i="24"/>
  <c r="I96" i="24" s="1"/>
  <c r="H94" i="42"/>
  <c r="I94" i="42" s="1"/>
  <c r="H96" i="42"/>
  <c r="I96" i="42" s="1"/>
  <c r="H94" i="57"/>
  <c r="I94" i="57" s="1"/>
  <c r="H96" i="57"/>
  <c r="I96" i="57" s="1"/>
  <c r="H94" i="70"/>
  <c r="I94" i="70" s="1"/>
  <c r="H96" i="70"/>
  <c r="I96" i="70" s="1"/>
  <c r="H94" i="39"/>
  <c r="I94" i="39" s="1"/>
  <c r="H96" i="39"/>
  <c r="I96" i="39" s="1"/>
  <c r="H94" i="40"/>
  <c r="I94" i="40" s="1"/>
  <c r="H96" i="40"/>
  <c r="I96" i="40" s="1"/>
  <c r="H94" i="76"/>
  <c r="I94" i="76" s="1"/>
  <c r="H96" i="76"/>
  <c r="I96" i="76" s="1"/>
  <c r="H94" i="44"/>
  <c r="I94" i="44" s="1"/>
  <c r="H96" i="44"/>
  <c r="I96" i="44" s="1"/>
  <c r="H94" i="38"/>
  <c r="I94" i="38" s="1"/>
  <c r="H96" i="38"/>
  <c r="I96" i="38" s="1"/>
  <c r="H94" i="50"/>
  <c r="I94" i="50" s="1"/>
  <c r="H96" i="50"/>
  <c r="I96" i="50" s="1"/>
  <c r="H94" i="45"/>
  <c r="I94" i="45" s="1"/>
  <c r="H96" i="45"/>
  <c r="I96" i="45" s="1"/>
  <c r="H94" i="7"/>
  <c r="I94" i="7" s="1"/>
  <c r="H96" i="7"/>
  <c r="I96" i="7" s="1"/>
  <c r="H94" i="35"/>
  <c r="I94" i="35" s="1"/>
  <c r="H96" i="35"/>
  <c r="I96" i="35" s="1"/>
  <c r="H94" i="77"/>
  <c r="I94" i="77" s="1"/>
  <c r="H96" i="77"/>
  <c r="I96" i="77" s="1"/>
  <c r="H94" i="18"/>
  <c r="I94" i="18" s="1"/>
  <c r="H96" i="18"/>
  <c r="I96" i="18" s="1"/>
  <c r="H94" i="67"/>
  <c r="I94" i="67" s="1"/>
  <c r="H96" i="67"/>
  <c r="I96" i="67" s="1"/>
  <c r="H94" i="16"/>
  <c r="I94" i="16" s="1"/>
  <c r="H96" i="16"/>
  <c r="I96" i="16" s="1"/>
  <c r="H94" i="22"/>
  <c r="I94" i="22" s="1"/>
  <c r="H96" i="22"/>
  <c r="I96" i="22" s="1"/>
  <c r="H94" i="26"/>
  <c r="I94" i="26" s="1"/>
  <c r="H96" i="26"/>
  <c r="I96" i="26" s="1"/>
  <c r="H94" i="17"/>
  <c r="I94" i="17" s="1"/>
  <c r="H96" i="17"/>
  <c r="I96" i="17" s="1"/>
  <c r="H94" i="34"/>
  <c r="I94" i="34" s="1"/>
  <c r="H96" i="34"/>
  <c r="I96" i="34" s="1"/>
  <c r="H94" i="71"/>
  <c r="I94" i="71" s="1"/>
  <c r="H96" i="71"/>
  <c r="I96" i="71" s="1"/>
  <c r="H94" i="21"/>
  <c r="I94" i="21" s="1"/>
  <c r="H96" i="21"/>
  <c r="I96" i="21" s="1"/>
  <c r="H94" i="66"/>
  <c r="I94" i="66" s="1"/>
  <c r="H96" i="66"/>
  <c r="I96" i="66" s="1"/>
  <c r="H94" i="48"/>
  <c r="I94" i="48" s="1"/>
  <c r="H96" i="48"/>
  <c r="I96" i="48" s="1"/>
  <c r="H94" i="51"/>
  <c r="I94" i="51" s="1"/>
  <c r="H96" i="51"/>
  <c r="I96" i="51" s="1"/>
  <c r="H94" i="28"/>
  <c r="I94" i="28" s="1"/>
  <c r="H96" i="28"/>
  <c r="I96" i="28" s="1"/>
  <c r="H94" i="31"/>
  <c r="I94" i="31" s="1"/>
  <c r="H96" i="31"/>
  <c r="I96" i="31" s="1"/>
  <c r="H94" i="25"/>
  <c r="I94" i="25" s="1"/>
  <c r="H96" i="25"/>
  <c r="I96" i="25" s="1"/>
  <c r="H94" i="47"/>
  <c r="I94" i="47" s="1"/>
  <c r="H96" i="47"/>
  <c r="I96" i="47" s="1"/>
  <c r="H94" i="23"/>
  <c r="I94" i="23" s="1"/>
  <c r="H96" i="23"/>
  <c r="I96" i="23" s="1"/>
  <c r="H94" i="78"/>
  <c r="I94" i="78" s="1"/>
  <c r="H96" i="78"/>
  <c r="I96" i="78" s="1"/>
  <c r="H94" i="30"/>
  <c r="I94" i="30" s="1"/>
  <c r="H96" i="30"/>
  <c r="I96" i="30" s="1"/>
  <c r="H94" i="52"/>
  <c r="I94" i="52" s="1"/>
  <c r="H96" i="52"/>
  <c r="I96" i="52" s="1"/>
  <c r="H94" i="55"/>
  <c r="I94" i="55" s="1"/>
  <c r="H96" i="55"/>
  <c r="I96" i="55" s="1"/>
  <c r="H94" i="69"/>
  <c r="I94" i="69" s="1"/>
  <c r="H96" i="69"/>
  <c r="I96" i="69" s="1"/>
  <c r="H94" i="58"/>
  <c r="I94" i="58" s="1"/>
  <c r="H96" i="58"/>
  <c r="I96" i="58" s="1"/>
  <c r="H94" i="75"/>
  <c r="I94" i="75" s="1"/>
  <c r="H96" i="75"/>
  <c r="I96" i="75" s="1"/>
  <c r="H94" i="27"/>
  <c r="I94" i="27" s="1"/>
  <c r="H96" i="27"/>
  <c r="I96" i="27" s="1"/>
  <c r="H94" i="37"/>
  <c r="I94" i="37" s="1"/>
  <c r="H96" i="37"/>
  <c r="I96" i="37" s="1"/>
  <c r="H94" i="20"/>
  <c r="I94" i="20" s="1"/>
  <c r="H96" i="20"/>
  <c r="I96" i="20" s="1"/>
  <c r="P69" i="58"/>
  <c r="T70" i="58" s="1"/>
  <c r="P78" i="58"/>
  <c r="T79" i="58" s="1"/>
  <c r="T85" i="58" s="1"/>
  <c r="U85" i="58" s="1"/>
  <c r="P81" i="58"/>
  <c r="T82" i="58" s="1"/>
  <c r="T90" i="58" s="1"/>
  <c r="U90" i="58" s="1"/>
  <c r="P75" i="58"/>
  <c r="T76" i="58" s="1"/>
  <c r="T92" i="58" s="1"/>
  <c r="U92" i="58" s="1"/>
  <c r="P69" i="50"/>
  <c r="T70" i="50" s="1"/>
  <c r="P81" i="50"/>
  <c r="T82" i="50" s="1"/>
  <c r="T90" i="50" s="1"/>
  <c r="U90" i="50" s="1"/>
  <c r="P78" i="50"/>
  <c r="T79" i="50" s="1"/>
  <c r="T85" i="50" s="1"/>
  <c r="U85" i="50" s="1"/>
  <c r="P75" i="50"/>
  <c r="T76" i="50" s="1"/>
  <c r="T92" i="50" s="1"/>
  <c r="U92" i="50" s="1"/>
  <c r="P69" i="33"/>
  <c r="T70" i="33" s="1"/>
  <c r="P75" i="33"/>
  <c r="T76" i="33" s="1"/>
  <c r="T92" i="33" s="1"/>
  <c r="U92" i="33" s="1"/>
  <c r="P78" i="33"/>
  <c r="T79" i="33" s="1"/>
  <c r="T85" i="33" s="1"/>
  <c r="U85" i="33" s="1"/>
  <c r="P81" i="33"/>
  <c r="T82" i="33" s="1"/>
  <c r="T90" i="33" s="1"/>
  <c r="U90" i="33" s="1"/>
  <c r="P69" i="66"/>
  <c r="T70" i="66" s="1"/>
  <c r="P75" i="66"/>
  <c r="T76" i="66" s="1"/>
  <c r="T92" i="66" s="1"/>
  <c r="U92" i="66" s="1"/>
  <c r="P81" i="66"/>
  <c r="T82" i="66" s="1"/>
  <c r="T90" i="66" s="1"/>
  <c r="U90" i="66" s="1"/>
  <c r="P78" i="66"/>
  <c r="T79" i="66" s="1"/>
  <c r="T85" i="66" s="1"/>
  <c r="U85" i="66" s="1"/>
  <c r="P69" i="67"/>
  <c r="T70" i="67" s="1"/>
  <c r="P75" i="67"/>
  <c r="T76" i="67" s="1"/>
  <c r="T92" i="67" s="1"/>
  <c r="U92" i="67" s="1"/>
  <c r="P81" i="67"/>
  <c r="T82" i="67" s="1"/>
  <c r="T90" i="67" s="1"/>
  <c r="U90" i="67" s="1"/>
  <c r="P78" i="67"/>
  <c r="T79" i="67" s="1"/>
  <c r="T85" i="67" s="1"/>
  <c r="U85" i="67" s="1"/>
  <c r="P69" i="77"/>
  <c r="T70" i="77" s="1"/>
  <c r="P81" i="77"/>
  <c r="T82" i="77" s="1"/>
  <c r="T90" i="77" s="1"/>
  <c r="U90" i="77" s="1"/>
  <c r="P78" i="77"/>
  <c r="T79" i="77" s="1"/>
  <c r="T85" i="77" s="1"/>
  <c r="U85" i="77" s="1"/>
  <c r="P75" i="77"/>
  <c r="T76" i="77" s="1"/>
  <c r="T92" i="77" s="1"/>
  <c r="U92" i="77" s="1"/>
  <c r="P69" i="20"/>
  <c r="T70" i="20" s="1"/>
  <c r="P81" i="20"/>
  <c r="T82" i="20" s="1"/>
  <c r="T90" i="20" s="1"/>
  <c r="U90" i="20" s="1"/>
  <c r="P78" i="20"/>
  <c r="T79" i="20" s="1"/>
  <c r="T85" i="20" s="1"/>
  <c r="U85" i="20" s="1"/>
  <c r="P75" i="20"/>
  <c r="T76" i="20" s="1"/>
  <c r="T92" i="20" s="1"/>
  <c r="U92" i="20" s="1"/>
  <c r="P69" i="21"/>
  <c r="T70" i="21" s="1"/>
  <c r="P81" i="21"/>
  <c r="T82" i="21" s="1"/>
  <c r="T90" i="21" s="1"/>
  <c r="U90" i="21" s="1"/>
  <c r="P75" i="21"/>
  <c r="T76" i="21" s="1"/>
  <c r="T92" i="21" s="1"/>
  <c r="U92" i="21" s="1"/>
  <c r="P78" i="21"/>
  <c r="T79" i="21" s="1"/>
  <c r="T85" i="21" s="1"/>
  <c r="U85" i="21" s="1"/>
  <c r="P69" i="35"/>
  <c r="T70" i="35" s="1"/>
  <c r="P78" i="35"/>
  <c r="T79" i="35" s="1"/>
  <c r="T85" i="35" s="1"/>
  <c r="U85" i="35" s="1"/>
  <c r="P75" i="35"/>
  <c r="T76" i="35" s="1"/>
  <c r="T92" i="35" s="1"/>
  <c r="U92" i="35" s="1"/>
  <c r="P81" i="35"/>
  <c r="T82" i="35" s="1"/>
  <c r="T90" i="35" s="1"/>
  <c r="U90" i="35" s="1"/>
  <c r="P69" i="36"/>
  <c r="T70" i="36" s="1"/>
  <c r="P81" i="36"/>
  <c r="T82" i="36" s="1"/>
  <c r="T90" i="36" s="1"/>
  <c r="U90" i="36" s="1"/>
  <c r="P78" i="36"/>
  <c r="T79" i="36" s="1"/>
  <c r="T85" i="36" s="1"/>
  <c r="U85" i="36" s="1"/>
  <c r="P75" i="36"/>
  <c r="T76" i="36" s="1"/>
  <c r="T92" i="36" s="1"/>
  <c r="U92" i="36" s="1"/>
  <c r="P69" i="43"/>
  <c r="T70" i="43" s="1"/>
  <c r="P81" i="43"/>
  <c r="T82" i="43" s="1"/>
  <c r="T90" i="43" s="1"/>
  <c r="U90" i="43" s="1"/>
  <c r="P78" i="43"/>
  <c r="T79" i="43" s="1"/>
  <c r="T85" i="43" s="1"/>
  <c r="U85" i="43" s="1"/>
  <c r="P75" i="43"/>
  <c r="T76" i="43" s="1"/>
  <c r="T92" i="43" s="1"/>
  <c r="U92" i="43" s="1"/>
  <c r="P69" i="16"/>
  <c r="T70" i="16" s="1"/>
  <c r="P78" i="16"/>
  <c r="T79" i="16" s="1"/>
  <c r="T85" i="16" s="1"/>
  <c r="U85" i="16" s="1"/>
  <c r="P81" i="16"/>
  <c r="T82" i="16" s="1"/>
  <c r="T90" i="16" s="1"/>
  <c r="U90" i="16" s="1"/>
  <c r="P75" i="16"/>
  <c r="T76" i="16" s="1"/>
  <c r="T92" i="16" s="1"/>
  <c r="U92" i="16" s="1"/>
  <c r="P69" i="38"/>
  <c r="T70" i="38" s="1"/>
  <c r="P78" i="38"/>
  <c r="T79" i="38" s="1"/>
  <c r="T85" i="38" s="1"/>
  <c r="U85" i="38" s="1"/>
  <c r="P81" i="38"/>
  <c r="T82" i="38" s="1"/>
  <c r="T90" i="38" s="1"/>
  <c r="U90" i="38" s="1"/>
  <c r="P75" i="38"/>
  <c r="T76" i="38" s="1"/>
  <c r="T92" i="38" s="1"/>
  <c r="U92" i="38" s="1"/>
  <c r="P69" i="24"/>
  <c r="T70" i="24" s="1"/>
  <c r="P78" i="24"/>
  <c r="T79" i="24" s="1"/>
  <c r="T85" i="24" s="1"/>
  <c r="U85" i="24" s="1"/>
  <c r="P81" i="24"/>
  <c r="T82" i="24" s="1"/>
  <c r="T90" i="24" s="1"/>
  <c r="U90" i="24" s="1"/>
  <c r="P75" i="24"/>
  <c r="T76" i="24" s="1"/>
  <c r="T92" i="24" s="1"/>
  <c r="U92" i="24" s="1"/>
  <c r="P69" i="25"/>
  <c r="T70" i="25" s="1"/>
  <c r="P81" i="25"/>
  <c r="T82" i="25" s="1"/>
  <c r="T90" i="25" s="1"/>
  <c r="U90" i="25" s="1"/>
  <c r="P75" i="25"/>
  <c r="T76" i="25" s="1"/>
  <c r="T92" i="25" s="1"/>
  <c r="U92" i="25" s="1"/>
  <c r="P78" i="25"/>
  <c r="T79" i="25" s="1"/>
  <c r="T85" i="25" s="1"/>
  <c r="U85" i="25" s="1"/>
  <c r="P69" i="48"/>
  <c r="T70" i="48" s="1"/>
  <c r="P78" i="48"/>
  <c r="T79" i="48" s="1"/>
  <c r="T85" i="48" s="1"/>
  <c r="U85" i="48" s="1"/>
  <c r="P81" i="48"/>
  <c r="T82" i="48" s="1"/>
  <c r="T90" i="48" s="1"/>
  <c r="U90" i="48" s="1"/>
  <c r="P75" i="48"/>
  <c r="T76" i="48" s="1"/>
  <c r="T92" i="48" s="1"/>
  <c r="U92" i="48" s="1"/>
  <c r="P69" i="42"/>
  <c r="T70" i="42" s="1"/>
  <c r="P75" i="42"/>
  <c r="T76" i="42" s="1"/>
  <c r="T92" i="42" s="1"/>
  <c r="U92" i="42" s="1"/>
  <c r="P78" i="42"/>
  <c r="T79" i="42" s="1"/>
  <c r="T85" i="42" s="1"/>
  <c r="U85" i="42" s="1"/>
  <c r="P81" i="42"/>
  <c r="T82" i="42" s="1"/>
  <c r="T90" i="42" s="1"/>
  <c r="U90" i="42" s="1"/>
  <c r="P69" i="47"/>
  <c r="T70" i="47" s="1"/>
  <c r="P75" i="47"/>
  <c r="T76" i="47" s="1"/>
  <c r="T92" i="47" s="1"/>
  <c r="U92" i="47" s="1"/>
  <c r="P81" i="47"/>
  <c r="T82" i="47" s="1"/>
  <c r="T90" i="47" s="1"/>
  <c r="U90" i="47" s="1"/>
  <c r="P78" i="47"/>
  <c r="T79" i="47" s="1"/>
  <c r="T85" i="47" s="1"/>
  <c r="U85" i="47" s="1"/>
  <c r="P69" i="44"/>
  <c r="T70" i="44" s="1"/>
  <c r="P78" i="44"/>
  <c r="T79" i="44" s="1"/>
  <c r="T85" i="44" s="1"/>
  <c r="U85" i="44" s="1"/>
  <c r="P81" i="44"/>
  <c r="T82" i="44" s="1"/>
  <c r="T90" i="44" s="1"/>
  <c r="U90" i="44" s="1"/>
  <c r="P75" i="44"/>
  <c r="T76" i="44" s="1"/>
  <c r="T92" i="44" s="1"/>
  <c r="U92" i="44" s="1"/>
  <c r="P69" i="45"/>
  <c r="T70" i="45" s="1"/>
  <c r="P75" i="45"/>
  <c r="T76" i="45" s="1"/>
  <c r="T92" i="45" s="1"/>
  <c r="U92" i="45" s="1"/>
  <c r="P81" i="45"/>
  <c r="T82" i="45" s="1"/>
  <c r="T90" i="45" s="1"/>
  <c r="U90" i="45" s="1"/>
  <c r="P78" i="45"/>
  <c r="T79" i="45" s="1"/>
  <c r="T85" i="45" s="1"/>
  <c r="U85" i="45" s="1"/>
  <c r="P69" i="40"/>
  <c r="T70" i="40" s="1"/>
  <c r="P78" i="40"/>
  <c r="T79" i="40" s="1"/>
  <c r="T85" i="40" s="1"/>
  <c r="U85" i="40" s="1"/>
  <c r="P81" i="40"/>
  <c r="T82" i="40" s="1"/>
  <c r="T90" i="40" s="1"/>
  <c r="U90" i="40" s="1"/>
  <c r="P75" i="40"/>
  <c r="T76" i="40" s="1"/>
  <c r="T92" i="40" s="1"/>
  <c r="U92" i="40" s="1"/>
  <c r="P69" i="39"/>
  <c r="T70" i="39" s="1"/>
  <c r="P75" i="39"/>
  <c r="T76" i="39" s="1"/>
  <c r="T92" i="39" s="1"/>
  <c r="U92" i="39" s="1"/>
  <c r="P78" i="39"/>
  <c r="T79" i="39" s="1"/>
  <c r="T85" i="39" s="1"/>
  <c r="U85" i="39" s="1"/>
  <c r="P81" i="39"/>
  <c r="T82" i="39" s="1"/>
  <c r="T90" i="39" s="1"/>
  <c r="U90" i="39" s="1"/>
  <c r="P69" i="27"/>
  <c r="T70" i="27" s="1"/>
  <c r="P78" i="27"/>
  <c r="T79" i="27" s="1"/>
  <c r="T85" i="27" s="1"/>
  <c r="U85" i="27" s="1"/>
  <c r="P81" i="27"/>
  <c r="T82" i="27" s="1"/>
  <c r="T90" i="27" s="1"/>
  <c r="U90" i="27" s="1"/>
  <c r="P75" i="27"/>
  <c r="T76" i="27" s="1"/>
  <c r="T92" i="27" s="1"/>
  <c r="U92" i="27" s="1"/>
  <c r="P69" i="51"/>
  <c r="T70" i="51" s="1"/>
  <c r="P81" i="51"/>
  <c r="T82" i="51" s="1"/>
  <c r="T90" i="51" s="1"/>
  <c r="U90" i="51" s="1"/>
  <c r="P78" i="51"/>
  <c r="T79" i="51" s="1"/>
  <c r="T85" i="51" s="1"/>
  <c r="U85" i="51" s="1"/>
  <c r="P75" i="51"/>
  <c r="T76" i="51" s="1"/>
  <c r="T92" i="51" s="1"/>
  <c r="U92" i="51" s="1"/>
  <c r="P69" i="18"/>
  <c r="T70" i="18" s="1"/>
  <c r="P75" i="18"/>
  <c r="T76" i="18" s="1"/>
  <c r="T92" i="18" s="1"/>
  <c r="U92" i="18" s="1"/>
  <c r="P81" i="18"/>
  <c r="T82" i="18" s="1"/>
  <c r="T90" i="18" s="1"/>
  <c r="U90" i="18" s="1"/>
  <c r="P78" i="18"/>
  <c r="T79" i="18" s="1"/>
  <c r="T85" i="18" s="1"/>
  <c r="U85" i="18" s="1"/>
  <c r="P69" i="37"/>
  <c r="T70" i="37" s="1"/>
  <c r="P78" i="37"/>
  <c r="T79" i="37" s="1"/>
  <c r="T85" i="37" s="1"/>
  <c r="U85" i="37" s="1"/>
  <c r="P81" i="37"/>
  <c r="T82" i="37" s="1"/>
  <c r="T90" i="37" s="1"/>
  <c r="U90" i="37" s="1"/>
  <c r="P75" i="37"/>
  <c r="T76" i="37" s="1"/>
  <c r="T92" i="37" s="1"/>
  <c r="U92" i="37" s="1"/>
  <c r="P69" i="56"/>
  <c r="T70" i="56" s="1"/>
  <c r="P75" i="56"/>
  <c r="T76" i="56" s="1"/>
  <c r="T92" i="56" s="1"/>
  <c r="U92" i="56" s="1"/>
  <c r="P81" i="56"/>
  <c r="T82" i="56" s="1"/>
  <c r="T90" i="56" s="1"/>
  <c r="U90" i="56" s="1"/>
  <c r="P78" i="56"/>
  <c r="T79" i="56" s="1"/>
  <c r="T85" i="56" s="1"/>
  <c r="U85" i="56" s="1"/>
  <c r="P69" i="78"/>
  <c r="T70" i="78" s="1"/>
  <c r="P75" i="78"/>
  <c r="T76" i="78" s="1"/>
  <c r="T92" i="78" s="1"/>
  <c r="U92" i="78" s="1"/>
  <c r="P78" i="78"/>
  <c r="T79" i="78" s="1"/>
  <c r="T85" i="78" s="1"/>
  <c r="U85" i="78" s="1"/>
  <c r="P81" i="78"/>
  <c r="T82" i="78" s="1"/>
  <c r="T90" i="78" s="1"/>
  <c r="U90" i="78" s="1"/>
  <c r="P69" i="22"/>
  <c r="T70" i="22" s="1"/>
  <c r="P78" i="22"/>
  <c r="T79" i="22" s="1"/>
  <c r="T85" i="22" s="1"/>
  <c r="U85" i="22" s="1"/>
  <c r="P81" i="22"/>
  <c r="T82" i="22" s="1"/>
  <c r="T90" i="22" s="1"/>
  <c r="U90" i="22" s="1"/>
  <c r="P75" i="22"/>
  <c r="T76" i="22" s="1"/>
  <c r="T92" i="22" s="1"/>
  <c r="U92" i="22" s="1"/>
  <c r="P78" i="7"/>
  <c r="T79" i="7" s="1"/>
  <c r="T85" i="7" s="1"/>
  <c r="U85" i="7" s="1"/>
  <c r="P81" i="7"/>
  <c r="T82" i="7" s="1"/>
  <c r="T90" i="7" s="1"/>
  <c r="U90" i="7" s="1"/>
  <c r="P69" i="75"/>
  <c r="T70" i="75" s="1"/>
  <c r="P81" i="75"/>
  <c r="T82" i="75" s="1"/>
  <c r="T90" i="75" s="1"/>
  <c r="U90" i="75" s="1"/>
  <c r="P75" i="75"/>
  <c r="T76" i="75" s="1"/>
  <c r="T92" i="75" s="1"/>
  <c r="U92" i="75" s="1"/>
  <c r="P78" i="75"/>
  <c r="T79" i="75" s="1"/>
  <c r="T85" i="75" s="1"/>
  <c r="U85" i="75" s="1"/>
  <c r="P69" i="32"/>
  <c r="T70" i="32" s="1"/>
  <c r="P78" i="32"/>
  <c r="T79" i="32" s="1"/>
  <c r="T85" i="32" s="1"/>
  <c r="U85" i="32" s="1"/>
  <c r="P81" i="32"/>
  <c r="T82" i="32" s="1"/>
  <c r="T90" i="32" s="1"/>
  <c r="U90" i="32" s="1"/>
  <c r="P75" i="32"/>
  <c r="T76" i="32" s="1"/>
  <c r="T92" i="32" s="1"/>
  <c r="U92" i="32" s="1"/>
  <c r="P69" i="70"/>
  <c r="T70" i="70" s="1"/>
  <c r="P81" i="70"/>
  <c r="T82" i="70" s="1"/>
  <c r="T90" i="70" s="1"/>
  <c r="U90" i="70" s="1"/>
  <c r="P78" i="70"/>
  <c r="T79" i="70" s="1"/>
  <c r="T85" i="70" s="1"/>
  <c r="U85" i="70" s="1"/>
  <c r="P75" i="70"/>
  <c r="T76" i="70" s="1"/>
  <c r="T92" i="70" s="1"/>
  <c r="U92" i="70" s="1"/>
  <c r="P69" i="30"/>
  <c r="T70" i="30" s="1"/>
  <c r="P78" i="30"/>
  <c r="T79" i="30" s="1"/>
  <c r="T85" i="30" s="1"/>
  <c r="U85" i="30" s="1"/>
  <c r="P81" i="30"/>
  <c r="T82" i="30" s="1"/>
  <c r="T90" i="30" s="1"/>
  <c r="U90" i="30" s="1"/>
  <c r="P75" i="30"/>
  <c r="T76" i="30" s="1"/>
  <c r="T92" i="30" s="1"/>
  <c r="U92" i="30" s="1"/>
  <c r="P69" i="69"/>
  <c r="T70" i="69" s="1"/>
  <c r="P81" i="69"/>
  <c r="T82" i="69" s="1"/>
  <c r="T90" i="69" s="1"/>
  <c r="U90" i="69" s="1"/>
  <c r="P75" i="69"/>
  <c r="T76" i="69" s="1"/>
  <c r="T92" i="69" s="1"/>
  <c r="U92" i="69" s="1"/>
  <c r="P78" i="69"/>
  <c r="T79" i="69" s="1"/>
  <c r="T85" i="69" s="1"/>
  <c r="U85" i="69" s="1"/>
  <c r="P69" i="23"/>
  <c r="T70" i="23" s="1"/>
  <c r="P81" i="23"/>
  <c r="T82" i="23" s="1"/>
  <c r="T90" i="23" s="1"/>
  <c r="U90" i="23" s="1"/>
  <c r="P78" i="23"/>
  <c r="T79" i="23" s="1"/>
  <c r="T85" i="23" s="1"/>
  <c r="U85" i="23" s="1"/>
  <c r="P75" i="23"/>
  <c r="T76" i="23" s="1"/>
  <c r="T92" i="23" s="1"/>
  <c r="U92" i="23" s="1"/>
  <c r="P69" i="17"/>
  <c r="T70" i="17" s="1"/>
  <c r="P75" i="17"/>
  <c r="T76" i="17" s="1"/>
  <c r="T92" i="17" s="1"/>
  <c r="U92" i="17" s="1"/>
  <c r="P78" i="17"/>
  <c r="T79" i="17" s="1"/>
  <c r="T85" i="17" s="1"/>
  <c r="U85" i="17" s="1"/>
  <c r="P81" i="17"/>
  <c r="T82" i="17" s="1"/>
  <c r="T90" i="17" s="1"/>
  <c r="U90" i="17" s="1"/>
  <c r="P69" i="71"/>
  <c r="T70" i="71" s="1"/>
  <c r="P81" i="71"/>
  <c r="T82" i="71" s="1"/>
  <c r="T90" i="71" s="1"/>
  <c r="U90" i="71" s="1"/>
  <c r="P78" i="71"/>
  <c r="T79" i="71" s="1"/>
  <c r="T85" i="71" s="1"/>
  <c r="U85" i="71" s="1"/>
  <c r="P75" i="71"/>
  <c r="T76" i="71" s="1"/>
  <c r="T92" i="71" s="1"/>
  <c r="U92" i="71" s="1"/>
  <c r="P69" i="57"/>
  <c r="T70" i="57" s="1"/>
  <c r="P81" i="57"/>
  <c r="T82" i="57" s="1"/>
  <c r="T90" i="57" s="1"/>
  <c r="U90" i="57" s="1"/>
  <c r="P75" i="57"/>
  <c r="T76" i="57" s="1"/>
  <c r="T92" i="57" s="1"/>
  <c r="U92" i="57" s="1"/>
  <c r="P78" i="57"/>
  <c r="T79" i="57" s="1"/>
  <c r="T85" i="57" s="1"/>
  <c r="U85" i="57" s="1"/>
  <c r="P69" i="31"/>
  <c r="T70" i="31" s="1"/>
  <c r="P81" i="31"/>
  <c r="T82" i="31" s="1"/>
  <c r="T90" i="31" s="1"/>
  <c r="U90" i="31" s="1"/>
  <c r="P75" i="31"/>
  <c r="T76" i="31" s="1"/>
  <c r="T92" i="31" s="1"/>
  <c r="U92" i="31" s="1"/>
  <c r="P78" i="31"/>
  <c r="T79" i="31" s="1"/>
  <c r="T85" i="31" s="1"/>
  <c r="U85" i="31" s="1"/>
  <c r="P69" i="26"/>
  <c r="T70" i="26" s="1"/>
  <c r="T98" i="26" s="1"/>
  <c r="U98" i="26" s="1"/>
  <c r="P75" i="26"/>
  <c r="T76" i="26" s="1"/>
  <c r="T92" i="26" s="1"/>
  <c r="U92" i="26" s="1"/>
  <c r="P78" i="26"/>
  <c r="T79" i="26" s="1"/>
  <c r="T85" i="26" s="1"/>
  <c r="U85" i="26" s="1"/>
  <c r="P81" i="26"/>
  <c r="T82" i="26" s="1"/>
  <c r="T90" i="26" s="1"/>
  <c r="U90" i="26" s="1"/>
  <c r="R46" i="34"/>
  <c r="P72" i="34"/>
  <c r="P69" i="28"/>
  <c r="T70" i="28" s="1"/>
  <c r="P75" i="28"/>
  <c r="T76" i="28" s="1"/>
  <c r="T92" i="28" s="1"/>
  <c r="U92" i="28" s="1"/>
  <c r="P81" i="28"/>
  <c r="T82" i="28" s="1"/>
  <c r="T90" i="28" s="1"/>
  <c r="U90" i="28" s="1"/>
  <c r="P78" i="28"/>
  <c r="T79" i="28" s="1"/>
  <c r="T85" i="28" s="1"/>
  <c r="U85" i="28" s="1"/>
  <c r="P69" i="68"/>
  <c r="T70" i="68" s="1"/>
  <c r="P78" i="68"/>
  <c r="T79" i="68" s="1"/>
  <c r="T85" i="68" s="1"/>
  <c r="U85" i="68" s="1"/>
  <c r="P81" i="68"/>
  <c r="T82" i="68" s="1"/>
  <c r="T90" i="68" s="1"/>
  <c r="U90" i="68" s="1"/>
  <c r="P75" i="68"/>
  <c r="T76" i="68" s="1"/>
  <c r="T92" i="68" s="1"/>
  <c r="U92" i="68" s="1"/>
  <c r="P69" i="76"/>
  <c r="T70" i="76" s="1"/>
  <c r="P75" i="76"/>
  <c r="T76" i="76" s="1"/>
  <c r="T92" i="76" s="1"/>
  <c r="U92" i="76" s="1"/>
  <c r="P78" i="76"/>
  <c r="T79" i="76" s="1"/>
  <c r="T85" i="76" s="1"/>
  <c r="U85" i="76" s="1"/>
  <c r="P81" i="76"/>
  <c r="T82" i="76" s="1"/>
  <c r="T90" i="76" s="1"/>
  <c r="U90" i="76" s="1"/>
  <c r="P69" i="55"/>
  <c r="T70" i="55" s="1"/>
  <c r="P78" i="55"/>
  <c r="T79" i="55" s="1"/>
  <c r="T85" i="55" s="1"/>
  <c r="U85" i="55" s="1"/>
  <c r="P81" i="55"/>
  <c r="T82" i="55" s="1"/>
  <c r="T90" i="55" s="1"/>
  <c r="U90" i="55" s="1"/>
  <c r="P75" i="55"/>
  <c r="T76" i="55" s="1"/>
  <c r="T92" i="55" s="1"/>
  <c r="U92" i="55" s="1"/>
  <c r="P69" i="7"/>
  <c r="T70" i="7" s="1"/>
  <c r="P75" i="7"/>
  <c r="T76" i="7" s="1"/>
  <c r="T92" i="7" s="1"/>
  <c r="U92" i="7" s="1"/>
  <c r="I53" i="75"/>
  <c r="T30" i="28"/>
  <c r="P72" i="28" s="1"/>
  <c r="U30" i="28"/>
  <c r="O104" i="28"/>
  <c r="T104" i="28" s="1"/>
  <c r="T30" i="43"/>
  <c r="O104" i="43"/>
  <c r="T104" i="43" s="1"/>
  <c r="U30" i="43"/>
  <c r="O104" i="23"/>
  <c r="T104" i="23" s="1"/>
  <c r="T30" i="23"/>
  <c r="U30" i="23"/>
  <c r="T30" i="22"/>
  <c r="O104" i="22"/>
  <c r="T104" i="22" s="1"/>
  <c r="U30" i="22"/>
  <c r="U30" i="25"/>
  <c r="T30" i="25"/>
  <c r="O104" i="25"/>
  <c r="T104" i="25" s="1"/>
  <c r="U30" i="39"/>
  <c r="O104" i="39"/>
  <c r="T104" i="39" s="1"/>
  <c r="T30" i="39"/>
  <c r="O104" i="51"/>
  <c r="T104" i="51" s="1"/>
  <c r="T30" i="51"/>
  <c r="U30" i="51"/>
  <c r="T30" i="44"/>
  <c r="U30" i="44"/>
  <c r="O104" i="44"/>
  <c r="T104" i="44" s="1"/>
  <c r="T30" i="37"/>
  <c r="U30" i="37"/>
  <c r="O104" i="37"/>
  <c r="T104" i="37" s="1"/>
  <c r="O104" i="66"/>
  <c r="T104" i="66" s="1"/>
  <c r="U30" i="66"/>
  <c r="T30" i="66"/>
  <c r="U30" i="32"/>
  <c r="O104" i="32"/>
  <c r="T104" i="32" s="1"/>
  <c r="T30" i="32"/>
  <c r="U30" i="47"/>
  <c r="O104" i="47"/>
  <c r="T104" i="47" s="1"/>
  <c r="T30" i="47"/>
  <c r="T30" i="48"/>
  <c r="U30" i="48"/>
  <c r="O104" i="48"/>
  <c r="T104" i="48" s="1"/>
  <c r="U30" i="70"/>
  <c r="T30" i="70"/>
  <c r="O104" i="70"/>
  <c r="T104" i="70" s="1"/>
  <c r="T30" i="21"/>
  <c r="O104" i="21"/>
  <c r="T104" i="21" s="1"/>
  <c r="U30" i="21"/>
  <c r="U30" i="30"/>
  <c r="O104" i="30"/>
  <c r="T104" i="30" s="1"/>
  <c r="T30" i="30"/>
  <c r="T30" i="24"/>
  <c r="U30" i="24"/>
  <c r="O104" i="24"/>
  <c r="T104" i="24" s="1"/>
  <c r="T30" i="77"/>
  <c r="U30" i="77"/>
  <c r="O104" i="77"/>
  <c r="T104" i="77" s="1"/>
  <c r="U30" i="33"/>
  <c r="O104" i="33"/>
  <c r="T104" i="33" s="1"/>
  <c r="T30" i="33"/>
  <c r="T30" i="55"/>
  <c r="U30" i="55"/>
  <c r="O104" i="55"/>
  <c r="T104" i="55" s="1"/>
  <c r="T30" i="38"/>
  <c r="O104" i="38"/>
  <c r="T104" i="38" s="1"/>
  <c r="U30" i="38"/>
  <c r="T30" i="31"/>
  <c r="U30" i="31"/>
  <c r="O104" i="31"/>
  <c r="T104" i="31" s="1"/>
  <c r="U30" i="26"/>
  <c r="O104" i="26"/>
  <c r="T104" i="26" s="1"/>
  <c r="T30" i="26"/>
  <c r="U30" i="20"/>
  <c r="O104" i="20"/>
  <c r="T104" i="20" s="1"/>
  <c r="T30" i="20"/>
  <c r="U30" i="76"/>
  <c r="O104" i="76"/>
  <c r="T104" i="76" s="1"/>
  <c r="T30" i="76"/>
  <c r="T30" i="35"/>
  <c r="U30" i="35"/>
  <c r="O104" i="35"/>
  <c r="T104" i="35" s="1"/>
  <c r="I43" i="72"/>
  <c r="U30" i="78"/>
  <c r="O104" i="78"/>
  <c r="T104" i="78" s="1"/>
  <c r="T30" i="78"/>
  <c r="U30" i="27"/>
  <c r="O104" i="27"/>
  <c r="T104" i="27" s="1"/>
  <c r="T30" i="27"/>
  <c r="T30" i="67"/>
  <c r="U30" i="67"/>
  <c r="O104" i="67"/>
  <c r="T104" i="67" s="1"/>
  <c r="O104" i="71"/>
  <c r="T104" i="71" s="1"/>
  <c r="U30" i="71"/>
  <c r="T30" i="71"/>
  <c r="U30" i="68"/>
  <c r="O104" i="68"/>
  <c r="T104" i="68" s="1"/>
  <c r="T30" i="68"/>
  <c r="U30" i="7"/>
  <c r="O104" i="7"/>
  <c r="T104" i="7" s="1"/>
  <c r="T30" i="7"/>
  <c r="T30" i="58"/>
  <c r="U30" i="58"/>
  <c r="O104" i="58"/>
  <c r="T104" i="58" s="1"/>
  <c r="T30" i="50"/>
  <c r="U30" i="50"/>
  <c r="O104" i="50"/>
  <c r="T104" i="50" s="1"/>
  <c r="O104" i="17"/>
  <c r="T104" i="17" s="1"/>
  <c r="T30" i="17"/>
  <c r="U30" i="17"/>
  <c r="T30" i="42"/>
  <c r="U30" i="42"/>
  <c r="O104" i="42"/>
  <c r="T104" i="42" s="1"/>
  <c r="U30" i="18"/>
  <c r="O104" i="18"/>
  <c r="T104" i="18" s="1"/>
  <c r="U107" i="18" s="1"/>
  <c r="T30" i="18"/>
  <c r="O104" i="56"/>
  <c r="T104" i="56" s="1"/>
  <c r="T30" i="56"/>
  <c r="U30" i="56"/>
  <c r="O104" i="69"/>
  <c r="T104" i="69" s="1"/>
  <c r="T30" i="69"/>
  <c r="U30" i="69"/>
  <c r="O107" i="34"/>
  <c r="U107" i="34"/>
  <c r="T30" i="40"/>
  <c r="O104" i="40"/>
  <c r="T104" i="40" s="1"/>
  <c r="U30" i="40"/>
  <c r="U30" i="57"/>
  <c r="T30" i="57"/>
  <c r="O104" i="57"/>
  <c r="T104" i="57" s="1"/>
  <c r="T30" i="36"/>
  <c r="O104" i="36"/>
  <c r="T104" i="36" s="1"/>
  <c r="U30" i="36"/>
  <c r="O104" i="75"/>
  <c r="T104" i="75" s="1"/>
  <c r="U30" i="75"/>
  <c r="T30" i="75"/>
  <c r="T30" i="45"/>
  <c r="O104" i="45"/>
  <c r="T104" i="45" s="1"/>
  <c r="U30" i="45"/>
  <c r="U30" i="16"/>
  <c r="O104" i="16"/>
  <c r="T104" i="16" s="1"/>
  <c r="T30" i="16"/>
  <c r="I128" i="77" l="1"/>
  <c r="I128" i="20"/>
  <c r="I128" i="23"/>
  <c r="I128" i="47"/>
  <c r="I130" i="47" s="1"/>
  <c r="H135" i="47" s="1"/>
  <c r="I135" i="47" s="1"/>
  <c r="I128" i="68"/>
  <c r="I128" i="31"/>
  <c r="I130" i="31" s="1"/>
  <c r="I128" i="70"/>
  <c r="I128" i="18"/>
  <c r="I128" i="26"/>
  <c r="I128" i="55"/>
  <c r="I130" i="55" s="1"/>
  <c r="H135" i="55" s="1"/>
  <c r="I135" i="55" s="1"/>
  <c r="I128" i="30"/>
  <c r="I128" i="67"/>
  <c r="I128" i="78"/>
  <c r="I53" i="72" s="1"/>
  <c r="I128" i="71"/>
  <c r="I128" i="69"/>
  <c r="I128" i="66"/>
  <c r="I128" i="58"/>
  <c r="I130" i="58" s="1"/>
  <c r="H135" i="58" s="1"/>
  <c r="I128" i="57"/>
  <c r="I130" i="57" s="1"/>
  <c r="H135" i="57" s="1"/>
  <c r="I135" i="57" s="1"/>
  <c r="I128" i="76"/>
  <c r="I130" i="76" s="1"/>
  <c r="H135" i="76" s="1"/>
  <c r="I128" i="75"/>
  <c r="I130" i="75" s="1"/>
  <c r="H135" i="75" s="1"/>
  <c r="I128" i="52"/>
  <c r="I128" i="51"/>
  <c r="I38" i="72" s="1"/>
  <c r="I128" i="50"/>
  <c r="I130" i="50" s="1"/>
  <c r="H135" i="50" s="1"/>
  <c r="I128" i="48"/>
  <c r="I130" i="48" s="1"/>
  <c r="H135" i="48" s="1"/>
  <c r="I128" i="45"/>
  <c r="I130" i="45" s="1"/>
  <c r="H135" i="45" s="1"/>
  <c r="I135" i="45" s="1"/>
  <c r="I128" i="44"/>
  <c r="I130" i="44" s="1"/>
  <c r="H135" i="44" s="1"/>
  <c r="I128" i="42"/>
  <c r="I130" i="42" s="1"/>
  <c r="H135" i="42" s="1"/>
  <c r="I128" i="40"/>
  <c r="I128" i="39"/>
  <c r="I130" i="39" s="1"/>
  <c r="H135" i="39" s="1"/>
  <c r="I128" i="38"/>
  <c r="I128" i="37"/>
  <c r="I130" i="37" s="1"/>
  <c r="H135" i="37" s="1"/>
  <c r="I128" i="36"/>
  <c r="I130" i="36" s="1"/>
  <c r="I128" i="35"/>
  <c r="I130" i="35" s="1"/>
  <c r="H135" i="35" s="1"/>
  <c r="I128" i="34"/>
  <c r="I23" i="72" s="1"/>
  <c r="I128" i="28"/>
  <c r="I19" i="72" s="1"/>
  <c r="I128" i="27"/>
  <c r="I130" i="27" s="1"/>
  <c r="H135" i="27" s="1"/>
  <c r="I128" i="22"/>
  <c r="I130" i="22" s="1"/>
  <c r="I130" i="24"/>
  <c r="I128" i="25"/>
  <c r="I128" i="21"/>
  <c r="I128" i="17"/>
  <c r="I97" i="60"/>
  <c r="I95" i="60"/>
  <c r="I128" i="7"/>
  <c r="I53" i="18"/>
  <c r="I53" i="60"/>
  <c r="T88" i="76"/>
  <c r="U88" i="76" s="1"/>
  <c r="T98" i="76"/>
  <c r="U98" i="76" s="1"/>
  <c r="T88" i="22"/>
  <c r="U88" i="22" s="1"/>
  <c r="T98" i="22"/>
  <c r="U98" i="22" s="1"/>
  <c r="T88" i="37"/>
  <c r="U88" i="37" s="1"/>
  <c r="T98" i="37"/>
  <c r="U98" i="37" s="1"/>
  <c r="T88" i="27"/>
  <c r="U88" i="27" s="1"/>
  <c r="T98" i="27"/>
  <c r="U98" i="27" s="1"/>
  <c r="T88" i="45"/>
  <c r="U88" i="45" s="1"/>
  <c r="T98" i="45"/>
  <c r="U98" i="45" s="1"/>
  <c r="T88" i="42"/>
  <c r="U88" i="42" s="1"/>
  <c r="T98" i="42"/>
  <c r="U98" i="42" s="1"/>
  <c r="T88" i="24"/>
  <c r="U88" i="24" s="1"/>
  <c r="T98" i="24"/>
  <c r="U98" i="24" s="1"/>
  <c r="T88" i="43"/>
  <c r="U88" i="43" s="1"/>
  <c r="T98" i="43"/>
  <c r="U98" i="43" s="1"/>
  <c r="T88" i="21"/>
  <c r="U88" i="21" s="1"/>
  <c r="T98" i="21"/>
  <c r="U98" i="21" s="1"/>
  <c r="T88" i="67"/>
  <c r="U88" i="67" s="1"/>
  <c r="T98" i="67"/>
  <c r="U98" i="67" s="1"/>
  <c r="T88" i="50"/>
  <c r="U88" i="50" s="1"/>
  <c r="T98" i="50"/>
  <c r="U98" i="50" s="1"/>
  <c r="T88" i="23"/>
  <c r="U88" i="23" s="1"/>
  <c r="T98" i="23"/>
  <c r="U98" i="23" s="1"/>
  <c r="T88" i="71"/>
  <c r="U88" i="71" s="1"/>
  <c r="T98" i="71"/>
  <c r="U98" i="71" s="1"/>
  <c r="T88" i="69"/>
  <c r="U88" i="69" s="1"/>
  <c r="T98" i="69"/>
  <c r="U98" i="69" s="1"/>
  <c r="T88" i="32"/>
  <c r="U88" i="32" s="1"/>
  <c r="T98" i="32"/>
  <c r="U98" i="32" s="1"/>
  <c r="T88" i="57"/>
  <c r="U88" i="57" s="1"/>
  <c r="T98" i="57"/>
  <c r="U98" i="57" s="1"/>
  <c r="T88" i="7"/>
  <c r="U88" i="7" s="1"/>
  <c r="T98" i="7"/>
  <c r="U98" i="7" s="1"/>
  <c r="T88" i="68"/>
  <c r="U88" i="68" s="1"/>
  <c r="T98" i="68"/>
  <c r="U98" i="68" s="1"/>
  <c r="T88" i="78"/>
  <c r="U88" i="78" s="1"/>
  <c r="T98" i="78"/>
  <c r="U98" i="78" s="1"/>
  <c r="T88" i="18"/>
  <c r="U88" i="18" s="1"/>
  <c r="T98" i="18"/>
  <c r="U98" i="18" s="1"/>
  <c r="T88" i="39"/>
  <c r="U88" i="39" s="1"/>
  <c r="T98" i="39"/>
  <c r="U98" i="39" s="1"/>
  <c r="T88" i="44"/>
  <c r="U88" i="44" s="1"/>
  <c r="T98" i="44"/>
  <c r="U98" i="44" s="1"/>
  <c r="T88" i="48"/>
  <c r="U88" i="48" s="1"/>
  <c r="T98" i="48"/>
  <c r="U98" i="48" s="1"/>
  <c r="T88" i="38"/>
  <c r="U88" i="38" s="1"/>
  <c r="T98" i="38"/>
  <c r="U98" i="38" s="1"/>
  <c r="T88" i="36"/>
  <c r="U88" i="36" s="1"/>
  <c r="T98" i="36"/>
  <c r="U98" i="36" s="1"/>
  <c r="T88" i="20"/>
  <c r="U88" i="20" s="1"/>
  <c r="T98" i="20"/>
  <c r="U98" i="20" s="1"/>
  <c r="T88" i="66"/>
  <c r="U88" i="66" s="1"/>
  <c r="T98" i="66"/>
  <c r="U98" i="66" s="1"/>
  <c r="T88" i="58"/>
  <c r="U88" i="58" s="1"/>
  <c r="T98" i="58"/>
  <c r="U98" i="58" s="1"/>
  <c r="T88" i="34"/>
  <c r="U88" i="34" s="1"/>
  <c r="T98" i="34"/>
  <c r="U98" i="34" s="1"/>
  <c r="T88" i="70"/>
  <c r="U88" i="70" s="1"/>
  <c r="T98" i="70"/>
  <c r="U98" i="70" s="1"/>
  <c r="T88" i="31"/>
  <c r="U88" i="31" s="1"/>
  <c r="T98" i="31"/>
  <c r="U98" i="31" s="1"/>
  <c r="T88" i="30"/>
  <c r="U88" i="30" s="1"/>
  <c r="T98" i="30"/>
  <c r="U98" i="30" s="1"/>
  <c r="T88" i="75"/>
  <c r="U88" i="75" s="1"/>
  <c r="T98" i="75"/>
  <c r="U98" i="75" s="1"/>
  <c r="T88" i="55"/>
  <c r="U88" i="55" s="1"/>
  <c r="T98" i="55"/>
  <c r="U98" i="55" s="1"/>
  <c r="T88" i="28"/>
  <c r="U88" i="28" s="1"/>
  <c r="T98" i="28"/>
  <c r="U98" i="28" s="1"/>
  <c r="T88" i="56"/>
  <c r="U88" i="56" s="1"/>
  <c r="T98" i="56"/>
  <c r="U98" i="56" s="1"/>
  <c r="T88" i="51"/>
  <c r="U88" i="51" s="1"/>
  <c r="T98" i="51"/>
  <c r="U98" i="51" s="1"/>
  <c r="T88" i="40"/>
  <c r="U88" i="40" s="1"/>
  <c r="T98" i="40"/>
  <c r="U98" i="40" s="1"/>
  <c r="T88" i="47"/>
  <c r="U88" i="47" s="1"/>
  <c r="T98" i="47"/>
  <c r="U98" i="47" s="1"/>
  <c r="T88" i="25"/>
  <c r="U88" i="25" s="1"/>
  <c r="T98" i="25"/>
  <c r="U98" i="25" s="1"/>
  <c r="T88" i="16"/>
  <c r="U88" i="16" s="1"/>
  <c r="T98" i="16"/>
  <c r="U98" i="16" s="1"/>
  <c r="T88" i="35"/>
  <c r="U88" i="35" s="1"/>
  <c r="T98" i="35"/>
  <c r="U98" i="35" s="1"/>
  <c r="T88" i="77"/>
  <c r="U88" i="77" s="1"/>
  <c r="T98" i="77"/>
  <c r="U98" i="77" s="1"/>
  <c r="T88" i="33"/>
  <c r="U88" i="33" s="1"/>
  <c r="T98" i="33"/>
  <c r="U98" i="33" s="1"/>
  <c r="T88" i="17"/>
  <c r="U88" i="17" s="1"/>
  <c r="T98" i="17"/>
  <c r="U98" i="17" s="1"/>
  <c r="J43" i="72"/>
  <c r="I48" i="72"/>
  <c r="I130" i="77"/>
  <c r="H135" i="77" s="1"/>
  <c r="I53" i="70"/>
  <c r="I53" i="67"/>
  <c r="I53" i="16"/>
  <c r="O107" i="52"/>
  <c r="T104" i="52"/>
  <c r="U107" i="52" s="1"/>
  <c r="I53" i="26"/>
  <c r="I53" i="32"/>
  <c r="I130" i="32" s="1"/>
  <c r="H135" i="32" s="1"/>
  <c r="I135" i="32" s="1"/>
  <c r="I53" i="17"/>
  <c r="I53" i="23"/>
  <c r="I53" i="20"/>
  <c r="I53" i="30"/>
  <c r="I53" i="66"/>
  <c r="R46" i="28"/>
  <c r="T73" i="28" s="1"/>
  <c r="T94" i="28" s="1"/>
  <c r="U94" i="28" s="1"/>
  <c r="R46" i="52"/>
  <c r="I32" i="72"/>
  <c r="I22" i="72"/>
  <c r="I53" i="7"/>
  <c r="F53" i="60"/>
  <c r="F54" i="60"/>
  <c r="U46" i="39"/>
  <c r="R51" i="39"/>
  <c r="U51" i="39" s="1"/>
  <c r="R52" i="39"/>
  <c r="U52" i="39" s="1"/>
  <c r="U46" i="56"/>
  <c r="R52" i="56"/>
  <c r="U52" i="56" s="1"/>
  <c r="R51" i="56"/>
  <c r="U51" i="56" s="1"/>
  <c r="U46" i="67"/>
  <c r="R51" i="67"/>
  <c r="U51" i="67" s="1"/>
  <c r="R52" i="67"/>
  <c r="U52" i="67" s="1"/>
  <c r="U46" i="55"/>
  <c r="R51" i="55"/>
  <c r="U51" i="55" s="1"/>
  <c r="R52" i="55"/>
  <c r="U52" i="55" s="1"/>
  <c r="U46" i="68"/>
  <c r="R51" i="68"/>
  <c r="U51" i="68" s="1"/>
  <c r="R52" i="68"/>
  <c r="U52" i="68" s="1"/>
  <c r="U46" i="75"/>
  <c r="R51" i="75"/>
  <c r="U51" i="75" s="1"/>
  <c r="R52" i="75"/>
  <c r="U52" i="75" s="1"/>
  <c r="U46" i="57"/>
  <c r="R52" i="57"/>
  <c r="U52" i="57" s="1"/>
  <c r="R51" i="57"/>
  <c r="U51" i="57" s="1"/>
  <c r="U46" i="50"/>
  <c r="R51" i="50"/>
  <c r="U51" i="50" s="1"/>
  <c r="R52" i="50"/>
  <c r="U52" i="50" s="1"/>
  <c r="U46" i="76"/>
  <c r="R51" i="76"/>
  <c r="U51" i="76" s="1"/>
  <c r="R52" i="76"/>
  <c r="U52" i="76" s="1"/>
  <c r="U46" i="33"/>
  <c r="R51" i="33"/>
  <c r="U51" i="33" s="1"/>
  <c r="R52" i="33"/>
  <c r="U52" i="33" s="1"/>
  <c r="U46" i="24"/>
  <c r="R51" i="24"/>
  <c r="R52" i="24"/>
  <c r="U46" i="66"/>
  <c r="R51" i="66"/>
  <c r="U51" i="66" s="1"/>
  <c r="R52" i="66"/>
  <c r="U52" i="66" s="1"/>
  <c r="U46" i="35"/>
  <c r="R51" i="35"/>
  <c r="U51" i="35" s="1"/>
  <c r="R52" i="35"/>
  <c r="U52" i="35" s="1"/>
  <c r="U46" i="40"/>
  <c r="R51" i="40"/>
  <c r="U51" i="40" s="1"/>
  <c r="R52" i="40"/>
  <c r="U52" i="40" s="1"/>
  <c r="U46" i="17"/>
  <c r="R51" i="17"/>
  <c r="R52" i="17"/>
  <c r="U46" i="47"/>
  <c r="R51" i="47"/>
  <c r="U51" i="47" s="1"/>
  <c r="R52" i="47"/>
  <c r="U52" i="47" s="1"/>
  <c r="U46" i="23"/>
  <c r="R51" i="23"/>
  <c r="R52" i="23"/>
  <c r="U46" i="25"/>
  <c r="R51" i="25"/>
  <c r="U51" i="25" s="1"/>
  <c r="R52" i="25"/>
  <c r="U52" i="25" s="1"/>
  <c r="U46" i="18"/>
  <c r="R51" i="18"/>
  <c r="R52" i="18"/>
  <c r="U46" i="45"/>
  <c r="R51" i="45"/>
  <c r="U51" i="45" s="1"/>
  <c r="R52" i="45"/>
  <c r="U52" i="45" s="1"/>
  <c r="U46" i="58"/>
  <c r="R51" i="58"/>
  <c r="U51" i="58" s="1"/>
  <c r="R52" i="58"/>
  <c r="U52" i="58" s="1"/>
  <c r="U46" i="71"/>
  <c r="R51" i="71"/>
  <c r="R52" i="71"/>
  <c r="U46" i="27"/>
  <c r="R51" i="27"/>
  <c r="U51" i="27" s="1"/>
  <c r="R52" i="27"/>
  <c r="U52" i="27" s="1"/>
  <c r="U46" i="20"/>
  <c r="R51" i="20"/>
  <c r="R52" i="20"/>
  <c r="U46" i="70"/>
  <c r="R51" i="70"/>
  <c r="U51" i="70" s="1"/>
  <c r="R52" i="70"/>
  <c r="U52" i="70" s="1"/>
  <c r="U46" i="37"/>
  <c r="R51" i="37"/>
  <c r="U51" i="37" s="1"/>
  <c r="R52" i="37"/>
  <c r="U52" i="37" s="1"/>
  <c r="U46" i="51"/>
  <c r="R51" i="51"/>
  <c r="U51" i="51" s="1"/>
  <c r="R52" i="51"/>
  <c r="U52" i="51" s="1"/>
  <c r="U46" i="43"/>
  <c r="R52" i="43"/>
  <c r="U52" i="43" s="1"/>
  <c r="R51" i="43"/>
  <c r="U51" i="43" s="1"/>
  <c r="U46" i="78"/>
  <c r="R51" i="78"/>
  <c r="U51" i="78" s="1"/>
  <c r="R52" i="78"/>
  <c r="U52" i="78" s="1"/>
  <c r="U46" i="77"/>
  <c r="R51" i="77"/>
  <c r="U51" i="77" s="1"/>
  <c r="R52" i="77"/>
  <c r="U52" i="77" s="1"/>
  <c r="U46" i="28"/>
  <c r="R52" i="28"/>
  <c r="U52" i="28" s="1"/>
  <c r="R51" i="28"/>
  <c r="U51" i="28" s="1"/>
  <c r="U46" i="32"/>
  <c r="R51" i="32"/>
  <c r="U51" i="32" s="1"/>
  <c r="R52" i="32"/>
  <c r="U52" i="32" s="1"/>
  <c r="U46" i="38"/>
  <c r="R51" i="38"/>
  <c r="U51" i="38" s="1"/>
  <c r="R52" i="38"/>
  <c r="U52" i="38" s="1"/>
  <c r="U46" i="22"/>
  <c r="R51" i="22"/>
  <c r="R52" i="22"/>
  <c r="U46" i="21"/>
  <c r="R51" i="21"/>
  <c r="U51" i="21" s="1"/>
  <c r="R52" i="21"/>
  <c r="U52" i="21" s="1"/>
  <c r="U46" i="42"/>
  <c r="R52" i="42"/>
  <c r="U52" i="42" s="1"/>
  <c r="R51" i="42"/>
  <c r="U51" i="42" s="1"/>
  <c r="U46" i="69"/>
  <c r="R51" i="69"/>
  <c r="U51" i="69" s="1"/>
  <c r="R52" i="69"/>
  <c r="U52" i="69" s="1"/>
  <c r="U46" i="26"/>
  <c r="R51" i="26"/>
  <c r="R52" i="26"/>
  <c r="U46" i="48"/>
  <c r="R51" i="48"/>
  <c r="U51" i="48" s="1"/>
  <c r="R52" i="48"/>
  <c r="U52" i="48" s="1"/>
  <c r="U46" i="44"/>
  <c r="R51" i="44"/>
  <c r="U51" i="44" s="1"/>
  <c r="R52" i="44"/>
  <c r="U52" i="44" s="1"/>
  <c r="U46" i="16"/>
  <c r="R51" i="16"/>
  <c r="U51" i="16" s="1"/>
  <c r="R52" i="16"/>
  <c r="U52" i="16" s="1"/>
  <c r="U46" i="31"/>
  <c r="R52" i="31"/>
  <c r="U52" i="31" s="1"/>
  <c r="R51" i="31"/>
  <c r="U51" i="31" s="1"/>
  <c r="U46" i="36"/>
  <c r="R51" i="36"/>
  <c r="U51" i="36" s="1"/>
  <c r="R52" i="36"/>
  <c r="U52" i="36" s="1"/>
  <c r="U46" i="30"/>
  <c r="R51" i="30"/>
  <c r="U51" i="30" s="1"/>
  <c r="R52" i="30"/>
  <c r="U52" i="30" s="1"/>
  <c r="U53" i="34"/>
  <c r="U53" i="52"/>
  <c r="U46" i="7"/>
  <c r="R52" i="7"/>
  <c r="U52" i="7" s="1"/>
  <c r="R51" i="7"/>
  <c r="U51" i="7" s="1"/>
  <c r="T88" i="26"/>
  <c r="U88" i="26" s="1"/>
  <c r="R46" i="57"/>
  <c r="P72" i="57"/>
  <c r="R46" i="56"/>
  <c r="P72" i="56"/>
  <c r="R46" i="67"/>
  <c r="P72" i="67"/>
  <c r="R46" i="38"/>
  <c r="P72" i="38"/>
  <c r="R46" i="37"/>
  <c r="P72" i="37"/>
  <c r="R46" i="51"/>
  <c r="P72" i="51"/>
  <c r="R46" i="35"/>
  <c r="P72" i="35"/>
  <c r="R46" i="32"/>
  <c r="P72" i="32"/>
  <c r="R46" i="18"/>
  <c r="P72" i="18"/>
  <c r="R46" i="76"/>
  <c r="P72" i="76"/>
  <c r="R46" i="48"/>
  <c r="P72" i="48"/>
  <c r="R46" i="39"/>
  <c r="P72" i="39"/>
  <c r="R46" i="43"/>
  <c r="P72" i="43"/>
  <c r="R46" i="50"/>
  <c r="P72" i="50"/>
  <c r="R46" i="55"/>
  <c r="P72" i="55"/>
  <c r="R46" i="33"/>
  <c r="P72" i="33"/>
  <c r="R46" i="44"/>
  <c r="P72" i="44"/>
  <c r="R46" i="71"/>
  <c r="P72" i="71"/>
  <c r="R46" i="78"/>
  <c r="P72" i="78"/>
  <c r="R46" i="21"/>
  <c r="P72" i="21"/>
  <c r="R46" i="22"/>
  <c r="P72" i="22"/>
  <c r="R46" i="40"/>
  <c r="P72" i="40"/>
  <c r="R46" i="17"/>
  <c r="P72" i="17"/>
  <c r="R46" i="27"/>
  <c r="P72" i="27"/>
  <c r="R46" i="45"/>
  <c r="P72" i="45"/>
  <c r="R46" i="20"/>
  <c r="P72" i="20"/>
  <c r="R46" i="58"/>
  <c r="P72" i="58"/>
  <c r="R46" i="47"/>
  <c r="P72" i="47"/>
  <c r="R46" i="23"/>
  <c r="P72" i="23"/>
  <c r="R46" i="42"/>
  <c r="P72" i="42"/>
  <c r="R46" i="24"/>
  <c r="P72" i="24"/>
  <c r="R46" i="66"/>
  <c r="P72" i="66"/>
  <c r="T73" i="52"/>
  <c r="T94" i="52" s="1"/>
  <c r="U94" i="52" s="1"/>
  <c r="R46" i="26"/>
  <c r="P72" i="26"/>
  <c r="R46" i="31"/>
  <c r="P72" i="31"/>
  <c r="R46" i="69"/>
  <c r="P72" i="69"/>
  <c r="R46" i="70"/>
  <c r="P72" i="70"/>
  <c r="R46" i="25"/>
  <c r="P72" i="25"/>
  <c r="T73" i="34"/>
  <c r="T94" i="34" s="1"/>
  <c r="U94" i="34" s="1"/>
  <c r="R46" i="36"/>
  <c r="P72" i="36"/>
  <c r="R46" i="68"/>
  <c r="P72" i="68"/>
  <c r="R46" i="16"/>
  <c r="P72" i="16"/>
  <c r="R46" i="75"/>
  <c r="P72" i="75"/>
  <c r="R46" i="77"/>
  <c r="P72" i="77"/>
  <c r="R46" i="30"/>
  <c r="P72" i="30"/>
  <c r="R46" i="7"/>
  <c r="P72" i="7"/>
  <c r="I21" i="72"/>
  <c r="K32" i="72"/>
  <c r="R32" i="72" s="1"/>
  <c r="I137" i="43"/>
  <c r="I141" i="43" s="1"/>
  <c r="I145" i="43" s="1"/>
  <c r="I147" i="43"/>
  <c r="U107" i="69"/>
  <c r="O107" i="69"/>
  <c r="U107" i="7"/>
  <c r="O107" i="7"/>
  <c r="U107" i="35"/>
  <c r="O107" i="35"/>
  <c r="O107" i="26"/>
  <c r="U107" i="26"/>
  <c r="U107" i="38"/>
  <c r="O107" i="38"/>
  <c r="O107" i="24"/>
  <c r="U107" i="24"/>
  <c r="O107" i="21"/>
  <c r="U107" i="21"/>
  <c r="O107" i="28"/>
  <c r="U107" i="28"/>
  <c r="U107" i="31"/>
  <c r="O107" i="31"/>
  <c r="U107" i="77"/>
  <c r="O107" i="77"/>
  <c r="U107" i="43"/>
  <c r="O107" i="43"/>
  <c r="O107" i="55"/>
  <c r="U107" i="55"/>
  <c r="U107" i="48"/>
  <c r="O107" i="48"/>
  <c r="U107" i="22"/>
  <c r="O107" i="22"/>
  <c r="U107" i="57"/>
  <c r="O107" i="57"/>
  <c r="O107" i="39"/>
  <c r="U107" i="39"/>
  <c r="O107" i="56"/>
  <c r="U107" i="56"/>
  <c r="O107" i="17"/>
  <c r="U107" i="17"/>
  <c r="U107" i="50"/>
  <c r="O107" i="50"/>
  <c r="U107" i="71"/>
  <c r="O107" i="71"/>
  <c r="U107" i="32"/>
  <c r="O107" i="32"/>
  <c r="U107" i="66"/>
  <c r="O107" i="66"/>
  <c r="U107" i="25"/>
  <c r="O107" i="25"/>
  <c r="U107" i="23"/>
  <c r="O107" i="23"/>
  <c r="O107" i="42"/>
  <c r="U107" i="42"/>
  <c r="O107" i="27"/>
  <c r="U107" i="27"/>
  <c r="O107" i="76"/>
  <c r="U107" i="76"/>
  <c r="O107" i="37"/>
  <c r="U107" i="37"/>
  <c r="U107" i="67"/>
  <c r="O107" i="67"/>
  <c r="U107" i="47"/>
  <c r="O107" i="47"/>
  <c r="O107" i="58"/>
  <c r="U107" i="58"/>
  <c r="O107" i="68"/>
  <c r="U107" i="68"/>
  <c r="O107" i="33"/>
  <c r="U107" i="33"/>
  <c r="O107" i="16"/>
  <c r="U107" i="16"/>
  <c r="U107" i="45"/>
  <c r="O107" i="45"/>
  <c r="K22" i="72"/>
  <c r="I137" i="33"/>
  <c r="I141" i="33" s="1"/>
  <c r="I145" i="33" s="1"/>
  <c r="O107" i="20"/>
  <c r="U107" i="20"/>
  <c r="O107" i="36"/>
  <c r="U107" i="36"/>
  <c r="I147" i="33"/>
  <c r="O107" i="18"/>
  <c r="O107" i="78"/>
  <c r="U107" i="78"/>
  <c r="Q43" i="72"/>
  <c r="O107" i="30"/>
  <c r="U107" i="30"/>
  <c r="O107" i="51"/>
  <c r="U107" i="51"/>
  <c r="O107" i="75"/>
  <c r="U107" i="75"/>
  <c r="O107" i="40"/>
  <c r="U107" i="40"/>
  <c r="O107" i="70"/>
  <c r="U107" i="70"/>
  <c r="U107" i="44"/>
  <c r="O107" i="44"/>
  <c r="J32" i="60" l="1"/>
  <c r="I11" i="72"/>
  <c r="Q11" i="72" s="1"/>
  <c r="I8" i="72"/>
  <c r="I130" i="71"/>
  <c r="J22" i="72"/>
  <c r="G22" i="72" s="1"/>
  <c r="J38" i="72"/>
  <c r="M32" i="72"/>
  <c r="J32" i="72"/>
  <c r="G32" i="72" s="1"/>
  <c r="L32" i="72"/>
  <c r="S32" i="72" s="1"/>
  <c r="U32" i="72" s="1"/>
  <c r="W32" i="72" s="1"/>
  <c r="I130" i="66"/>
  <c r="H135" i="66" s="1"/>
  <c r="I135" i="66" s="1"/>
  <c r="K46" i="72" s="1"/>
  <c r="R46" i="72" s="1"/>
  <c r="I36" i="72"/>
  <c r="J21" i="72"/>
  <c r="I42" i="72"/>
  <c r="I33" i="72"/>
  <c r="I35" i="72"/>
  <c r="I130" i="28"/>
  <c r="H135" i="28" s="1"/>
  <c r="I41" i="72"/>
  <c r="I31" i="72"/>
  <c r="T96" i="28"/>
  <c r="U96" i="28" s="1"/>
  <c r="U128" i="28" s="1"/>
  <c r="I147" i="45"/>
  <c r="I135" i="75"/>
  <c r="I147" i="75" s="1"/>
  <c r="I135" i="39"/>
  <c r="I147" i="39" s="1"/>
  <c r="I135" i="42"/>
  <c r="I147" i="42" s="1"/>
  <c r="I135" i="44"/>
  <c r="K33" i="72" s="1"/>
  <c r="I135" i="77"/>
  <c r="I137" i="77" s="1"/>
  <c r="I141" i="77" s="1"/>
  <c r="I145" i="77" s="1"/>
  <c r="M52" i="72" s="1"/>
  <c r="I135" i="76"/>
  <c r="I147" i="76" s="1"/>
  <c r="I135" i="58"/>
  <c r="K45" i="72" s="1"/>
  <c r="R45" i="72" s="1"/>
  <c r="I135" i="35"/>
  <c r="I147" i="35" s="1"/>
  <c r="I135" i="48"/>
  <c r="I137" i="48" s="1"/>
  <c r="I141" i="48" s="1"/>
  <c r="I145" i="48" s="1"/>
  <c r="I130" i="51"/>
  <c r="H135" i="51" s="1"/>
  <c r="I135" i="27"/>
  <c r="I147" i="27" s="1"/>
  <c r="I135" i="50"/>
  <c r="I147" i="50" s="1"/>
  <c r="I135" i="37"/>
  <c r="I147" i="37" s="1"/>
  <c r="I29" i="72"/>
  <c r="I24" i="72"/>
  <c r="Q32" i="72"/>
  <c r="I45" i="72"/>
  <c r="I130" i="78"/>
  <c r="H135" i="78" s="1"/>
  <c r="I55" i="60"/>
  <c r="I15" i="72"/>
  <c r="I52" i="72"/>
  <c r="I46" i="72"/>
  <c r="I27" i="72"/>
  <c r="I16" i="72"/>
  <c r="I130" i="34"/>
  <c r="H135" i="34" s="1"/>
  <c r="I135" i="34" s="1"/>
  <c r="I130" i="18"/>
  <c r="I18" i="72"/>
  <c r="I40" i="72"/>
  <c r="I28" i="72"/>
  <c r="I130" i="38"/>
  <c r="H135" i="38" s="1"/>
  <c r="Q22" i="72"/>
  <c r="I50" i="72"/>
  <c r="I34" i="72"/>
  <c r="U53" i="76"/>
  <c r="J19" i="72"/>
  <c r="U53" i="17"/>
  <c r="U53" i="66"/>
  <c r="Q48" i="72"/>
  <c r="J48" i="72"/>
  <c r="Q53" i="72"/>
  <c r="J53" i="72"/>
  <c r="U53" i="43"/>
  <c r="Q23" i="72"/>
  <c r="J23" i="72"/>
  <c r="I37" i="72"/>
  <c r="I44" i="72"/>
  <c r="I26" i="72"/>
  <c r="I130" i="69"/>
  <c r="H135" i="69" s="1"/>
  <c r="Q38" i="72"/>
  <c r="Q19" i="72"/>
  <c r="U53" i="58"/>
  <c r="I130" i="7"/>
  <c r="I39" i="72"/>
  <c r="I130" i="52"/>
  <c r="H135" i="52" s="1"/>
  <c r="I135" i="52" s="1"/>
  <c r="U53" i="51"/>
  <c r="U53" i="27"/>
  <c r="U53" i="22"/>
  <c r="U53" i="37"/>
  <c r="U53" i="30"/>
  <c r="U53" i="38"/>
  <c r="U53" i="42"/>
  <c r="U53" i="40"/>
  <c r="U53" i="33"/>
  <c r="U53" i="75"/>
  <c r="U53" i="7"/>
  <c r="U53" i="23"/>
  <c r="U53" i="67"/>
  <c r="U53" i="20"/>
  <c r="U53" i="45"/>
  <c r="U53" i="56"/>
  <c r="U53" i="36"/>
  <c r="U53" i="31"/>
  <c r="U53" i="44"/>
  <c r="U53" i="69"/>
  <c r="U53" i="28"/>
  <c r="I130" i="20"/>
  <c r="I12" i="72"/>
  <c r="U53" i="55"/>
  <c r="I130" i="70"/>
  <c r="H135" i="70" s="1"/>
  <c r="I49" i="72"/>
  <c r="U53" i="39"/>
  <c r="I130" i="67"/>
  <c r="H135" i="67" s="1"/>
  <c r="I47" i="72"/>
  <c r="U53" i="70"/>
  <c r="U53" i="71"/>
  <c r="U53" i="18"/>
  <c r="U53" i="24"/>
  <c r="U53" i="50"/>
  <c r="U53" i="68"/>
  <c r="U53" i="48"/>
  <c r="I130" i="17"/>
  <c r="I10" i="72"/>
  <c r="U53" i="57"/>
  <c r="U53" i="16"/>
  <c r="U53" i="77"/>
  <c r="U53" i="47"/>
  <c r="U53" i="35"/>
  <c r="I130" i="68"/>
  <c r="H135" i="68" s="1"/>
  <c r="I51" i="72"/>
  <c r="I130" i="23"/>
  <c r="I25" i="72"/>
  <c r="I130" i="30"/>
  <c r="H135" i="30" s="1"/>
  <c r="I54" i="72"/>
  <c r="U53" i="26"/>
  <c r="U53" i="21"/>
  <c r="U53" i="25"/>
  <c r="I130" i="40"/>
  <c r="H135" i="40" s="1"/>
  <c r="I135" i="40" s="1"/>
  <c r="I30" i="72"/>
  <c r="U53" i="32"/>
  <c r="I130" i="21"/>
  <c r="H135" i="21" s="1"/>
  <c r="I13" i="72"/>
  <c r="I130" i="26"/>
  <c r="I17" i="72"/>
  <c r="U53" i="78"/>
  <c r="I130" i="25"/>
  <c r="H135" i="25" s="1"/>
  <c r="I135" i="25" s="1"/>
  <c r="I14" i="72"/>
  <c r="T73" i="30"/>
  <c r="T94" i="30" s="1"/>
  <c r="U94" i="30" s="1"/>
  <c r="T73" i="66"/>
  <c r="T94" i="66" s="1"/>
  <c r="U94" i="66" s="1"/>
  <c r="T73" i="58"/>
  <c r="T94" i="58" s="1"/>
  <c r="U94" i="58" s="1"/>
  <c r="T73" i="22"/>
  <c r="T94" i="22" s="1"/>
  <c r="U94" i="22" s="1"/>
  <c r="T73" i="55"/>
  <c r="T73" i="18"/>
  <c r="T73" i="69"/>
  <c r="T73" i="77"/>
  <c r="T73" i="24"/>
  <c r="T73" i="20"/>
  <c r="T73" i="21"/>
  <c r="T73" i="50"/>
  <c r="T73" i="75"/>
  <c r="T73" i="31"/>
  <c r="T73" i="16"/>
  <c r="T94" i="16" s="1"/>
  <c r="U94" i="16" s="1"/>
  <c r="T73" i="23"/>
  <c r="T94" i="23" s="1"/>
  <c r="U94" i="23" s="1"/>
  <c r="T73" i="27"/>
  <c r="T94" i="27" s="1"/>
  <c r="U94" i="27" s="1"/>
  <c r="T73" i="71"/>
  <c r="T94" i="71" s="1"/>
  <c r="U94" i="71" s="1"/>
  <c r="T73" i="39"/>
  <c r="T94" i="39" s="1"/>
  <c r="U94" i="39" s="1"/>
  <c r="T73" i="51"/>
  <c r="T94" i="51" s="1"/>
  <c r="U94" i="51" s="1"/>
  <c r="T73" i="68"/>
  <c r="T94" i="68" s="1"/>
  <c r="U94" i="68" s="1"/>
  <c r="T73" i="17"/>
  <c r="T94" i="17" s="1"/>
  <c r="U94" i="17" s="1"/>
  <c r="T73" i="44"/>
  <c r="T94" i="44" s="1"/>
  <c r="U94" i="44" s="1"/>
  <c r="T73" i="48"/>
  <c r="T94" i="48" s="1"/>
  <c r="U94" i="48" s="1"/>
  <c r="T73" i="37"/>
  <c r="T94" i="37" s="1"/>
  <c r="U94" i="37" s="1"/>
  <c r="T73" i="26"/>
  <c r="T94" i="26" s="1"/>
  <c r="U94" i="26" s="1"/>
  <c r="T73" i="36"/>
  <c r="T94" i="36" s="1"/>
  <c r="U94" i="36" s="1"/>
  <c r="T96" i="52"/>
  <c r="U96" i="52" s="1"/>
  <c r="T73" i="47"/>
  <c r="T94" i="47" s="1"/>
  <c r="U94" i="47" s="1"/>
  <c r="T73" i="40"/>
  <c r="T94" i="40" s="1"/>
  <c r="U94" i="40" s="1"/>
  <c r="T73" i="33"/>
  <c r="T94" i="33" s="1"/>
  <c r="U94" i="33" s="1"/>
  <c r="T73" i="76"/>
  <c r="T94" i="76" s="1"/>
  <c r="U94" i="76" s="1"/>
  <c r="T73" i="38"/>
  <c r="T94" i="38" s="1"/>
  <c r="U94" i="38" s="1"/>
  <c r="T96" i="34"/>
  <c r="U96" i="34" s="1"/>
  <c r="T73" i="67"/>
  <c r="T94" i="67" s="1"/>
  <c r="U94" i="67" s="1"/>
  <c r="T73" i="25"/>
  <c r="T94" i="25" s="1"/>
  <c r="U94" i="25" s="1"/>
  <c r="T73" i="32"/>
  <c r="T94" i="32" s="1"/>
  <c r="U94" i="32" s="1"/>
  <c r="T73" i="56"/>
  <c r="T94" i="56" s="1"/>
  <c r="U94" i="56" s="1"/>
  <c r="T73" i="70"/>
  <c r="T94" i="70" s="1"/>
  <c r="U94" i="70" s="1"/>
  <c r="T73" i="42"/>
  <c r="T94" i="42" s="1"/>
  <c r="U94" i="42" s="1"/>
  <c r="T73" i="45"/>
  <c r="T94" i="45" s="1"/>
  <c r="U94" i="45" s="1"/>
  <c r="T73" i="78"/>
  <c r="T94" i="78" s="1"/>
  <c r="U94" i="78" s="1"/>
  <c r="T73" i="43"/>
  <c r="T94" i="43" s="1"/>
  <c r="U94" i="43" s="1"/>
  <c r="T73" i="35"/>
  <c r="T94" i="35" s="1"/>
  <c r="U94" i="35" s="1"/>
  <c r="T73" i="57"/>
  <c r="T94" i="57" s="1"/>
  <c r="U94" i="57" s="1"/>
  <c r="T73" i="7"/>
  <c r="T94" i="7" s="1"/>
  <c r="U94" i="7" s="1"/>
  <c r="Q21" i="72"/>
  <c r="K44" i="72"/>
  <c r="I137" i="57"/>
  <c r="I141" i="57" s="1"/>
  <c r="I145" i="57" s="1"/>
  <c r="I147" i="57"/>
  <c r="E253" i="64"/>
  <c r="G253" i="64" s="1"/>
  <c r="F32" i="72"/>
  <c r="U19" i="72"/>
  <c r="E162" i="64"/>
  <c r="G162" i="64" s="1"/>
  <c r="M22" i="72"/>
  <c r="R22" i="72"/>
  <c r="F22" i="72"/>
  <c r="L22" i="72"/>
  <c r="S22" i="72" s="1"/>
  <c r="W22" i="72" s="1"/>
  <c r="K35" i="72"/>
  <c r="I137" i="47"/>
  <c r="I141" i="47" s="1"/>
  <c r="I145" i="47" s="1"/>
  <c r="I147" i="47"/>
  <c r="K42" i="72"/>
  <c r="I137" i="55"/>
  <c r="I141" i="55" s="1"/>
  <c r="I145" i="55" s="1"/>
  <c r="K43" i="72"/>
  <c r="G43" i="72" s="1"/>
  <c r="I137" i="56"/>
  <c r="I141" i="56" s="1"/>
  <c r="I145" i="56" s="1"/>
  <c r="I147" i="56"/>
  <c r="I147" i="55"/>
  <c r="K21" i="72"/>
  <c r="I137" i="32"/>
  <c r="I141" i="32" s="1"/>
  <c r="I145" i="32" s="1"/>
  <c r="I147" i="32"/>
  <c r="J11" i="72" l="1"/>
  <c r="I135" i="21"/>
  <c r="I147" i="21" s="1"/>
  <c r="Q8" i="72"/>
  <c r="J27" i="72"/>
  <c r="Q46" i="72"/>
  <c r="J10" i="72"/>
  <c r="J52" i="72"/>
  <c r="J31" i="72"/>
  <c r="J49" i="72"/>
  <c r="J17" i="72"/>
  <c r="J25" i="72"/>
  <c r="J12" i="72"/>
  <c r="J50" i="72"/>
  <c r="J15" i="72"/>
  <c r="J41" i="72"/>
  <c r="J39" i="72"/>
  <c r="J13" i="72"/>
  <c r="J35" i="72"/>
  <c r="G35" i="72" s="1"/>
  <c r="J28" i="72"/>
  <c r="J45" i="72"/>
  <c r="G45" i="72" s="1"/>
  <c r="J33" i="72"/>
  <c r="G33" i="72" s="1"/>
  <c r="J26" i="72"/>
  <c r="J40" i="72"/>
  <c r="J42" i="72"/>
  <c r="G42" i="72" s="1"/>
  <c r="J16" i="72"/>
  <c r="J14" i="72"/>
  <c r="J30" i="72"/>
  <c r="J18" i="72"/>
  <c r="J24" i="72"/>
  <c r="J47" i="72"/>
  <c r="J29" i="72"/>
  <c r="J36" i="72"/>
  <c r="J8" i="72"/>
  <c r="I135" i="67"/>
  <c r="I147" i="67" s="1"/>
  <c r="I147" i="66"/>
  <c r="M36" i="72"/>
  <c r="I135" i="28"/>
  <c r="I147" i="28" s="1"/>
  <c r="Q33" i="72"/>
  <c r="J54" i="72"/>
  <c r="Q42" i="72"/>
  <c r="Q41" i="72"/>
  <c r="I137" i="76"/>
  <c r="I141" i="76" s="1"/>
  <c r="I145" i="76" s="1"/>
  <c r="I137" i="75"/>
  <c r="I141" i="75" s="1"/>
  <c r="I145" i="75" s="1"/>
  <c r="K37" i="72"/>
  <c r="R37" i="72" s="1"/>
  <c r="Q36" i="72"/>
  <c r="G21" i="72"/>
  <c r="Q35" i="72"/>
  <c r="K18" i="72"/>
  <c r="F18" i="72" s="1"/>
  <c r="I137" i="27"/>
  <c r="I141" i="27" s="1"/>
  <c r="I145" i="27" s="1"/>
  <c r="K31" i="72"/>
  <c r="Q31" i="72"/>
  <c r="I137" i="42"/>
  <c r="I141" i="42" s="1"/>
  <c r="I145" i="42" s="1"/>
  <c r="I137" i="39"/>
  <c r="I141" i="39" s="1"/>
  <c r="I145" i="39" s="1"/>
  <c r="K29" i="72"/>
  <c r="I137" i="37"/>
  <c r="I141" i="37" s="1"/>
  <c r="I145" i="37" s="1"/>
  <c r="I137" i="50"/>
  <c r="I141" i="50" s="1"/>
  <c r="I145" i="50" s="1"/>
  <c r="K40" i="72"/>
  <c r="R40" i="72" s="1"/>
  <c r="Q29" i="72"/>
  <c r="Q45" i="72"/>
  <c r="K41" i="72"/>
  <c r="I147" i="77"/>
  <c r="K52" i="72"/>
  <c r="I137" i="44"/>
  <c r="I141" i="44" s="1"/>
  <c r="I145" i="44" s="1"/>
  <c r="U130" i="28"/>
  <c r="I133" i="28" s="1"/>
  <c r="I147" i="44"/>
  <c r="K34" i="72"/>
  <c r="R34" i="72" s="1"/>
  <c r="I137" i="45"/>
  <c r="I141" i="45" s="1"/>
  <c r="I145" i="45" s="1"/>
  <c r="I137" i="35"/>
  <c r="I141" i="35" s="1"/>
  <c r="I145" i="35" s="1"/>
  <c r="I137" i="58"/>
  <c r="I141" i="58" s="1"/>
  <c r="I145" i="58" s="1"/>
  <c r="K24" i="72"/>
  <c r="K27" i="72"/>
  <c r="R27" i="72" s="1"/>
  <c r="I147" i="48"/>
  <c r="R33" i="72"/>
  <c r="F33" i="72"/>
  <c r="L33" i="72"/>
  <c r="S33" i="72" s="1"/>
  <c r="U33" i="72" s="1"/>
  <c r="W33" i="72" s="1"/>
  <c r="E433" i="64"/>
  <c r="G433" i="64" s="1"/>
  <c r="I135" i="69"/>
  <c r="K48" i="72" s="1"/>
  <c r="I135" i="30"/>
  <c r="I137" i="30" s="1"/>
  <c r="I141" i="30" s="1"/>
  <c r="I145" i="30" s="1"/>
  <c r="I135" i="38"/>
  <c r="K28" i="72" s="1"/>
  <c r="I135" i="70"/>
  <c r="I147" i="70" s="1"/>
  <c r="I147" i="58"/>
  <c r="I135" i="68"/>
  <c r="Q24" i="72"/>
  <c r="I137" i="66"/>
  <c r="I141" i="66" s="1"/>
  <c r="I145" i="66" s="1"/>
  <c r="K36" i="72"/>
  <c r="I135" i="78"/>
  <c r="I147" i="78" s="1"/>
  <c r="I135" i="51"/>
  <c r="L46" i="72"/>
  <c r="S46" i="72" s="1"/>
  <c r="W46" i="72" s="1"/>
  <c r="F46" i="72"/>
  <c r="J46" i="72"/>
  <c r="G46" i="72" s="1"/>
  <c r="U128" i="34"/>
  <c r="U130" i="34" s="1"/>
  <c r="I133" i="34" s="1"/>
  <c r="U128" i="52"/>
  <c r="U130" i="52" s="1"/>
  <c r="I133" i="52" s="1"/>
  <c r="Q27" i="72"/>
  <c r="Q15" i="72"/>
  <c r="Q50" i="72"/>
  <c r="Q52" i="72"/>
  <c r="E288" i="64"/>
  <c r="G288" i="64" s="1"/>
  <c r="Q16" i="72"/>
  <c r="Q18" i="72"/>
  <c r="Q28" i="72"/>
  <c r="I147" i="34"/>
  <c r="Q40" i="72"/>
  <c r="J37" i="72"/>
  <c r="Q37" i="72"/>
  <c r="Q44" i="72"/>
  <c r="J44" i="72"/>
  <c r="G44" i="72" s="1"/>
  <c r="J34" i="72"/>
  <c r="Q34" i="72"/>
  <c r="Q26" i="72"/>
  <c r="I147" i="52"/>
  <c r="K39" i="72"/>
  <c r="Q39" i="72"/>
  <c r="L45" i="72"/>
  <c r="S45" i="72" s="1"/>
  <c r="U45" i="72" s="1"/>
  <c r="W45" i="72" s="1"/>
  <c r="F45" i="72"/>
  <c r="I137" i="52"/>
  <c r="I141" i="52" s="1"/>
  <c r="T96" i="30"/>
  <c r="T96" i="58"/>
  <c r="T96" i="66"/>
  <c r="U96" i="66" s="1"/>
  <c r="Q49" i="72"/>
  <c r="Q17" i="72"/>
  <c r="Q12" i="72"/>
  <c r="Q54" i="72"/>
  <c r="T96" i="22"/>
  <c r="U96" i="22" s="1"/>
  <c r="Q13" i="72"/>
  <c r="Q25" i="72"/>
  <c r="Q10" i="72"/>
  <c r="Q47" i="72"/>
  <c r="Q30" i="72"/>
  <c r="Q14" i="72"/>
  <c r="I147" i="40"/>
  <c r="K30" i="72"/>
  <c r="I137" i="40"/>
  <c r="I141" i="40" s="1"/>
  <c r="I145" i="40" s="1"/>
  <c r="I147" i="25"/>
  <c r="T94" i="69"/>
  <c r="U94" i="69" s="1"/>
  <c r="T96" i="69"/>
  <c r="U96" i="69" s="1"/>
  <c r="T94" i="18"/>
  <c r="U94" i="18" s="1"/>
  <c r="T96" i="18"/>
  <c r="U96" i="18" s="1"/>
  <c r="T94" i="55"/>
  <c r="U94" i="55" s="1"/>
  <c r="T96" i="55"/>
  <c r="U96" i="55" s="1"/>
  <c r="T94" i="31"/>
  <c r="T96" i="31"/>
  <c r="U96" i="31" s="1"/>
  <c r="T94" i="75"/>
  <c r="U94" i="75" s="1"/>
  <c r="T96" i="75"/>
  <c r="U96" i="75" s="1"/>
  <c r="T94" i="50"/>
  <c r="U94" i="50" s="1"/>
  <c r="T96" i="50"/>
  <c r="U96" i="50" s="1"/>
  <c r="T94" i="21"/>
  <c r="U94" i="21" s="1"/>
  <c r="T96" i="21"/>
  <c r="U96" i="21" s="1"/>
  <c r="T94" i="20"/>
  <c r="U94" i="20" s="1"/>
  <c r="T96" i="20"/>
  <c r="U96" i="20" s="1"/>
  <c r="T94" i="24"/>
  <c r="U94" i="24" s="1"/>
  <c r="T96" i="24"/>
  <c r="U96" i="24" s="1"/>
  <c r="T94" i="77"/>
  <c r="T96" i="77"/>
  <c r="U96" i="77" s="1"/>
  <c r="T96" i="45"/>
  <c r="U96" i="45" s="1"/>
  <c r="T96" i="76"/>
  <c r="U96" i="76" s="1"/>
  <c r="T96" i="44"/>
  <c r="T96" i="42"/>
  <c r="T96" i="33"/>
  <c r="T96" i="17"/>
  <c r="U96" i="17" s="1"/>
  <c r="T96" i="70"/>
  <c r="U96" i="70" s="1"/>
  <c r="T96" i="40"/>
  <c r="U96" i="40" s="1"/>
  <c r="T96" i="56"/>
  <c r="U96" i="56" s="1"/>
  <c r="T96" i="47"/>
  <c r="U96" i="47" s="1"/>
  <c r="T96" i="68"/>
  <c r="U96" i="68" s="1"/>
  <c r="T96" i="32"/>
  <c r="U96" i="32" s="1"/>
  <c r="T96" i="25"/>
  <c r="T96" i="51"/>
  <c r="T96" i="67"/>
  <c r="T96" i="39"/>
  <c r="U96" i="39" s="1"/>
  <c r="T96" i="71"/>
  <c r="T96" i="57"/>
  <c r="U96" i="57" s="1"/>
  <c r="T96" i="36"/>
  <c r="U96" i="36" s="1"/>
  <c r="T96" i="27"/>
  <c r="T96" i="35"/>
  <c r="U96" i="35" s="1"/>
  <c r="T96" i="26"/>
  <c r="U96" i="26" s="1"/>
  <c r="T96" i="23"/>
  <c r="U96" i="23" s="1"/>
  <c r="T96" i="43"/>
  <c r="U96" i="43" s="1"/>
  <c r="T96" i="37"/>
  <c r="U96" i="37" s="1"/>
  <c r="T96" i="16"/>
  <c r="T96" i="78"/>
  <c r="U96" i="78" s="1"/>
  <c r="T96" i="38"/>
  <c r="T96" i="48"/>
  <c r="T96" i="7"/>
  <c r="R44" i="72"/>
  <c r="F44" i="72"/>
  <c r="L44" i="72"/>
  <c r="S44" i="72" s="1"/>
  <c r="W44" i="72" s="1"/>
  <c r="M44" i="72"/>
  <c r="E362" i="64"/>
  <c r="G362" i="64" s="1"/>
  <c r="U13" i="72"/>
  <c r="R35" i="72"/>
  <c r="F35" i="72"/>
  <c r="L35" i="72"/>
  <c r="S35" i="72" s="1"/>
  <c r="W35" i="72" s="1"/>
  <c r="F21" i="72"/>
  <c r="R21" i="72"/>
  <c r="L21" i="72"/>
  <c r="S21" i="72" s="1"/>
  <c r="W21" i="72" s="1"/>
  <c r="E344" i="64"/>
  <c r="G344" i="64" s="1"/>
  <c r="M42" i="72"/>
  <c r="F42" i="72"/>
  <c r="R42" i="72"/>
  <c r="L42" i="72"/>
  <c r="S42" i="72" s="1"/>
  <c r="U42" i="72" s="1"/>
  <c r="W42" i="72" s="1"/>
  <c r="F43" i="72"/>
  <c r="R43" i="72"/>
  <c r="L43" i="72"/>
  <c r="S43" i="72" s="1"/>
  <c r="W43" i="72" s="1"/>
  <c r="E279" i="64"/>
  <c r="G279" i="64" s="1"/>
  <c r="M35" i="72"/>
  <c r="E152" i="64"/>
  <c r="G152" i="64" s="1"/>
  <c r="M21" i="72"/>
  <c r="M43" i="72"/>
  <c r="E355" i="64"/>
  <c r="G355" i="64" s="1"/>
  <c r="G36" i="72" l="1"/>
  <c r="G41" i="72"/>
  <c r="I147" i="68"/>
  <c r="I137" i="68"/>
  <c r="I141" i="68" s="1"/>
  <c r="G52" i="72"/>
  <c r="G29" i="72"/>
  <c r="G31" i="72"/>
  <c r="G24" i="72"/>
  <c r="K47" i="72"/>
  <c r="G47" i="72" s="1"/>
  <c r="I137" i="67"/>
  <c r="I141" i="67" s="1"/>
  <c r="I145" i="67" s="1"/>
  <c r="E263" i="64"/>
  <c r="G263" i="64" s="1"/>
  <c r="E125" i="64"/>
  <c r="G125" i="64" s="1"/>
  <c r="I137" i="28"/>
  <c r="I141" i="28" s="1"/>
  <c r="I145" i="28" s="1"/>
  <c r="E134" i="64" s="1"/>
  <c r="K19" i="72"/>
  <c r="E371" i="64"/>
  <c r="G371" i="64" s="1"/>
  <c r="E179" i="64"/>
  <c r="G179" i="64" s="1"/>
  <c r="E271" i="64"/>
  <c r="G271" i="64" s="1"/>
  <c r="E298" i="64"/>
  <c r="G298" i="64" s="1"/>
  <c r="E243" i="64"/>
  <c r="G243" i="64" s="1"/>
  <c r="E205" i="64"/>
  <c r="G205" i="64" s="1"/>
  <c r="E324" i="64"/>
  <c r="G324" i="64" s="1"/>
  <c r="E334" i="64"/>
  <c r="G334" i="64" s="1"/>
  <c r="E224" i="64"/>
  <c r="G224" i="64" s="1"/>
  <c r="I145" i="52"/>
  <c r="F40" i="72"/>
  <c r="G37" i="72"/>
  <c r="L37" i="72"/>
  <c r="S37" i="72" s="1"/>
  <c r="U37" i="72" s="1"/>
  <c r="W37" i="72" s="1"/>
  <c r="F37" i="72"/>
  <c r="M41" i="72"/>
  <c r="L18" i="72"/>
  <c r="S18" i="72" s="1"/>
  <c r="U18" i="72" s="1"/>
  <c r="W18" i="72" s="1"/>
  <c r="G18" i="72"/>
  <c r="M40" i="72"/>
  <c r="L31" i="72"/>
  <c r="S31" i="72" s="1"/>
  <c r="W31" i="72" s="1"/>
  <c r="R31" i="72"/>
  <c r="F31" i="72"/>
  <c r="F29" i="72"/>
  <c r="L29" i="72"/>
  <c r="S29" i="72" s="1"/>
  <c r="U29" i="72" s="1"/>
  <c r="W29" i="72" s="1"/>
  <c r="R29" i="72"/>
  <c r="R18" i="72"/>
  <c r="M31" i="72"/>
  <c r="G40" i="72"/>
  <c r="M18" i="72"/>
  <c r="M29" i="72"/>
  <c r="L40" i="72"/>
  <c r="S40" i="72" s="1"/>
  <c r="W40" i="72" s="1"/>
  <c r="L41" i="72"/>
  <c r="S41" i="72" s="1"/>
  <c r="W41" i="72" s="1"/>
  <c r="F24" i="72"/>
  <c r="L24" i="72"/>
  <c r="S24" i="72" s="1"/>
  <c r="W24" i="72" s="1"/>
  <c r="M27" i="72"/>
  <c r="M33" i="72"/>
  <c r="M37" i="72"/>
  <c r="R24" i="72"/>
  <c r="F27" i="72"/>
  <c r="R52" i="72"/>
  <c r="R41" i="72"/>
  <c r="F41" i="72"/>
  <c r="G34" i="72"/>
  <c r="F34" i="72"/>
  <c r="L34" i="72"/>
  <c r="S34" i="72" s="1"/>
  <c r="W34" i="72" s="1"/>
  <c r="L52" i="72"/>
  <c r="S52" i="72" s="1"/>
  <c r="W52" i="72" s="1"/>
  <c r="L27" i="72"/>
  <c r="S27" i="72" s="1"/>
  <c r="U27" i="72" s="1"/>
  <c r="W27" i="72" s="1"/>
  <c r="F52" i="72"/>
  <c r="F36" i="72"/>
  <c r="K54" i="72"/>
  <c r="M45" i="72"/>
  <c r="M24" i="72"/>
  <c r="M34" i="72"/>
  <c r="U96" i="30"/>
  <c r="U128" i="30" s="1"/>
  <c r="U130" i="30" s="1"/>
  <c r="I133" i="30" s="1"/>
  <c r="U94" i="77"/>
  <c r="U128" i="77" s="1"/>
  <c r="U130" i="77" s="1"/>
  <c r="I133" i="77" s="1"/>
  <c r="U94" i="31"/>
  <c r="U128" i="31" s="1"/>
  <c r="U130" i="31" s="1"/>
  <c r="I133" i="31" s="1"/>
  <c r="H135" i="31" s="1"/>
  <c r="U96" i="27"/>
  <c r="U128" i="27" s="1"/>
  <c r="U130" i="27" s="1"/>
  <c r="I133" i="27" s="1"/>
  <c r="R36" i="72"/>
  <c r="U96" i="7"/>
  <c r="U128" i="7" s="1"/>
  <c r="U130" i="7" s="1"/>
  <c r="I133" i="7" s="1"/>
  <c r="U96" i="48"/>
  <c r="U128" i="48" s="1"/>
  <c r="U130" i="48" s="1"/>
  <c r="I133" i="48" s="1"/>
  <c r="U96" i="71"/>
  <c r="U130" i="71" s="1"/>
  <c r="I133" i="71" s="1"/>
  <c r="H135" i="71" s="1"/>
  <c r="I147" i="38"/>
  <c r="U96" i="38"/>
  <c r="U128" i="38" s="1"/>
  <c r="U130" i="38" s="1"/>
  <c r="I133" i="38" s="1"/>
  <c r="U96" i="33"/>
  <c r="U128" i="33" s="1"/>
  <c r="U130" i="33" s="1"/>
  <c r="I133" i="33" s="1"/>
  <c r="U96" i="67"/>
  <c r="U128" i="67" s="1"/>
  <c r="U130" i="67" s="1"/>
  <c r="I133" i="67" s="1"/>
  <c r="U96" i="42"/>
  <c r="U128" i="42" s="1"/>
  <c r="U130" i="42" s="1"/>
  <c r="I133" i="42" s="1"/>
  <c r="U96" i="16"/>
  <c r="U128" i="16" s="1"/>
  <c r="U130" i="16" s="1"/>
  <c r="I133" i="16" s="1"/>
  <c r="U96" i="51"/>
  <c r="U128" i="51" s="1"/>
  <c r="U130" i="51" s="1"/>
  <c r="I133" i="51" s="1"/>
  <c r="U96" i="44"/>
  <c r="U128" i="44" s="1"/>
  <c r="U130" i="44" s="1"/>
  <c r="I133" i="44" s="1"/>
  <c r="U96" i="58"/>
  <c r="U128" i="58" s="1"/>
  <c r="U130" i="58" s="1"/>
  <c r="I133" i="58" s="1"/>
  <c r="I147" i="69"/>
  <c r="U96" i="25"/>
  <c r="U128" i="25" s="1"/>
  <c r="U130" i="25" s="1"/>
  <c r="I133" i="25" s="1"/>
  <c r="I137" i="69"/>
  <c r="I141" i="69" s="1"/>
  <c r="I145" i="69" s="1"/>
  <c r="I137" i="38"/>
  <c r="I141" i="38" s="1"/>
  <c r="I145" i="38" s="1"/>
  <c r="I147" i="30"/>
  <c r="I137" i="70"/>
  <c r="I141" i="70" s="1"/>
  <c r="I145" i="70" s="1"/>
  <c r="E406" i="64" s="1"/>
  <c r="K51" i="72"/>
  <c r="L36" i="72"/>
  <c r="S36" i="72" s="1"/>
  <c r="W36" i="72" s="1"/>
  <c r="R48" i="72"/>
  <c r="L48" i="72"/>
  <c r="S48" i="72" s="1"/>
  <c r="W48" i="72" s="1"/>
  <c r="G27" i="72"/>
  <c r="R28" i="72"/>
  <c r="L28" i="72"/>
  <c r="S28" i="72" s="1"/>
  <c r="W28" i="72" s="1"/>
  <c r="G28" i="72"/>
  <c r="F28" i="72"/>
  <c r="E452" i="64"/>
  <c r="G452" i="64" s="1"/>
  <c r="M54" i="72"/>
  <c r="K38" i="72"/>
  <c r="I137" i="51"/>
  <c r="I141" i="51" s="1"/>
  <c r="I145" i="51" s="1"/>
  <c r="I147" i="51"/>
  <c r="K49" i="72"/>
  <c r="K53" i="72"/>
  <c r="F48" i="72"/>
  <c r="I137" i="78"/>
  <c r="I141" i="78" s="1"/>
  <c r="I145" i="78" s="1"/>
  <c r="E380" i="64"/>
  <c r="G380" i="64" s="1"/>
  <c r="M46" i="72"/>
  <c r="G48" i="72"/>
  <c r="U130" i="24"/>
  <c r="U128" i="55"/>
  <c r="U130" i="55" s="1"/>
  <c r="I133" i="55" s="1"/>
  <c r="U128" i="21"/>
  <c r="U130" i="21" s="1"/>
  <c r="I133" i="21" s="1"/>
  <c r="U128" i="75"/>
  <c r="U130" i="75" s="1"/>
  <c r="I133" i="75" s="1"/>
  <c r="U128" i="43"/>
  <c r="U130" i="43" s="1"/>
  <c r="I133" i="43" s="1"/>
  <c r="U128" i="68"/>
  <c r="U130" i="68" s="1"/>
  <c r="I133" i="68" s="1"/>
  <c r="U128" i="76"/>
  <c r="U130" i="76" s="1"/>
  <c r="I133" i="76" s="1"/>
  <c r="U128" i="47"/>
  <c r="U130" i="47" s="1"/>
  <c r="I133" i="47" s="1"/>
  <c r="U128" i="35"/>
  <c r="U130" i="35" s="1"/>
  <c r="I133" i="35" s="1"/>
  <c r="U128" i="45"/>
  <c r="U130" i="45" s="1"/>
  <c r="I133" i="45" s="1"/>
  <c r="U128" i="56"/>
  <c r="U130" i="56" s="1"/>
  <c r="I133" i="56" s="1"/>
  <c r="U128" i="36"/>
  <c r="U128" i="66"/>
  <c r="U130" i="66" s="1"/>
  <c r="I133" i="66" s="1"/>
  <c r="U128" i="69"/>
  <c r="U130" i="69" s="1"/>
  <c r="I133" i="69" s="1"/>
  <c r="U128" i="70"/>
  <c r="U130" i="70" s="1"/>
  <c r="I133" i="70" s="1"/>
  <c r="U128" i="39"/>
  <c r="U130" i="39" s="1"/>
  <c r="I133" i="39" s="1"/>
  <c r="U128" i="57"/>
  <c r="U130" i="57" s="1"/>
  <c r="I133" i="57" s="1"/>
  <c r="U128" i="37"/>
  <c r="U130" i="37" s="1"/>
  <c r="I133" i="37" s="1"/>
  <c r="U128" i="40"/>
  <c r="U130" i="40" s="1"/>
  <c r="I133" i="40" s="1"/>
  <c r="U128" i="32"/>
  <c r="U130" i="32" s="1"/>
  <c r="I133" i="32" s="1"/>
  <c r="U128" i="50"/>
  <c r="U130" i="50" s="1"/>
  <c r="I133" i="50" s="1"/>
  <c r="U128" i="78"/>
  <c r="U130" i="78" s="1"/>
  <c r="I133" i="78" s="1"/>
  <c r="U130" i="26"/>
  <c r="I133" i="26" s="1"/>
  <c r="H135" i="26" s="1"/>
  <c r="I137" i="34"/>
  <c r="I141" i="34" s="1"/>
  <c r="I145" i="34" s="1"/>
  <c r="K23" i="72"/>
  <c r="G39" i="72"/>
  <c r="R39" i="72"/>
  <c r="F39" i="72"/>
  <c r="L39" i="72"/>
  <c r="S39" i="72" s="1"/>
  <c r="W39" i="72" s="1"/>
  <c r="E234" i="64"/>
  <c r="G234" i="64" s="1"/>
  <c r="M30" i="72"/>
  <c r="G30" i="72"/>
  <c r="R30" i="72"/>
  <c r="L30" i="72"/>
  <c r="S30" i="72" s="1"/>
  <c r="W30" i="72" s="1"/>
  <c r="F30" i="72"/>
  <c r="K13" i="72"/>
  <c r="I137" i="21"/>
  <c r="I141" i="21" s="1"/>
  <c r="I145" i="21" s="1"/>
  <c r="K14" i="72"/>
  <c r="I137" i="25"/>
  <c r="I141" i="25" s="1"/>
  <c r="I145" i="25" s="1"/>
  <c r="E90" i="64" s="1"/>
  <c r="H135" i="24" l="1"/>
  <c r="I135" i="24" s="1"/>
  <c r="K15" i="72" s="1"/>
  <c r="I133" i="24"/>
  <c r="G51" i="72"/>
  <c r="F47" i="72"/>
  <c r="L47" i="72"/>
  <c r="S47" i="72" s="1"/>
  <c r="W47" i="72" s="1"/>
  <c r="R47" i="72"/>
  <c r="M39" i="72"/>
  <c r="E315" i="64"/>
  <c r="G315" i="64" s="1"/>
  <c r="M19" i="72"/>
  <c r="E387" i="64"/>
  <c r="G387" i="64" s="1"/>
  <c r="M47" i="72"/>
  <c r="G425" i="64"/>
  <c r="E213" i="64"/>
  <c r="G213" i="64" s="1"/>
  <c r="E396" i="64"/>
  <c r="G396" i="64" s="1"/>
  <c r="R19" i="72"/>
  <c r="F19" i="72"/>
  <c r="G19" i="72"/>
  <c r="L19" i="72"/>
  <c r="S19" i="72" s="1"/>
  <c r="W19" i="72" s="1"/>
  <c r="E443" i="64"/>
  <c r="G443" i="64" s="1"/>
  <c r="G134" i="64"/>
  <c r="M49" i="72"/>
  <c r="F54" i="72"/>
  <c r="L54" i="72"/>
  <c r="S54" i="72" s="1"/>
  <c r="W54" i="72" s="1"/>
  <c r="R54" i="72"/>
  <c r="G54" i="72"/>
  <c r="M48" i="72"/>
  <c r="W51" i="72"/>
  <c r="M51" i="72"/>
  <c r="M28" i="72"/>
  <c r="G406" i="64"/>
  <c r="F51" i="72"/>
  <c r="M53" i="72"/>
  <c r="L49" i="72"/>
  <c r="S49" i="72" s="1"/>
  <c r="W49" i="72" s="1"/>
  <c r="R49" i="72"/>
  <c r="F49" i="72"/>
  <c r="G49" i="72"/>
  <c r="E306" i="64"/>
  <c r="G306" i="64" s="1"/>
  <c r="M38" i="72"/>
  <c r="G38" i="72"/>
  <c r="R38" i="72"/>
  <c r="F38" i="72"/>
  <c r="L38" i="72"/>
  <c r="S38" i="72" s="1"/>
  <c r="U38" i="72" s="1"/>
  <c r="W38" i="72" s="1"/>
  <c r="I135" i="31"/>
  <c r="I141" i="31" s="1"/>
  <c r="I135" i="26"/>
  <c r="I137" i="26" s="1"/>
  <c r="I141" i="26" s="1"/>
  <c r="I145" i="26" s="1"/>
  <c r="I135" i="71"/>
  <c r="R53" i="72"/>
  <c r="F53" i="72"/>
  <c r="G53" i="72"/>
  <c r="L53" i="72"/>
  <c r="S53" i="72" s="1"/>
  <c r="W53" i="72" s="1"/>
  <c r="U130" i="20"/>
  <c r="I133" i="20" s="1"/>
  <c r="H135" i="20" s="1"/>
  <c r="I135" i="20" s="1"/>
  <c r="H135" i="36"/>
  <c r="U130" i="36"/>
  <c r="I133" i="36" s="1"/>
  <c r="U130" i="17"/>
  <c r="I133" i="17" s="1"/>
  <c r="H135" i="17" s="1"/>
  <c r="U130" i="22"/>
  <c r="I133" i="22" s="1"/>
  <c r="H135" i="22" s="1"/>
  <c r="I135" i="22" s="1"/>
  <c r="U130" i="23"/>
  <c r="I133" i="23" s="1"/>
  <c r="H135" i="23" s="1"/>
  <c r="I135" i="23" s="1"/>
  <c r="U130" i="18"/>
  <c r="I133" i="18" s="1"/>
  <c r="R23" i="72"/>
  <c r="F23" i="72"/>
  <c r="L23" i="72"/>
  <c r="S23" i="72" s="1"/>
  <c r="G23" i="72"/>
  <c r="E171" i="64"/>
  <c r="G171" i="64" s="1"/>
  <c r="M23" i="72"/>
  <c r="G90" i="64"/>
  <c r="M14" i="72"/>
  <c r="F14" i="72"/>
  <c r="R14" i="72"/>
  <c r="L14" i="72"/>
  <c r="S14" i="72" s="1"/>
  <c r="U14" i="72" s="1"/>
  <c r="W14" i="72" s="1"/>
  <c r="G14" i="72"/>
  <c r="M13" i="72"/>
  <c r="E80" i="64"/>
  <c r="G80" i="64" s="1"/>
  <c r="F13" i="72"/>
  <c r="G13" i="72"/>
  <c r="R13" i="72"/>
  <c r="L13" i="72"/>
  <c r="S13" i="72" s="1"/>
  <c r="W13" i="72" s="1"/>
  <c r="U23" i="72" l="1"/>
  <c r="W23" i="72" s="1"/>
  <c r="I147" i="71"/>
  <c r="I137" i="71"/>
  <c r="I141" i="71" s="1"/>
  <c r="I145" i="71" s="1"/>
  <c r="G143" i="64"/>
  <c r="I147" i="31"/>
  <c r="I137" i="24"/>
  <c r="I141" i="24" s="1"/>
  <c r="I145" i="24" s="1"/>
  <c r="I147" i="24"/>
  <c r="I147" i="26"/>
  <c r="K17" i="72"/>
  <c r="L17" i="72" s="1"/>
  <c r="S17" i="72" s="1"/>
  <c r="V17" i="72" s="1"/>
  <c r="W17" i="72" s="1"/>
  <c r="M17" i="72"/>
  <c r="E118" i="64"/>
  <c r="G118" i="64" s="1"/>
  <c r="G15" i="72"/>
  <c r="F15" i="72"/>
  <c r="L15" i="72"/>
  <c r="S15" i="72" s="1"/>
  <c r="V15" i="72" s="1"/>
  <c r="W15" i="72" s="1"/>
  <c r="R15" i="72"/>
  <c r="I135" i="17"/>
  <c r="K20" i="72"/>
  <c r="K50" i="72"/>
  <c r="I135" i="36"/>
  <c r="I147" i="23"/>
  <c r="K16" i="72"/>
  <c r="G16" i="72" s="1"/>
  <c r="I137" i="22"/>
  <c r="I141" i="22" s="1"/>
  <c r="I145" i="22" s="1"/>
  <c r="I147" i="20"/>
  <c r="H135" i="18"/>
  <c r="I135" i="18" s="1"/>
  <c r="I137" i="18" s="1"/>
  <c r="I141" i="18" s="1"/>
  <c r="I145" i="18" s="1"/>
  <c r="I147" i="22"/>
  <c r="M20" i="72"/>
  <c r="K10" i="72" l="1"/>
  <c r="G10" i="72" s="1"/>
  <c r="I137" i="17"/>
  <c r="I141" i="17" s="1"/>
  <c r="I145" i="17" s="1"/>
  <c r="E110" i="64"/>
  <c r="G110" i="64" s="1"/>
  <c r="E416" i="64"/>
  <c r="G416" i="64" s="1"/>
  <c r="E101" i="64"/>
  <c r="M15" i="72"/>
  <c r="G17" i="72"/>
  <c r="F17" i="72"/>
  <c r="R17" i="72"/>
  <c r="L16" i="72"/>
  <c r="S16" i="72" s="1"/>
  <c r="V16" i="72" s="1"/>
  <c r="W16" i="72" s="1"/>
  <c r="M50" i="72"/>
  <c r="M16" i="72"/>
  <c r="G20" i="72"/>
  <c r="L20" i="72"/>
  <c r="F20" i="72"/>
  <c r="R50" i="72"/>
  <c r="G50" i="72"/>
  <c r="L50" i="72"/>
  <c r="S50" i="72" s="1"/>
  <c r="V50" i="72" s="1"/>
  <c r="W50" i="72" s="1"/>
  <c r="F50" i="72"/>
  <c r="K26" i="72"/>
  <c r="I137" i="36"/>
  <c r="I141" i="36" s="1"/>
  <c r="I145" i="36" s="1"/>
  <c r="I147" i="36"/>
  <c r="I147" i="17"/>
  <c r="I147" i="18"/>
  <c r="K12" i="72"/>
  <c r="I137" i="20"/>
  <c r="I141" i="20" s="1"/>
  <c r="I145" i="20" s="1"/>
  <c r="R16" i="72"/>
  <c r="F16" i="72"/>
  <c r="K25" i="72"/>
  <c r="I137" i="23"/>
  <c r="I141" i="23" s="1"/>
  <c r="I145" i="23" s="1"/>
  <c r="V26" i="72"/>
  <c r="H135" i="7"/>
  <c r="G101" i="64" l="1"/>
  <c r="E72" i="64"/>
  <c r="G72" i="64" s="1"/>
  <c r="V20" i="72"/>
  <c r="W20" i="72" s="1"/>
  <c r="I135" i="7"/>
  <c r="R10" i="72"/>
  <c r="F10" i="72"/>
  <c r="L10" i="72"/>
  <c r="S10" i="72" s="1"/>
  <c r="V10" i="72" s="1"/>
  <c r="W10" i="72" s="1"/>
  <c r="M10" i="72"/>
  <c r="E194" i="64"/>
  <c r="G194" i="64" s="1"/>
  <c r="M26" i="72"/>
  <c r="F26" i="72"/>
  <c r="L26" i="72"/>
  <c r="S26" i="72" s="1"/>
  <c r="W26" i="72" s="1"/>
  <c r="G26" i="72"/>
  <c r="R26" i="72"/>
  <c r="G25" i="72"/>
  <c r="F25" i="72"/>
  <c r="R25" i="72"/>
  <c r="L25" i="72"/>
  <c r="S25" i="72" s="1"/>
  <c r="V25" i="72" s="1"/>
  <c r="W25" i="72" s="1"/>
  <c r="G12" i="72"/>
  <c r="R12" i="72"/>
  <c r="F12" i="72"/>
  <c r="L12" i="72"/>
  <c r="E186" i="64"/>
  <c r="G186" i="64" s="1"/>
  <c r="M25" i="72"/>
  <c r="M12" i="72"/>
  <c r="K11" i="72"/>
  <c r="E60" i="64"/>
  <c r="G60" i="64" s="1"/>
  <c r="S12" i="72" l="1"/>
  <c r="V12" i="72" s="1"/>
  <c r="W12" i="72" s="1"/>
  <c r="D11" i="79"/>
  <c r="D55" i="79" s="1"/>
  <c r="I147" i="7"/>
  <c r="K8" i="72"/>
  <c r="I137" i="7"/>
  <c r="E53" i="64"/>
  <c r="G53" i="64" s="1"/>
  <c r="M11" i="72"/>
  <c r="G11" i="72"/>
  <c r="R11" i="72"/>
  <c r="L11" i="72"/>
  <c r="S11" i="72" s="1"/>
  <c r="V11" i="72" s="1"/>
  <c r="W11" i="72" s="1"/>
  <c r="F11" i="72"/>
  <c r="I141" i="7" l="1"/>
  <c r="F8" i="72"/>
  <c r="L8" i="72"/>
  <c r="R8" i="72"/>
  <c r="G8" i="72"/>
  <c r="S8" i="72" l="1"/>
  <c r="V56" i="72"/>
  <c r="U8" i="72" l="1"/>
  <c r="W8" i="72" s="1"/>
  <c r="I121" i="16"/>
  <c r="I122" i="16"/>
  <c r="I123" i="16"/>
  <c r="I124" i="16" l="1"/>
  <c r="I128" i="16" s="1"/>
  <c r="I129" i="60" s="1"/>
  <c r="I58" i="72" l="1"/>
  <c r="I9" i="72"/>
  <c r="I56" i="72" s="1"/>
  <c r="I130" i="16"/>
  <c r="H135" i="16" s="1"/>
  <c r="I135" i="16" s="1"/>
  <c r="I136" i="60" s="1"/>
  <c r="I131" i="60" l="1"/>
  <c r="H136" i="60" s="1"/>
  <c r="I134" i="60"/>
  <c r="J9" i="72"/>
  <c r="J56" i="72" s="1"/>
  <c r="Q9" i="72"/>
  <c r="Q56" i="72" s="1"/>
  <c r="I60" i="72" l="1"/>
  <c r="J58" i="72"/>
  <c r="J60" i="72" s="1"/>
  <c r="I147" i="16"/>
  <c r="K58" i="72"/>
  <c r="L58" i="72" s="1"/>
  <c r="K9" i="72"/>
  <c r="K56" i="72" s="1"/>
  <c r="I137" i="16"/>
  <c r="I138" i="60" s="1"/>
  <c r="L63" i="72" l="1"/>
  <c r="J57" i="79" s="1"/>
  <c r="J58" i="79" s="1"/>
  <c r="J59" i="79" s="1"/>
  <c r="J61" i="79" s="1"/>
  <c r="I141" i="16"/>
  <c r="G56" i="72"/>
  <c r="G9" i="72"/>
  <c r="R9" i="72"/>
  <c r="F9" i="72"/>
  <c r="L9" i="72"/>
  <c r="L56" i="72" s="1"/>
  <c r="I142" i="60" l="1"/>
  <c r="I145" i="16"/>
  <c r="S9" i="72"/>
  <c r="U9" i="72" s="1"/>
  <c r="L60" i="72"/>
  <c r="F56" i="72"/>
  <c r="R56" i="72"/>
  <c r="K60" i="72"/>
  <c r="S56" i="72" l="1"/>
  <c r="M9" i="72"/>
  <c r="E37" i="64"/>
  <c r="W9" i="72"/>
  <c r="W56" i="72" s="1"/>
  <c r="U56" i="72"/>
  <c r="G37" i="64" l="1"/>
  <c r="I145" i="7"/>
  <c r="I146" i="60" s="1"/>
  <c r="M58" i="72" l="1"/>
  <c r="E12" i="64"/>
  <c r="G12" i="64" s="1"/>
  <c r="M8" i="72"/>
  <c r="M56" i="72" s="1"/>
  <c r="G462" i="64" l="1"/>
  <c r="E465" i="64"/>
  <c r="E469" i="64"/>
  <c r="G469" i="64" s="1"/>
  <c r="M60" i="72"/>
  <c r="G463" i="64" l="1"/>
  <c r="E492" i="64"/>
  <c r="D406" i="64" l="1"/>
  <c r="D416" i="64"/>
  <c r="D110" i="64"/>
  <c r="D396" i="64"/>
  <c r="D271" i="64"/>
  <c r="D263" i="64"/>
  <c r="D425" i="64"/>
  <c r="D315" i="64"/>
  <c r="D205" i="64"/>
  <c r="D101" i="64"/>
  <c r="D362" i="64"/>
  <c r="D213" i="64"/>
  <c r="D306" i="64"/>
  <c r="D194" i="64"/>
  <c r="D344" i="64"/>
  <c r="D234" i="64"/>
  <c r="D288" i="64"/>
  <c r="D179" i="64"/>
  <c r="D90" i="64"/>
  <c r="D298" i="64"/>
  <c r="D186" i="64"/>
  <c r="D224" i="64"/>
  <c r="D152" i="64"/>
  <c r="D433" i="64"/>
  <c r="D143" i="64"/>
  <c r="D171" i="64"/>
  <c r="D134" i="64"/>
  <c r="D53" i="64"/>
  <c r="D452" i="64"/>
  <c r="D253" i="64"/>
  <c r="D380" i="64"/>
  <c r="D355" i="64"/>
  <c r="D125" i="64"/>
  <c r="D443" i="64"/>
  <c r="D334" i="64"/>
  <c r="D387" i="64"/>
  <c r="D162" i="64"/>
  <c r="D80" i="64"/>
  <c r="D118" i="64"/>
  <c r="D371" i="64"/>
  <c r="D72" i="64"/>
  <c r="D324" i="64"/>
  <c r="D243" i="64"/>
  <c r="D60" i="64"/>
  <c r="D37" i="64"/>
  <c r="F489" i="64" l="1"/>
  <c r="G489" i="64" s="1"/>
  <c r="F487" i="64"/>
  <c r="G487" i="64" s="1"/>
  <c r="F479" i="64"/>
  <c r="G479" i="64" s="1"/>
  <c r="F482" i="64"/>
  <c r="G482" i="64" s="1"/>
  <c r="F476" i="64"/>
  <c r="G476" i="64" s="1"/>
  <c r="F480" i="64"/>
  <c r="G480" i="64" s="1"/>
  <c r="F474" i="64"/>
  <c r="G474" i="64" s="1"/>
  <c r="F481" i="64"/>
  <c r="G481" i="64" s="1"/>
  <c r="F472" i="64"/>
  <c r="G472" i="64" s="1"/>
  <c r="F475" i="64"/>
  <c r="G475" i="64" s="1"/>
  <c r="F473" i="64"/>
  <c r="G473" i="64" s="1"/>
  <c r="F483" i="64"/>
  <c r="G483" i="64" s="1"/>
  <c r="F486" i="64"/>
  <c r="G486" i="64" s="1"/>
  <c r="F488" i="64"/>
  <c r="G488" i="64" s="1"/>
  <c r="F484" i="64"/>
  <c r="G484" i="64" s="1"/>
  <c r="F471" i="64"/>
  <c r="G471" i="64" s="1"/>
  <c r="F490" i="64"/>
  <c r="G490" i="64" s="1"/>
  <c r="F477" i="64"/>
  <c r="G477" i="64" s="1"/>
  <c r="F478" i="64"/>
  <c r="G478" i="64" s="1"/>
  <c r="F485" i="64"/>
  <c r="G485" i="64" s="1"/>
  <c r="F492" i="64" l="1"/>
  <c r="G470" i="64"/>
  <c r="G492" i="64" s="1"/>
  <c r="G494" i="64" s="1"/>
</calcChain>
</file>

<file path=xl/sharedStrings.xml><?xml version="1.0" encoding="utf-8"?>
<sst xmlns="http://schemas.openxmlformats.org/spreadsheetml/2006/main" count="18866" uniqueCount="624">
  <si>
    <t xml:space="preserve">School District: </t>
  </si>
  <si>
    <t>Program</t>
  </si>
  <si>
    <t>FTE</t>
  </si>
  <si>
    <t>(b)</t>
  </si>
  <si>
    <t>(c)</t>
  </si>
  <si>
    <t>Totals</t>
  </si>
  <si>
    <t>x</t>
  </si>
  <si>
    <t>NOTES:</t>
  </si>
  <si>
    <t>Total</t>
  </si>
  <si>
    <t>Palm Beach</t>
  </si>
  <si>
    <t>Base Student Allocation</t>
  </si>
  <si>
    <t>Revenues flow to districts from state sources and from county tax collectors on various distribution schedules.</t>
  </si>
  <si>
    <t>=</t>
  </si>
  <si>
    <t>4-8</t>
  </si>
  <si>
    <t>9-12</t>
  </si>
  <si>
    <t>(Insert district number in cell A1, enter, then strike F9. Your district data then pulls from Calculation Detail Sheets)</t>
  </si>
  <si>
    <t>Total Class Size Reduction Funds</t>
  </si>
  <si>
    <t>PK - 3</t>
  </si>
  <si>
    <t xml:space="preserve"> Revenue Estimate Worksheet for___________Charter School </t>
  </si>
  <si>
    <t>Number of FTE</t>
  </si>
  <si>
    <t>101 Basic K-3</t>
  </si>
  <si>
    <t>111 Basic K-3 with ESE Services</t>
  </si>
  <si>
    <t>102 Basic 4-8</t>
  </si>
  <si>
    <t>112 Basic 4-8 with ESE Services</t>
  </si>
  <si>
    <t>103 Basic 9-12</t>
  </si>
  <si>
    <t>113 Basic 9-12 with ESE Services</t>
  </si>
  <si>
    <t>Letters Refer to Notes At Bottom:</t>
  </si>
  <si>
    <t>Base Funding</t>
  </si>
  <si>
    <t>Allocation</t>
  </si>
  <si>
    <t>Student</t>
  </si>
  <si>
    <t xml:space="preserve"> x</t>
  </si>
  <si>
    <t>Allocation factors</t>
  </si>
  <si>
    <t>(h)</t>
  </si>
  <si>
    <t>Total Funding for Calculating the Administrative fee of Charters with More Than 75% ESE Students.</t>
  </si>
  <si>
    <t>(j)</t>
  </si>
  <si>
    <t>Weighted FTE (not including Add-On)</t>
  </si>
  <si>
    <t>(1)</t>
  </si>
  <si>
    <t>(2)</t>
  </si>
  <si>
    <t>(3)</t>
  </si>
  <si>
    <t>(4)</t>
  </si>
  <si>
    <t>(5)</t>
  </si>
  <si>
    <t>Small District ESE Supplement</t>
  </si>
  <si>
    <t>Total Base Funding</t>
  </si>
  <si>
    <t>Total Additional FTE</t>
  </si>
  <si>
    <t xml:space="preserve">Total Funded Weighted FTE </t>
  </si>
  <si>
    <t>Advanced Placement</t>
  </si>
  <si>
    <t>International Baccalaureate</t>
  </si>
  <si>
    <t>Advanced International Certificate</t>
  </si>
  <si>
    <t>Industry Certified Career Education</t>
  </si>
  <si>
    <t>Early High School Graduation</t>
  </si>
  <si>
    <t>Additional FTE (a)</t>
  </si>
  <si>
    <t>Additional Base Funds</t>
  </si>
  <si>
    <t>Enter All Adjusted Fundable Riders</t>
  </si>
  <si>
    <t>Impact Aide Student Type</t>
  </si>
  <si>
    <t>Exempt Property Allocation</t>
  </si>
  <si>
    <t>Impact Aide Student Allocation</t>
  </si>
  <si>
    <t>Military and Indian Lands</t>
  </si>
  <si>
    <t>Civilians on Federal Lands</t>
  </si>
  <si>
    <t>Students with Disabilities</t>
  </si>
  <si>
    <t>(2) x (3)</t>
  </si>
  <si>
    <t>Weighted FTE</t>
  </si>
  <si>
    <t>2015-16</t>
  </si>
  <si>
    <t>(WFTE x BSA x DCD)</t>
  </si>
  <si>
    <t>Cost Factor</t>
  </si>
  <si>
    <t>Enter All Adjusted ESE Riders</t>
  </si>
  <si>
    <t>(*Total FTE should equal total in Section 1, column (4) and should not include any additional FTE from Section 1.)</t>
  </si>
  <si>
    <t>Number of Students</t>
  </si>
  <si>
    <t>Administrative fees:</t>
  </si>
  <si>
    <t>Other:</t>
  </si>
  <si>
    <t>Impact Aid Student Type</t>
  </si>
  <si>
    <t>If you have more than a 75% ESE student population, please place a 1 in the following box:</t>
  </si>
  <si>
    <t>5.   Discretionary Millage Compression Allocation</t>
  </si>
  <si>
    <t>Letters in Parentheses Refer to Notes at Bottom of Worksheet:</t>
  </si>
  <si>
    <t>Less Administrative Fee (5% for up to 250 students of Un-Weighted FTE)</t>
  </si>
  <si>
    <t>Total Estimated Revenue</t>
  </si>
  <si>
    <t>Previous Charter School Payments Made</t>
  </si>
  <si>
    <t>Current month's payment amount</t>
  </si>
  <si>
    <t>This tab of the worksheet is Set up to show estimated funding based on Unweighted FTE for charter schools with ESE populations of more</t>
  </si>
  <si>
    <t>than 75% so that the proper administrative fee can be estimated. It should not be necessary to enter data on this page.</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</si>
  <si>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</si>
  <si>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</si>
  <si>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</si>
  <si>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</si>
  <si>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</si>
  <si>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</si>
  <si>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</si>
  <si>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</si>
  <si>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</si>
  <si>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</si>
  <si>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r>
      <t xml:space="preserve">Total </t>
    </r>
    <r>
      <rPr>
        <b/>
        <sz val="12"/>
        <color indexed="30"/>
        <rFont val="Calibri"/>
        <family val="2"/>
      </rPr>
      <t>*</t>
    </r>
  </si>
  <si>
    <t>Excess of Administrative Fees to be Allocated to Capital Expenditures</t>
  </si>
  <si>
    <t xml:space="preserve">District Cost Differential:   </t>
  </si>
  <si>
    <t xml:space="preserve">Base Student Allocation:   </t>
  </si>
  <si>
    <t>Oct 2014</t>
  </si>
  <si>
    <t>Feb 2015</t>
  </si>
  <si>
    <t xml:space="preserve">Total Additional FTE   </t>
  </si>
  <si>
    <t xml:space="preserve">Total Funded Weighted FTE   </t>
  </si>
  <si>
    <t xml:space="preserve">Additional Base Funds  </t>
  </si>
  <si>
    <t xml:space="preserve">Total Base Funding  </t>
  </si>
  <si>
    <t xml:space="preserve">        .748 Mills (UFTE share)</t>
  </si>
  <si>
    <t xml:space="preserve">Total Class Size Reduction Funds  </t>
  </si>
  <si>
    <t>(not including Add-On)</t>
  </si>
  <si>
    <r>
      <t xml:space="preserve">Total </t>
    </r>
    <r>
      <rPr>
        <b/>
        <sz val="12"/>
        <color indexed="30"/>
        <rFont val="Calibri"/>
        <family val="2"/>
      </rPr>
      <t xml:space="preserve">*   </t>
    </r>
  </si>
  <si>
    <t xml:space="preserve">9-12       </t>
  </si>
  <si>
    <t xml:space="preserve">4-8       </t>
  </si>
  <si>
    <t xml:space="preserve">PK - 3      </t>
  </si>
  <si>
    <t>Factors</t>
  </si>
  <si>
    <t>Average</t>
  </si>
  <si>
    <t>Impact Aide</t>
  </si>
  <si>
    <t>Exempt Property</t>
  </si>
  <si>
    <t>Revenue Estimate Worksheet: South Tech Charter Academy - 1571</t>
  </si>
  <si>
    <t>Revenue Estimate Worksheet: Ed Venture Charter School - 2521</t>
  </si>
  <si>
    <t>Revenue Estimate Worksheet: Believers Academy - 3400</t>
  </si>
  <si>
    <t>Revenue Estimate Worksheet: Western Academy Charter School - 2911</t>
  </si>
  <si>
    <t>Revenue Estimate Worksheet: Palm Beach School for Autism - 2941</t>
  </si>
  <si>
    <t>Revenue Estimate Worksheet: Imagine Schools - Chancellor Campus - 3381</t>
  </si>
  <si>
    <t>Revenue Estimate Worksheet: Glades Academy - 3382</t>
  </si>
  <si>
    <t>Revenue Estimate Worksheet: Seagull Academy for Independent Living - 3391</t>
  </si>
  <si>
    <t>Revenue Estimate Worksheet: Montessori Academy of Early Enrichment - 3394</t>
  </si>
  <si>
    <t>Revenue Estimate Worksheet: G-Star School of the Arts for Motion Pictures &amp; Television - 3396</t>
  </si>
  <si>
    <t>Revenue Estimate Worksheet: Everglades Preparatory Academy - 3398</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</si>
  <si>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</si>
  <si>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</si>
  <si>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</si>
  <si>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</si>
  <si>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</si>
  <si>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Ben Gamla Charter School - 3941</t>
  </si>
  <si>
    <t>Revenue Estimate Worksheet: Gardens School of Technology Arts - 3961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</si>
  <si>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</si>
  <si>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</si>
  <si>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</si>
  <si>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</si>
  <si>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Somerset Academy Boca Middle School - 4041</t>
  </si>
  <si>
    <t>Revenue Estimate Worksheet: Renaissance Charter School at Cypress - 4050</t>
  </si>
  <si>
    <t>Revenue Estimate Worksheet: Renaissance Charter School at Central Palm - 4051</t>
  </si>
  <si>
    <t>School District:</t>
  </si>
  <si>
    <t>District Funding</t>
  </si>
  <si>
    <t>0.748 Discretionary Local Effort</t>
  </si>
  <si>
    <t>0.748 Mills Compression</t>
  </si>
  <si>
    <t>Reading Allocation</t>
  </si>
  <si>
    <t>Instructional Materials</t>
  </si>
  <si>
    <t>Funding Per FTE</t>
  </si>
  <si>
    <t>Virtual Education Contribution Per FTE</t>
  </si>
  <si>
    <t>Total Funding Per FTE</t>
  </si>
  <si>
    <t>Total FTE</t>
  </si>
  <si>
    <t>Total Virtual Funding</t>
  </si>
  <si>
    <t>Total Virtual Funding net of Completion Factor</t>
  </si>
  <si>
    <t>Less: Administrative Fee (5% for Virtual)</t>
  </si>
  <si>
    <t>Base FEFP Funding</t>
  </si>
  <si>
    <t>District Total Unweighted FTE</t>
  </si>
  <si>
    <t>(a)</t>
  </si>
  <si>
    <t>(a) / (b)</t>
  </si>
  <si>
    <t>Estimated Completion Factor - Based on K-12 state-wide average</t>
  </si>
  <si>
    <t>Totals non-virtual schools</t>
  </si>
  <si>
    <t>Virtual schools ($5,476.28/FTE)</t>
  </si>
  <si>
    <t>Totals all schools</t>
  </si>
  <si>
    <t>School #</t>
  </si>
  <si>
    <t>Description</t>
  </si>
  <si>
    <t>1461</t>
  </si>
  <si>
    <t>1571</t>
  </si>
  <si>
    <t>2521</t>
  </si>
  <si>
    <t>2531</t>
  </si>
  <si>
    <t>2791</t>
  </si>
  <si>
    <t>2801</t>
  </si>
  <si>
    <t>2911</t>
  </si>
  <si>
    <t>2941</t>
  </si>
  <si>
    <t>3083</t>
  </si>
  <si>
    <t>3345</t>
  </si>
  <si>
    <t>3381</t>
  </si>
  <si>
    <t>3382</t>
  </si>
  <si>
    <t>3391</t>
  </si>
  <si>
    <t>3394</t>
  </si>
  <si>
    <t>3395</t>
  </si>
  <si>
    <t>3396</t>
  </si>
  <si>
    <t>3398</t>
  </si>
  <si>
    <t>3400</t>
  </si>
  <si>
    <t>3401</t>
  </si>
  <si>
    <t>3413</t>
  </si>
  <si>
    <t>3421</t>
  </si>
  <si>
    <t>3431</t>
  </si>
  <si>
    <t>3941</t>
  </si>
  <si>
    <t>3961</t>
  </si>
  <si>
    <t>3971</t>
  </si>
  <si>
    <t>4001</t>
  </si>
  <si>
    <t>Net payments</t>
  </si>
  <si>
    <t>Palm Beach County Charter Schools</t>
  </si>
  <si>
    <t>Sorted by School Name</t>
  </si>
  <si>
    <t>Dept #</t>
  </si>
  <si>
    <t>Charter School Name</t>
  </si>
  <si>
    <t>Believers Academy</t>
  </si>
  <si>
    <t>Inlet Grove Community High School</t>
  </si>
  <si>
    <t>Ben Gamla Charter School</t>
  </si>
  <si>
    <t>South Tech Charter Academy</t>
  </si>
  <si>
    <t>Ed Venture</t>
  </si>
  <si>
    <t>Potentials Charter School</t>
  </si>
  <si>
    <t>Everglades Preparatory Academy</t>
  </si>
  <si>
    <t>Western Academy Charter School</t>
  </si>
  <si>
    <t>Palm Beach School for Autism</t>
  </si>
  <si>
    <t>4020</t>
  </si>
  <si>
    <t>4061</t>
  </si>
  <si>
    <t>Imagine Schools - Chancellor Campus</t>
  </si>
  <si>
    <t>Gardens School of Technology Arts</t>
  </si>
  <si>
    <t xml:space="preserve">Glades Academy </t>
  </si>
  <si>
    <t>G-Star School of the Arts for Motion Pictures and Television</t>
  </si>
  <si>
    <t>Seagull Academy for Independent Living</t>
  </si>
  <si>
    <t>Montessori Academy of Early Enrichment</t>
  </si>
  <si>
    <t>Quantum High School</t>
  </si>
  <si>
    <t>Somerset Academy Boca</t>
  </si>
  <si>
    <t>Worthington High School</t>
  </si>
  <si>
    <t>3924</t>
  </si>
  <si>
    <t>Renaissance Charter School at WPB</t>
  </si>
  <si>
    <t>3441</t>
  </si>
  <si>
    <t>South Tech Preparatory Academy (Middle School)</t>
  </si>
  <si>
    <t>4051</t>
  </si>
  <si>
    <t>Renaissance Charter School at Central Palm</t>
  </si>
  <si>
    <t>4050</t>
  </si>
  <si>
    <t>Renaissance Charter School at Cypress</t>
  </si>
  <si>
    <t>4002</t>
  </si>
  <si>
    <t xml:space="preserve">Renaissance Charter School at Summit </t>
  </si>
  <si>
    <t>Renaissance Charter School at Wellington</t>
  </si>
  <si>
    <t>4012</t>
  </si>
  <si>
    <t xml:space="preserve">Somerset Academy Canyons Middle School </t>
  </si>
  <si>
    <t>4013</t>
  </si>
  <si>
    <t xml:space="preserve">Somerset Academy Canyons High School </t>
  </si>
  <si>
    <t>4041</t>
  </si>
  <si>
    <t xml:space="preserve">Somerset Academy Boca Middle School </t>
  </si>
  <si>
    <t>School Name</t>
  </si>
  <si>
    <t xml:space="preserve">G-Star School of the Arts </t>
  </si>
  <si>
    <t>South Tech Preparatory Academy (MS)</t>
  </si>
  <si>
    <t>School Police</t>
  </si>
  <si>
    <t>AT&amp;T</t>
  </si>
  <si>
    <t>Net</t>
  </si>
  <si>
    <t>Charter schools should contact their school district sponsor regarding eligible FTE. Please note that “Number of FTE” is NOT equivalent to number of students enrolled in these courses or programs. Please refer to footnote (a) below.</t>
  </si>
  <si>
    <t>4081</t>
  </si>
  <si>
    <t>Florida Futures Academy - North Campus</t>
  </si>
  <si>
    <t>Revenue Estimate Worksheet: Florida Futures Academy - North Campus - 4081</t>
  </si>
  <si>
    <t>State Funded Discretionary Contribution</t>
  </si>
  <si>
    <t>University Preparatory Academy</t>
  </si>
  <si>
    <t>4080</t>
  </si>
  <si>
    <t>H</t>
  </si>
  <si>
    <t>Current month's payment amount - Additional</t>
  </si>
  <si>
    <t>Previous Charter School Payments Made (July-Oct 2015 before this revised Oct revenue calculation)</t>
  </si>
  <si>
    <t>University Prep Palm Beach</t>
  </si>
  <si>
    <t>Revenue Estimate Worksheet: University Prep Palm Beach - 4080</t>
  </si>
  <si>
    <t>October 2015 FTE</t>
  </si>
  <si>
    <t>February 2016 FTE</t>
  </si>
  <si>
    <t>Remaining Estimated Revenue</t>
  </si>
  <si>
    <t>Number of Remaining Months</t>
  </si>
  <si>
    <t>Number of remaining months</t>
  </si>
  <si>
    <t xml:space="preserve">Totals per payment approval sheet  </t>
  </si>
  <si>
    <t>Adjustments</t>
  </si>
  <si>
    <t>Letters in Parentheses Refer to Notes at Bottom of Worksheet</t>
  </si>
  <si>
    <t>Revenue Estimate Worksheet: Inlet Grove Community High School - 1461</t>
  </si>
  <si>
    <t>Revenue Estimate Worksheet: All Charter Schools (Consolidated Tab)</t>
  </si>
  <si>
    <t xml:space="preserve">Total current month's FTE payment amount per Consolidated tab  </t>
  </si>
  <si>
    <t>The Learning Center at The Els Center of Excellence</t>
  </si>
  <si>
    <t>Revenue Estimate Worksheet: The Learning Center at The Els Center of Excellence - 2791</t>
  </si>
  <si>
    <t>Class Size Cat.</t>
  </si>
  <si>
    <t>Based on the 2015-16 FEFP 4th Calculation</t>
  </si>
  <si>
    <t>(a) Additional FTE includes FTE earned through Advanced Placement, International Baccalaureate, Advanced International Certificate of Education, Industry Certified Career</t>
  </si>
  <si>
    <t>"All Adjusted ESE Riders" should include only ESE Riders.</t>
  </si>
  <si>
    <t xml:space="preserve">unweighted full-time equivalent students. </t>
  </si>
  <si>
    <t xml:space="preserve">Administrative fees charged by the school district pursuant to s. 1002.33(20)(a), F.S., shall be calculated based upon 5% of available funds from the FEFP and categorical </t>
  </si>
  <si>
    <t>FEFP and categorical funding are recalculated during the year to reflect the revised number of full-time equivalent students reported during the survey periods designated</t>
  </si>
  <si>
    <t>by the Commissioner of Education.</t>
  </si>
  <si>
    <t>Revenue Estimate Worksheet: Connections Education Center of the Palm Beaches - 4100</t>
  </si>
  <si>
    <t>Pg 41/52 - 1st Calc</t>
  </si>
  <si>
    <t>Connections Education Center of the Palm Beaches</t>
  </si>
  <si>
    <t>4100</t>
  </si>
  <si>
    <t>In a letter dated 08/01/16, the school's governing board elected to voluntarily terminate the</t>
  </si>
  <si>
    <t>school's Charter effective 08/01/16.</t>
  </si>
  <si>
    <t>Revenue Estimate Worksheet: Somerset Academy Lakes - 4091</t>
  </si>
  <si>
    <t>Revenue Estimate Worksheet: Sports Leadership &amp; Management Middle School (SLAM) - 4090</t>
  </si>
  <si>
    <t>Revenue Estimate Worksheet: Virtual - 4XXX</t>
  </si>
  <si>
    <t>Sports Leadership &amp; Management MS (SLAM)</t>
  </si>
  <si>
    <t>Somerset Academy Lakes</t>
  </si>
  <si>
    <t>Sports Leadership &amp; Management (SLAM) MS</t>
  </si>
  <si>
    <t>NOTES TO ALL CHARTER SCHOOLS</t>
  </si>
  <si>
    <t>PY Final FEFP</t>
  </si>
  <si>
    <t>PY Dig C/R A/R</t>
  </si>
  <si>
    <t>PY Digital C/R</t>
  </si>
  <si>
    <t>4102</t>
  </si>
  <si>
    <t>BridgePrep Academy of PB</t>
  </si>
  <si>
    <t>Revenue Estimate Worksheet: BridgePrep Academy of PB - 4102</t>
  </si>
  <si>
    <t xml:space="preserve">Transportation </t>
  </si>
  <si>
    <t>Revenue Estimate Worksheet: Somerset Academy JFK Charter School - 3395</t>
  </si>
  <si>
    <t>Somerset Academy JFK Charter School</t>
  </si>
  <si>
    <t xml:space="preserve">(j) Funding based on student eligibility and meals provided, if participating in the National School Lunch Program. </t>
  </si>
  <si>
    <t>PY Class Size Cat.</t>
  </si>
  <si>
    <t>Admin</t>
  </si>
  <si>
    <t>Annual</t>
  </si>
  <si>
    <t>Fee %</t>
  </si>
  <si>
    <t>Revenue</t>
  </si>
  <si>
    <t>Admin Fee</t>
  </si>
  <si>
    <t>Net Revenue</t>
  </si>
  <si>
    <t>The Learning Center @ The Els Center of Excl</t>
  </si>
  <si>
    <t>Somerset Academy Charter School</t>
  </si>
  <si>
    <t>Sports Leadership Academy (SLAM)</t>
  </si>
  <si>
    <t>Connections Education Center of the PBs</t>
  </si>
  <si>
    <t>BridgePrep Academy of Palm Beach</t>
  </si>
  <si>
    <t>Consolidated tab totals</t>
  </si>
  <si>
    <t>Difference</t>
  </si>
  <si>
    <t>MS Course Recovery</t>
  </si>
  <si>
    <t>ESE</t>
  </si>
  <si>
    <t>H/P</t>
  </si>
  <si>
    <t>Sec 1 FTE</t>
  </si>
  <si>
    <t>Rev</t>
  </si>
  <si>
    <t>Fee</t>
  </si>
  <si>
    <t>Net Rev</t>
  </si>
  <si>
    <t>75% ESE</t>
  </si>
  <si>
    <t>Net Rev Per Sec 1 FTE</t>
  </si>
  <si>
    <t>Other</t>
  </si>
  <si>
    <t>Current</t>
  </si>
  <si>
    <t>Mth's Pmt</t>
  </si>
  <si>
    <t>Feb 2018</t>
  </si>
  <si>
    <t>K-12 Initiative Grant</t>
  </si>
  <si>
    <t>(e)</t>
  </si>
  <si>
    <t>(i)</t>
  </si>
  <si>
    <t>funding for which charter students may be eligible.  To calculate the administrative fee to be withheld for schools with more than 250 students, divide the school</t>
  </si>
  <si>
    <t xml:space="preserve">For high performing charter schools, administrative fees charged by the school district shall be calculated based upon 2% of available funds from the FEFP and categorical </t>
  </si>
  <si>
    <t xml:space="preserve">population into 250. Multiply that fraction times the funds available, then times 2%.  </t>
  </si>
  <si>
    <t>2018-19</t>
  </si>
  <si>
    <t>Revenue Estimate Worksheet: Sports Leadership &amp; Management (SLAM) MHS (Boca) - 4103</t>
  </si>
  <si>
    <t>Sports Leadership Arts Management (SLAM) - Boca</t>
  </si>
  <si>
    <t>SLAM Boca</t>
  </si>
  <si>
    <t>Sec 1 Rev/Fee per FTE</t>
  </si>
  <si>
    <t>4103</t>
  </si>
  <si>
    <t>Sports Leadership Arts Management (SLAM) Acdemy MHS (Boca)</t>
  </si>
  <si>
    <t xml:space="preserve"> </t>
  </si>
  <si>
    <t>FY 2016</t>
  </si>
  <si>
    <t>Survey 2</t>
  </si>
  <si>
    <t>Survey 3</t>
  </si>
  <si>
    <t>Final</t>
  </si>
  <si>
    <t>FY 2017</t>
  </si>
  <si>
    <t>FY 2018</t>
  </si>
  <si>
    <t>FY 2019</t>
  </si>
  <si>
    <t>1st month used</t>
  </si>
  <si>
    <t>Release date</t>
  </si>
  <si>
    <t>Preliminary</t>
  </si>
  <si>
    <t>Final Calculation</t>
  </si>
  <si>
    <t>Received</t>
  </si>
  <si>
    <t>Oct 2018</t>
  </si>
  <si>
    <t>Please go to the bottom of the page.</t>
  </si>
  <si>
    <t>Sorted by School Number</t>
  </si>
  <si>
    <t>---</t>
  </si>
  <si>
    <t>Revenue Estimate Worksheet: Olympus International Academy - 4030</t>
  </si>
  <si>
    <t>Revenue Estimate Worksheet: Sports Leadership &amp; Management (SLAM) Academy High School - 4111</t>
  </si>
  <si>
    <t>Projected</t>
  </si>
  <si>
    <t>Olympus International Academy</t>
  </si>
  <si>
    <t>The Learning Academy at The Els Center of Excellence</t>
  </si>
  <si>
    <t>LAN &amp; Internet</t>
  </si>
  <si>
    <t>4030</t>
  </si>
  <si>
    <t>Disallowed IDEA</t>
  </si>
  <si>
    <t>Palm Beach Preparatory Charter Academy</t>
  </si>
  <si>
    <t>Palm Beach Perparatory Charter Academy</t>
  </si>
  <si>
    <t>SLAM HS Palm Beach</t>
  </si>
  <si>
    <t>Revenue Estimate Worksheet: Palm Beach Preparatory Charter Academy - 3971</t>
  </si>
  <si>
    <t>FY 2020</t>
  </si>
  <si>
    <t>FL AG - FY18</t>
  </si>
  <si>
    <t>WPB-</t>
  </si>
  <si>
    <t>FLDOE Report</t>
  </si>
  <si>
    <t>ESE Guar</t>
  </si>
  <si>
    <t>Transp</t>
  </si>
  <si>
    <t>Revenue Estimate Worksheet: The Learning Academy at The Els Center of Excellence - 3083</t>
  </si>
  <si>
    <t>Franklin Academy - Boynton Beach</t>
  </si>
  <si>
    <t>Revenue Estimate Worksheet: Franklin Academy - Boynton Beach - 4020</t>
  </si>
  <si>
    <t>Franklin Academy - Palm Beach Gardens</t>
  </si>
  <si>
    <t>Revenue Estimate Worksheet: Franklin Academy - Palm Beach Gardens - 4061</t>
  </si>
  <si>
    <t>Release/Requested date</t>
  </si>
  <si>
    <t>SR-0067373</t>
  </si>
  <si>
    <t>SR-0067374</t>
  </si>
  <si>
    <t>SR-0085635</t>
  </si>
  <si>
    <t>SR0085639</t>
  </si>
  <si>
    <t>SR-0089096</t>
  </si>
  <si>
    <t>SR-0089100</t>
  </si>
  <si>
    <t>(k)</t>
  </si>
  <si>
    <t>Somerset Academy Wellington</t>
  </si>
  <si>
    <t>Revenue Estimate Worksheet: Somerset Academy Wellington - 4031</t>
  </si>
  <si>
    <t>PY Safe Schl Alloc</t>
  </si>
  <si>
    <t>FY 2021</t>
  </si>
  <si>
    <t>WPB-229862</t>
  </si>
  <si>
    <t>Service Request #</t>
  </si>
  <si>
    <t>SWA Fees</t>
  </si>
  <si>
    <t>SR-0125054</t>
  </si>
  <si>
    <t>SR-0125055</t>
  </si>
  <si>
    <t>SR-0125077</t>
  </si>
  <si>
    <t>SR-0125081</t>
  </si>
  <si>
    <t>FL AG - FY20</t>
  </si>
  <si>
    <t>FY21 TSIA</t>
  </si>
  <si>
    <t>WPB-241201</t>
  </si>
  <si>
    <t>FY 2022</t>
  </si>
  <si>
    <t>WPB-242343</t>
  </si>
  <si>
    <t>SR-0156328</t>
  </si>
  <si>
    <t>01/07/2022, 09:18:46</t>
  </si>
  <si>
    <t>01/07/2022, 08:49:15</t>
  </si>
  <si>
    <t>FY21 CSTAG Training</t>
  </si>
  <si>
    <t>TSIA deducted 07/21</t>
  </si>
  <si>
    <t>Unused FY21 TSIA Funds</t>
  </si>
  <si>
    <t>Unused FY21 TSIA add'l adj</t>
  </si>
  <si>
    <t>WPB-245095</t>
  </si>
  <si>
    <t>SR-0171396</t>
  </si>
  <si>
    <t>SR-0171397</t>
  </si>
  <si>
    <t>05/03/2022, 12:14:36</t>
  </si>
  <si>
    <t>05/03/2022, 12:16:24</t>
  </si>
  <si>
    <t>WPB-248085</t>
  </si>
  <si>
    <t>WPB-248086</t>
  </si>
  <si>
    <t>WPB-248087</t>
  </si>
  <si>
    <t>Ends June 2022</t>
  </si>
  <si>
    <t>WPB-249234</t>
  </si>
  <si>
    <t>TSIA deducted 02/22</t>
  </si>
  <si>
    <t>Revenue Estimate Worksheet: Somerset Academy Wellington HS - 4131</t>
  </si>
  <si>
    <t>4131</t>
  </si>
  <si>
    <t>Somerset Academy Wellington HS</t>
  </si>
  <si>
    <t>WPB-255421</t>
  </si>
  <si>
    <t>Palm Beach Maritime Academy Secondary</t>
  </si>
  <si>
    <t>Palm Beach Maritime Academy Elementary</t>
  </si>
  <si>
    <t>FY 2023</t>
  </si>
  <si>
    <t>12/20/22,  09:31:04</t>
  </si>
  <si>
    <t>12/20/22,  09:37:14</t>
  </si>
  <si>
    <t>SR-0199712</t>
  </si>
  <si>
    <t>SR-0199714</t>
  </si>
  <si>
    <t>Rev - TSIA</t>
  </si>
  <si>
    <t>W/O TSIA</t>
  </si>
  <si>
    <t>Revenue Estimate Worksheet: Career Academy of the Palm Beaches - 3345</t>
  </si>
  <si>
    <t>Revenue Estimate Worksheet: Palm Beach Maritime Academy Secondary - 3924</t>
  </si>
  <si>
    <t>Revenue Estimate Worksheet: Palm Beach Maritime Academy Elementary - 2801</t>
  </si>
  <si>
    <t>Career Academy of the Palm Beaches</t>
  </si>
  <si>
    <t>The Learning Academy @ The Els Center of Excl</t>
  </si>
  <si>
    <t>WPB-260215</t>
  </si>
  <si>
    <t>04/06/23,  07:27:58</t>
  </si>
  <si>
    <t>04/06/23,  07:25:38</t>
  </si>
  <si>
    <t>SR-0210986</t>
  </si>
  <si>
    <t>SR-0210987</t>
  </si>
  <si>
    <t>WPB-264049</t>
  </si>
  <si>
    <t xml:space="preserve">Education (CAPE), Early High School Graduation and the small district ESE Supplement,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</si>
  <si>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</si>
  <si>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</si>
  <si>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</si>
  <si>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</si>
  <si>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</si>
  <si>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reconnended not to be recalculated with fluctuations in student enrollment later in the year. </t>
  </si>
  <si>
    <t>(g) This allocation will be frozen as of the 2023-24 FEFP Conference Calculation and will not be recalculated throughout the year. Charter school allocations are</t>
  </si>
  <si>
    <t>(h) Numbers entered here will be multiplied by the district level transportation funding per rider. "All Adjusted Fundable Riders" should include both basic and ESE Riders.</t>
  </si>
  <si>
    <t xml:space="preserve">All Adjusted Fundable Riders  </t>
  </si>
  <si>
    <t xml:space="preserve">All Adjusted ESE Riders (Member Cat L)  </t>
  </si>
  <si>
    <t xml:space="preserve">(i) The Federally Connected Student Supplement provides additional funding for students on federal lands that receive Section 8003 impact aide pursuant to s. 1011.62(13), F.S. </t>
  </si>
  <si>
    <t xml:space="preserve">allocated by the Legislature for teacher compensation. </t>
  </si>
  <si>
    <t xml:space="preserve">(k) Consistent with s. 1002.33(20)(a)3, F.S., a school's sponsor may not charge or withhold any administrative fee against a charter school for any funds specfically </t>
  </si>
  <si>
    <t>(l) Consistent with s. 1002.33(20)(a), F.S., for charter schools with a population of 75% or more ESE students, the administrative fee shall be calculated based on</t>
  </si>
  <si>
    <t xml:space="preserve">multiplied by the greater of $1,951.26 or the district's prior year ESE Guaranteed funds per-FTE student. </t>
  </si>
  <si>
    <t xml:space="preserve">(m) Consistent with s. 1011.62(8), F.S., the calculation of the ESE Guaranteed Allocation calculation is based on the school's basic ESE FTE, less program 113 gifted FTE, </t>
  </si>
  <si>
    <t xml:space="preserve">population into 250. Multiply that fraction times the funds available, then times 5%.  For charter schools within a charter school system that meets the requirements </t>
  </si>
  <si>
    <t>in s. 1002.33(20)(a)2.a.(II), F.S., do the same calculation based on up to and including 500 students.</t>
  </si>
  <si>
    <t xml:space="preserve">Small District Factor:   </t>
  </si>
  <si>
    <t>Small District Factor:</t>
  </si>
  <si>
    <t xml:space="preserve">Comparable Wage Factor:   </t>
  </si>
  <si>
    <t xml:space="preserve">Comparable Wage Factor: </t>
  </si>
  <si>
    <t>(WFTE x BSA x CWF x SDF)</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</si>
  <si>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</si>
  <si>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</si>
  <si>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</si>
  <si>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(g) (k)</t>
  </si>
  <si>
    <t>Total Salary Increase</t>
  </si>
  <si>
    <t xml:space="preserve">          UFTE share.                          CS UFTE: </t>
  </si>
  <si>
    <t xml:space="preserve">          WFTE share.                       CS WFTE: </t>
  </si>
  <si>
    <r>
      <t xml:space="preserve">         </t>
    </r>
    <r>
      <rPr>
        <b/>
        <sz val="11"/>
        <rFont val="Calibri"/>
        <family val="2"/>
        <scheme val="minor"/>
      </rPr>
      <t xml:space="preserve"> UFTE share. </t>
    </r>
    <r>
      <rPr>
        <b/>
        <sz val="12"/>
        <rFont val="Calibri"/>
        <family val="2"/>
        <scheme val="minor"/>
      </rPr>
      <t xml:space="preserve">                           CS UFTE: </t>
    </r>
  </si>
  <si>
    <r>
      <t xml:space="preserve">         </t>
    </r>
    <r>
      <rPr>
        <b/>
        <sz val="11"/>
        <rFont val="Calibri"/>
        <family val="2"/>
        <scheme val="minor"/>
      </rPr>
      <t xml:space="preserve"> school's UFTE share. </t>
    </r>
    <r>
      <rPr>
        <b/>
        <sz val="12"/>
        <rFont val="Calibri"/>
        <family val="2"/>
        <scheme val="minor"/>
      </rPr>
      <t xml:space="preserve">                    CS UFTE: </t>
    </r>
  </si>
  <si>
    <t xml:space="preserve">          school's UFTE share.                  CS UFTE: </t>
  </si>
  <si>
    <t xml:space="preserve">          school's WFTE share.               CS WFTE: </t>
  </si>
  <si>
    <t xml:space="preserve">     /        District's total UFTE:</t>
  </si>
  <si>
    <t xml:space="preserve">     /        District's total WFTE:</t>
  </si>
  <si>
    <t xml:space="preserve"> /  District's total non-scholarship UFTE:</t>
  </si>
  <si>
    <t>/ by district's total non-virtual UFTE:</t>
  </si>
  <si>
    <r>
      <t xml:space="preserve">         </t>
    </r>
    <r>
      <rPr>
        <b/>
        <sz val="11"/>
        <rFont val="Calibri"/>
        <family val="2"/>
        <scheme val="minor"/>
      </rPr>
      <t xml:space="preserve"> school's UFTE share. </t>
    </r>
    <r>
      <rPr>
        <b/>
        <sz val="12"/>
        <rFont val="Calibri"/>
        <family val="2"/>
        <scheme val="minor"/>
      </rPr>
      <t xml:space="preserve">             CS UFTE: </t>
    </r>
  </si>
  <si>
    <t xml:space="preserve">    ÷                    District's total UFTE</t>
  </si>
  <si>
    <t xml:space="preserve">    ÷                    District's total WFTE</t>
  </si>
  <si>
    <t xml:space="preserve">    ÷     District's total non-scholarship UFTE    </t>
  </si>
  <si>
    <t xml:space="preserve">               ÷                  District's total non-virtual UFTE  </t>
  </si>
  <si>
    <t xml:space="preserve">÷   Dististict's total non-scholarship/virtual UFTE  </t>
  </si>
  <si>
    <r>
      <t xml:space="preserve">         </t>
    </r>
    <r>
      <rPr>
        <b/>
        <sz val="11"/>
        <rFont val="Calibri"/>
        <family val="2"/>
        <scheme val="minor"/>
      </rPr>
      <t xml:space="preserve"> obtain school's UFTE share. </t>
    </r>
    <r>
      <rPr>
        <b/>
        <sz val="12"/>
        <rFont val="Calibri"/>
        <family val="2"/>
        <scheme val="minor"/>
      </rPr>
      <t xml:space="preserve">         CS UFTE: </t>
    </r>
  </si>
  <si>
    <t>/ Dist total non-scholarship/virtual UFTE:</t>
  </si>
  <si>
    <t>(f)</t>
  </si>
  <si>
    <t>8.   Discretionary Local Effort (WFTE share)</t>
  </si>
  <si>
    <t>9.   Proration to Funds Available (WFTE share)</t>
  </si>
  <si>
    <t>10.  Class Size Reduction Funds:</t>
  </si>
  <si>
    <r>
      <rPr>
        <b/>
        <sz val="12"/>
        <rFont val="Calibri"/>
        <family val="2"/>
      </rPr>
      <t xml:space="preserve">  X  </t>
    </r>
    <r>
      <rPr>
        <b/>
        <u/>
        <sz val="12"/>
        <rFont val="Calibri"/>
        <family val="2"/>
      </rPr>
      <t>CWF</t>
    </r>
    <r>
      <rPr>
        <b/>
        <sz val="12"/>
        <rFont val="Calibri"/>
        <family val="2"/>
      </rPr>
      <t xml:space="preserve">  X</t>
    </r>
  </si>
  <si>
    <r>
      <t xml:space="preserve">  X  </t>
    </r>
    <r>
      <rPr>
        <b/>
        <u/>
        <sz val="12"/>
        <rFont val="Calibri"/>
        <family val="2"/>
      </rPr>
      <t>CWF</t>
    </r>
    <r>
      <rPr>
        <b/>
        <sz val="12"/>
        <rFont val="Calibri"/>
        <family val="2"/>
      </rPr>
      <t xml:space="preserve">  X</t>
    </r>
  </si>
  <si>
    <r>
      <rPr>
        <b/>
        <sz val="12"/>
        <rFont val="Calibri"/>
        <family val="2"/>
      </rPr>
      <t>X             CWF</t>
    </r>
    <r>
      <rPr>
        <b/>
        <sz val="12"/>
        <rFont val="Calibri"/>
        <family val="2"/>
      </rPr>
      <t xml:space="preserve">            X</t>
    </r>
  </si>
  <si>
    <t>X             CWF            X</t>
  </si>
  <si>
    <t>11.  Student Transportation</t>
  </si>
  <si>
    <t>12.  Federally Connected Student Supplement</t>
  </si>
  <si>
    <t>12.  Federally Connected Student Supplement (i)</t>
  </si>
  <si>
    <t>13.  Food Service Allocation</t>
  </si>
  <si>
    <t>1A.   2023-24 FEFP State and Local Funding</t>
  </si>
  <si>
    <t>14. Total Less Total Salary Increase - Item 1B. (for administrative fee calculation)</t>
  </si>
  <si>
    <t>14A.  Funding for the purpose of calculating the administrative fee for ESE charter schools.</t>
  </si>
  <si>
    <t>Avaya Maintenance</t>
  </si>
  <si>
    <t>WPB-268356</t>
  </si>
  <si>
    <t>PK-3</t>
  </si>
  <si>
    <t>Grade</t>
  </si>
  <si>
    <t>Matrix</t>
  </si>
  <si>
    <t>Guarantee</t>
  </si>
  <si>
    <t>2.   ESE Guaranteed Allocation:</t>
  </si>
  <si>
    <t>Level</t>
  </si>
  <si>
    <t>Per Student</t>
  </si>
  <si>
    <t/>
  </si>
  <si>
    <t>Additional Funding from the ESE Guaranteed Allocation. Enter the FTE from 111,112 and 113 by grade and matrix level.  Students who do not have a matrix level should be considered 251.  This total should equal all FTE from programs 111, 112 and 113 above.</t>
  </si>
  <si>
    <t>Total ESE Guarantee</t>
  </si>
  <si>
    <t>Grade Level</t>
  </si>
  <si>
    <t>3A.   Divide school's Unweighted FTE (UFTE) total computed in Section 1, cell E30 above by the district's total UFTE to obtain school's</t>
  </si>
  <si>
    <t>3B.   Divide school's Weighted FTE (WFTE) total computed in Section 1, cell H30 above by the district's total WFTE to obtain school's</t>
  </si>
  <si>
    <t>3C.   Divide school's Unweighted FTE (UFTE) total computed in Section 1, cell E30 above by the District's total non-scholarship UFTE to obtain school's</t>
  </si>
  <si>
    <t>3D.   Divide school's Unweighted FTE (UFTE) total computed in Section 1, cell E30 above by the District's total non-virtual UFTE to obtain school's</t>
  </si>
  <si>
    <t xml:space="preserve">3E.   Divide school's Unweighted FTE (UFTE) total computed in Section 1, cell E30 above by the district's total non-scholarship/virtual UFTE to obtain </t>
  </si>
  <si>
    <t>4.   Educational Enrichment Share (Non-virtual UFTE share)</t>
  </si>
  <si>
    <t>6.   Safe Schools Allocation (Non-scholarship/virtual UFTE share)</t>
  </si>
  <si>
    <r>
      <t xml:space="preserve">7.   </t>
    </r>
    <r>
      <rPr>
        <b/>
        <sz val="11"/>
        <rFont val="Calibri"/>
        <family val="2"/>
        <scheme val="minor"/>
      </rPr>
      <t>Mental Health Assistance Allocation (Non-scholarship UFTE share)</t>
    </r>
  </si>
  <si>
    <t>3A.   Divide school's Unweighted FTE (UFTE) total computed in Section 1, cell E30 above by the District's total UFTE to obtain</t>
  </si>
  <si>
    <t>3B.   Divide school's Weighted FTE (WFTE) total computed in Section 1, cell H30 above by the District's total WFTE to obtain</t>
  </si>
  <si>
    <t>3C.   Divide school's Unweighted FTE (UFTE) total computed in Section 1, cell E30 above by the District's total non-scholarship UFTE to obtain</t>
  </si>
  <si>
    <t>3D.   Divide school's Unweighted FTE (UFTE) total computed in Section 1, cell E30 above by the District's total non-virtual UFTE to obtain</t>
  </si>
  <si>
    <t>3E.   Divide school's Unweighted FTE (UFTE) total computed in Section 1, cell E30 above by the District's total non-scholarship/virtual UFTE to</t>
  </si>
  <si>
    <t>5.   Discretionary Millage Compression Allocation (UFTE share)</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</si>
  <si>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</si>
  <si>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</si>
  <si>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</si>
  <si>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</si>
  <si>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(h)  Numbers entered here will be multiplied by the district level transportation funding per rider. "All Adjusted Fundable Riders" should include both basic and ESE Riders. "All Adjusted ESE Riders" should include only ESE Riders.</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</si>
  <si>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</si>
  <si>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</si>
  <si>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</si>
  <si>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</si>
  <si>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FEFP and categorical funding are recalculated during the year to reflect the revised number of full-time equivalent students reported during the survey periods designated by the Commissioner of Education.</t>
  </si>
  <si>
    <t>FY 2024</t>
  </si>
  <si>
    <t>WPB-271562</t>
  </si>
  <si>
    <t>Sep Teacher Supplies Retract</t>
  </si>
  <si>
    <t>WPB- 274470</t>
  </si>
  <si>
    <t>July</t>
  </si>
  <si>
    <t>August</t>
  </si>
  <si>
    <t>Sept</t>
  </si>
  <si>
    <t>Oct</t>
  </si>
  <si>
    <t>Nov</t>
  </si>
  <si>
    <t>Dec</t>
  </si>
  <si>
    <t>Jan</t>
  </si>
  <si>
    <t>Feb</t>
  </si>
  <si>
    <t>March</t>
  </si>
  <si>
    <t>April</t>
  </si>
  <si>
    <t>May</t>
  </si>
  <si>
    <t>June</t>
  </si>
  <si>
    <t>rounding diff</t>
  </si>
  <si>
    <t>Payments excluding current month</t>
  </si>
  <si>
    <t>Net Revenue - Previous Pmts</t>
  </si>
  <si>
    <t>Calculated Current Payment</t>
  </si>
  <si>
    <t>Actual Current Payment</t>
  </si>
  <si>
    <t>Cumulative Payments</t>
  </si>
  <si>
    <t>SR-0243113</t>
  </si>
  <si>
    <t>10.  Educational Enrollment Stabilization Program (UFTE Share)</t>
  </si>
  <si>
    <t>11.  Class Size Reduction Funds:</t>
  </si>
  <si>
    <t>12.  Student Transportation</t>
  </si>
  <si>
    <t>13.  Federally Connected Student Supplement</t>
  </si>
  <si>
    <t>13.  Federally Connected Student Supplement (i)</t>
  </si>
  <si>
    <t>15.  Funding for the purpose of calculating the administrative fee for ESE charter schools.</t>
  </si>
  <si>
    <t>15. Total Funding for Calculating the Administrative fee of Charters with More Than 75% ESE Students.</t>
  </si>
  <si>
    <t>15  Funding for the purpose of calculating the administrative fee for ESE charter schools.</t>
  </si>
  <si>
    <t>12.  Food Service Allocation</t>
  </si>
  <si>
    <t>Monday, 03/11/24</t>
  </si>
  <si>
    <t>Tue, 04/02/24</t>
  </si>
  <si>
    <t>Apr 2024</t>
  </si>
  <si>
    <t>SR-0243112</t>
  </si>
  <si>
    <t>SR-0251464</t>
  </si>
  <si>
    <t>SR-0251467</t>
  </si>
  <si>
    <t>WPB-XXX</t>
  </si>
  <si>
    <t>*Use this for each tab in worksheet, current month is excluded for  calc.</t>
  </si>
  <si>
    <t>June 2024</t>
  </si>
  <si>
    <t>2024-25</t>
  </si>
  <si>
    <t>FY 2025</t>
  </si>
  <si>
    <t>Maintenance Portion (5.59% of Base Funding)</t>
  </si>
  <si>
    <t>Maintenance Portion (5.59% of Conference Funding)</t>
  </si>
  <si>
    <t>FEFP Adj</t>
  </si>
  <si>
    <t>Growth Portion (1.07% of Base Funding)</t>
  </si>
  <si>
    <t>Growth Portion (1.07% of Conference Funding)</t>
  </si>
  <si>
    <t>Oct 2024</t>
  </si>
  <si>
    <t>Feb 2025</t>
  </si>
  <si>
    <t>Revenue Estimate Worksheet: The Learning Center Highschool</t>
  </si>
  <si>
    <t>0040</t>
  </si>
  <si>
    <t>0100</t>
  </si>
  <si>
    <t>Revenue Estimate Worksheet: Palm Beach Preparatory Middle School 0040</t>
  </si>
  <si>
    <t>Palm Beach Preparatory Middle School</t>
  </si>
  <si>
    <t>The Learning Center Highschool</t>
  </si>
  <si>
    <t>PALM BEACH PREPARATORY ACADEMY MS</t>
  </si>
  <si>
    <t>THE LEARNING CENTER HS</t>
  </si>
  <si>
    <t>The Learning Center High School</t>
  </si>
  <si>
    <t>Amounts are split out here for informative purposes and for the purposes of providing a total that may be used for calculating the administrative fee.</t>
  </si>
  <si>
    <t>Revenue Estimate Worksheet: Bodwell Academy - 2531</t>
  </si>
  <si>
    <t>WPB</t>
  </si>
  <si>
    <t>Bodwell Academy</t>
  </si>
  <si>
    <t>*Revenue related to first two payments to 3391 Seagull Academy</t>
  </si>
  <si>
    <t>Ties to Cummulative Payment Tabs Column D</t>
  </si>
  <si>
    <t xml:space="preserve">PY Final FEFP </t>
  </si>
  <si>
    <t>December</t>
  </si>
  <si>
    <t>SR-0284903</t>
  </si>
  <si>
    <t>Friday, 01/04/25</t>
  </si>
  <si>
    <t>SR-0283904</t>
  </si>
  <si>
    <t>WPB-292889</t>
  </si>
  <si>
    <t>WPB-292383</t>
  </si>
  <si>
    <t>WPB-292475</t>
  </si>
  <si>
    <t>f</t>
  </si>
  <si>
    <t xml:space="preserve"> Feb 2025</t>
  </si>
  <si>
    <t>WPB-295674</t>
  </si>
  <si>
    <t>WPB- 297231</t>
  </si>
  <si>
    <t>February</t>
  </si>
  <si>
    <t>WPB-297918</t>
  </si>
  <si>
    <t>WPB-298449</t>
  </si>
  <si>
    <t>WPB-298447</t>
  </si>
  <si>
    <t>June 2025</t>
  </si>
  <si>
    <t>WPB-300791</t>
  </si>
  <si>
    <t>FTE June 2025</t>
  </si>
  <si>
    <t>FY 25 Final Payment</t>
  </si>
  <si>
    <r>
      <t xml:space="preserve">Final </t>
    </r>
    <r>
      <rPr>
        <b/>
        <sz val="10"/>
        <color indexed="12"/>
        <rFont val="Calibri"/>
        <family val="2"/>
      </rPr>
      <t xml:space="preserve">2025 - </t>
    </r>
    <r>
      <rPr>
        <b/>
        <sz val="10"/>
        <rFont val="Calibri"/>
        <family val="2"/>
      </rPr>
      <t xml:space="preserve">FY </t>
    </r>
    <r>
      <rPr>
        <b/>
        <sz val="10"/>
        <color indexed="12"/>
        <rFont val="Calibri"/>
        <family val="2"/>
      </rPr>
      <t xml:space="preserve">2025 </t>
    </r>
    <r>
      <rPr>
        <b/>
        <sz val="10"/>
        <rFont val="Calibri"/>
        <family val="2"/>
      </rPr>
      <t>Charter School FTE Payment</t>
    </r>
  </si>
  <si>
    <t>1. The FDOE released the Final FY 2024 Survey 4 FTE Data on 09/30/2025. The FTE data in that report is used to compile these adjustments. FEFP adjustments will be used in the November 2025 FEFP payment.</t>
  </si>
  <si>
    <t>Stand Alone Clawback</t>
  </si>
  <si>
    <t>Ties to PY Final FEFP - 01-2025-12 FEFP CCS Pmt Calc</t>
  </si>
  <si>
    <t>1A.   2024-25 FEFP State and Local Funding</t>
  </si>
  <si>
    <t>Based on the FLDOE 2024-25 Final Revenue Calculation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</si>
</sst>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000"/>
    <numFmt numFmtId="168" formatCode="0.000"/>
    <numFmt numFmtId="169" formatCode="0.0000"/>
    <numFmt numFmtId="170" formatCode="_-&quot;$&quot;* #,##0_-;\-&quot;$&quot;* #,##0_-;_-&quot;$&quot;* &quot;-&quot;??_-;_-@_-"/>
    <numFmt numFmtId="171" formatCode="0."/>
    <numFmt numFmtId="172" formatCode="#,##0.0000\ \ \ _);\(#,##0.0000\)"/>
    <numFmt numFmtId="173" formatCode="_(* #,##0.0000_);_(* \(#,##0.0000\);_(* &quot;-&quot;????_);_(@_)"/>
    <numFmt numFmtId="174" formatCode="#,##0.0000\ \ \ \ \ \ \ \ \ \ _);\(#,##0.0000\ \ \ \ \ \ \ \ \ \ \)"/>
    <numFmt numFmtId="175" formatCode="#,##0.00\ \ \ \ _);\(#,##0.00\)"/>
    <numFmt numFmtId="176" formatCode="#,##0._);\(#,##0.\)"/>
    <numFmt numFmtId="177" formatCode="#,##0;[Red]\(#,##0\)"/>
    <numFmt numFmtId="178" formatCode="mm/dd/yy;@"/>
    <numFmt numFmtId="179" formatCode="ddd\,\ mm/dd/yy;@"/>
    <numFmt numFmtId="180" formatCode="mmm\ yyyy"/>
  </numFmts>
  <fonts count="7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Calibri"/>
      <family val="2"/>
    </font>
    <font>
      <b/>
      <i/>
      <sz val="12"/>
      <name val="Calibri"/>
      <family val="2"/>
    </font>
    <font>
      <b/>
      <u/>
      <sz val="12"/>
      <name val="Calibri"/>
      <family val="2"/>
    </font>
    <font>
      <b/>
      <sz val="12"/>
      <color indexed="30"/>
      <name val="Calibri"/>
      <family val="2"/>
    </font>
    <font>
      <b/>
      <sz val="10"/>
      <name val="Calibri"/>
      <family val="2"/>
    </font>
    <font>
      <b/>
      <sz val="8"/>
      <name val="Arial"/>
      <family val="2"/>
    </font>
    <font>
      <b/>
      <sz val="10"/>
      <color indexed="12"/>
      <name val="Calibri"/>
      <family val="2"/>
    </font>
    <font>
      <sz val="11"/>
      <color theme="1"/>
      <name val="Calibri"/>
      <family val="2"/>
      <scheme val="minor"/>
    </font>
    <font>
      <b/>
      <sz val="16"/>
      <name val="Calibri"/>
      <family val="2"/>
      <scheme val="minor"/>
    </font>
    <font>
      <b/>
      <sz val="12"/>
      <name val="Calibri"/>
      <family val="2"/>
      <scheme val="minor"/>
    </font>
    <font>
      <b/>
      <sz val="12"/>
      <color indexed="12"/>
      <name val="Calibri"/>
      <family val="2"/>
      <scheme val="minor"/>
    </font>
    <font>
      <sz val="12"/>
      <name val="Calibri"/>
      <family val="2"/>
      <scheme val="minor"/>
    </font>
    <font>
      <sz val="10"/>
      <name val="Calibri"/>
      <family val="2"/>
      <scheme val="minor"/>
    </font>
    <font>
      <b/>
      <sz val="10"/>
      <name val="Calibri"/>
      <family val="2"/>
      <scheme val="minor"/>
    </font>
    <font>
      <b/>
      <sz val="12"/>
      <color rgb="FF00B050"/>
      <name val="Calibri"/>
      <family val="2"/>
      <scheme val="minor"/>
    </font>
    <font>
      <b/>
      <sz val="12"/>
      <color rgb="FFFF0000"/>
      <name val="Calibri"/>
      <family val="2"/>
      <scheme val="minor"/>
    </font>
    <font>
      <b/>
      <sz val="12"/>
      <color indexed="10"/>
      <name val="Calibri"/>
      <family val="2"/>
      <scheme val="minor"/>
    </font>
    <font>
      <b/>
      <sz val="12"/>
      <color rgb="FF0000FF"/>
      <name val="Calibri"/>
      <family val="2"/>
      <scheme val="minor"/>
    </font>
    <font>
      <b/>
      <u/>
      <sz val="12"/>
      <name val="Calibri"/>
      <family val="2"/>
      <scheme val="minor"/>
    </font>
    <font>
      <i/>
      <sz val="12"/>
      <name val="Calibri"/>
      <family val="2"/>
      <scheme val="minor"/>
    </font>
    <font>
      <b/>
      <sz val="12"/>
      <color theme="0"/>
      <name val="Calibri"/>
      <family val="2"/>
      <scheme val="minor"/>
    </font>
    <font>
      <sz val="12"/>
      <color rgb="FF0000FF"/>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rgb="FF0000FF"/>
      <name val="Calibri"/>
      <family val="2"/>
      <scheme val="minor"/>
    </font>
    <font>
      <sz val="10"/>
      <color rgb="FF0000FF"/>
      <name val="Calibri"/>
      <family val="2"/>
      <scheme val="minor"/>
    </font>
    <font>
      <b/>
      <i/>
      <sz val="10"/>
      <name val="Calibri"/>
      <family val="2"/>
      <scheme val="minor"/>
    </font>
    <font>
      <b/>
      <sz val="10"/>
      <color rgb="FFFF0000"/>
      <name val="Calibri"/>
      <family val="2"/>
      <scheme val="minor"/>
    </font>
    <font>
      <b/>
      <sz val="8"/>
      <color rgb="FFFFFF00"/>
      <name val="Arial"/>
      <family val="2"/>
    </font>
    <font>
      <b/>
      <u/>
      <sz val="10"/>
      <name val="Calibri"/>
      <family val="2"/>
      <scheme val="minor"/>
    </font>
    <font>
      <sz val="10"/>
      <color rgb="FFFFFF00"/>
      <name val="Calibri"/>
      <family val="2"/>
      <scheme val="minor"/>
    </font>
    <font>
      <b/>
      <sz val="11"/>
      <name val="Calibri"/>
      <family val="2"/>
      <scheme val="minor"/>
    </font>
    <font>
      <b/>
      <sz val="11"/>
      <color indexed="12"/>
      <name val="Calibri"/>
      <family val="2"/>
      <scheme val="minor"/>
    </font>
    <font>
      <i/>
      <sz val="10"/>
      <name val="Calibri"/>
      <family val="2"/>
      <scheme val="minor"/>
    </font>
    <font>
      <sz val="8"/>
      <color rgb="FFFF0000"/>
      <name val="Calibri"/>
      <family val="2"/>
      <scheme val="minor"/>
    </font>
    <font>
      <sz val="8"/>
      <color indexed="10"/>
      <name val="Calibri"/>
      <family val="2"/>
      <scheme val="minor"/>
    </font>
    <font>
      <b/>
      <sz val="8"/>
      <name val="Calibri"/>
      <family val="2"/>
      <scheme val="minor"/>
    </font>
    <font>
      <b/>
      <sz val="9"/>
      <name val="Calibri"/>
      <family val="2"/>
      <scheme val="minor"/>
    </font>
    <font>
      <sz val="12"/>
      <color rgb="FFFF0000"/>
      <name val="Calibri"/>
      <family val="2"/>
      <scheme val="minor"/>
    </font>
    <font>
      <sz val="12"/>
      <color indexed="8"/>
      <name val="Calibri"/>
      <family val="2"/>
      <scheme val="minor"/>
    </font>
    <font>
      <b/>
      <sz val="12"/>
      <color indexed="8"/>
      <name val="Calibri"/>
      <family val="2"/>
      <scheme val="minor"/>
    </font>
    <font>
      <b/>
      <sz val="8"/>
      <color rgb="FFFF0000"/>
      <name val="Calibri"/>
      <family val="2"/>
      <scheme val="minor"/>
    </font>
    <font>
      <b/>
      <sz val="10"/>
      <name val="Times New Roman"/>
      <family val="1"/>
    </font>
    <font>
      <b/>
      <u/>
      <sz val="10"/>
      <name val="Times New Roman"/>
      <family val="1"/>
    </font>
    <font>
      <b/>
      <i/>
      <sz val="10"/>
      <name val="Times New Roman"/>
      <family val="1"/>
    </font>
    <font>
      <b/>
      <sz val="11"/>
      <color theme="1"/>
      <name val="Calibri"/>
      <family val="2"/>
      <scheme val="minor"/>
    </font>
    <font>
      <sz val="10"/>
      <color theme="1"/>
      <name val="Arial"/>
      <family val="2"/>
    </font>
    <font>
      <b/>
      <sz val="10"/>
      <name val="Arial"/>
      <family val="2"/>
    </font>
    <font>
      <b/>
      <sz val="10"/>
      <color theme="1"/>
      <name val="Arial"/>
      <family val="2"/>
    </font>
    <font>
      <sz val="10"/>
      <color rgb="FFFF0000"/>
      <name val="Arial"/>
      <family val="2"/>
    </font>
    <font>
      <b/>
      <sz val="11"/>
      <color rgb="FFFF0000"/>
      <name val="Calibri"/>
      <family val="2"/>
      <scheme val="minor"/>
    </font>
    <font>
      <sz val="11"/>
      <color rgb="FFFF0000"/>
      <name val="Calibri"/>
      <family val="2"/>
      <scheme val="minor"/>
    </font>
    <font>
      <sz val="10"/>
      <color rgb="FFFF0000"/>
      <name val="Arial"/>
      <family val="2"/>
    </font>
    <font>
      <b/>
      <sz val="10"/>
      <color rgb="FFFF0000"/>
      <name val="Arial"/>
      <family val="2"/>
    </font>
    <font>
      <sz val="10"/>
      <color rgb="FFFF0000"/>
      <name val="Calibri"/>
      <family val="2"/>
      <scheme val="minor"/>
    </font>
  </fonts>
  <fills count="19">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66"/>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rgb="FF99FFCC"/>
        <bgColor indexed="64"/>
      </patternFill>
    </fill>
    <fill>
      <patternFill patternType="solid">
        <fgColor rgb="FF99CCFF"/>
        <bgColor indexed="64"/>
      </patternFill>
    </fill>
    <fill>
      <patternFill patternType="solid">
        <fgColor rgb="FFFF9999"/>
        <bgColor indexed="64"/>
      </patternFill>
    </fill>
    <fill>
      <patternFill patternType="solid">
        <fgColor theme="1"/>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s>
  <borders count="28">
    <border>
      <left/>
      <right/>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14">
    <xf numFmtId="0" fontId="0" fillId="0" borderId="0"/>
    <xf numFmtId="43" fontId="12" fillId="0" borderId="0" applyFont="0" applyFill="0" applyBorder="0" applyAlignment="0" applyProtection="0"/>
    <xf numFmtId="43" fontId="12" fillId="0" borderId="0" applyFont="0" applyFill="0" applyBorder="0" applyAlignment="0" applyProtection="0"/>
    <xf numFmtId="43" fontId="21" fillId="0" borderId="0" applyFont="0" applyFill="0" applyBorder="0" applyAlignment="0" applyProtection="0"/>
    <xf numFmtId="165" fontId="12" fillId="0" borderId="0" applyFont="0" applyFill="0" applyBorder="0" applyAlignment="0" applyProtection="0"/>
    <xf numFmtId="44" fontId="21" fillId="0" borderId="0" applyFont="0" applyFill="0" applyBorder="0" applyAlignment="0" applyProtection="0"/>
    <xf numFmtId="164" fontId="12" fillId="0" borderId="0" applyFont="0" applyFill="0" applyBorder="0" applyAlignment="0" applyProtection="0"/>
    <xf numFmtId="0" fontId="12" fillId="0" borderId="0"/>
    <xf numFmtId="0" fontId="12" fillId="0" borderId="0"/>
    <xf numFmtId="0" fontId="21" fillId="0" borderId="0"/>
    <xf numFmtId="9" fontId="12" fillId="0" borderId="0" applyFont="0" applyFill="0" applyBorder="0" applyAlignment="0" applyProtection="0"/>
    <xf numFmtId="9" fontId="21" fillId="0" borderId="0" applyFont="0" applyFill="0" applyBorder="0" applyAlignment="0" applyProtection="0"/>
    <xf numFmtId="0" fontId="11" fillId="0" borderId="0"/>
    <xf numFmtId="43" fontId="11" fillId="0" borderId="0" applyFont="0" applyFill="0" applyBorder="0" applyAlignment="0" applyProtection="0"/>
  </cellStyleXfs>
  <cellXfs count="890">
    <xf numFmtId="0" fontId="0" fillId="0" borderId="0" xfId="0"/>
    <xf numFmtId="0" fontId="22" fillId="0" borderId="0" xfId="0" quotePrefix="1" applyFont="1" applyAlignment="1">
      <alignment horizontal="left"/>
    </xf>
    <xf numFmtId="0" fontId="22" fillId="0" borderId="0" xfId="0" applyFont="1"/>
    <xf numFmtId="0" fontId="23" fillId="0" borderId="0" xfId="0" applyFont="1"/>
    <xf numFmtId="4" fontId="24" fillId="0" borderId="0" xfId="0" applyNumberFormat="1" applyFont="1"/>
    <xf numFmtId="4" fontId="24" fillId="2" borderId="0" xfId="0" applyNumberFormat="1" applyFont="1" applyFill="1"/>
    <xf numFmtId="4" fontId="24" fillId="2" borderId="0" xfId="0" applyNumberFormat="1" applyFont="1" applyFill="1" applyAlignment="1">
      <alignment horizontal="left"/>
    </xf>
    <xf numFmtId="0" fontId="25" fillId="0" borderId="0" xfId="0" applyFont="1" applyAlignment="1">
      <alignment horizontal="center"/>
    </xf>
    <xf numFmtId="7" fontId="26" fillId="0" borderId="0" xfId="0" applyNumberFormat="1" applyFont="1" applyAlignment="1">
      <alignment horizontal="center"/>
    </xf>
    <xf numFmtId="168" fontId="23" fillId="0" borderId="0" xfId="0" applyNumberFormat="1" applyFont="1" applyAlignment="1">
      <alignment wrapText="1"/>
    </xf>
    <xf numFmtId="4" fontId="23" fillId="0" borderId="0" xfId="0" applyNumberFormat="1" applyFont="1" applyAlignment="1">
      <alignment horizontal="center" wrapText="1"/>
    </xf>
    <xf numFmtId="164" fontId="23" fillId="0" borderId="0" xfId="6" applyFont="1" applyBorder="1" applyAlignment="1">
      <alignment horizontal="center" wrapText="1"/>
    </xf>
    <xf numFmtId="0" fontId="25" fillId="2" borderId="0" xfId="0" applyFont="1" applyFill="1" applyAlignment="1">
      <alignment horizontal="center"/>
    </xf>
    <xf numFmtId="7" fontId="26" fillId="2" borderId="0" xfId="0" applyNumberFormat="1" applyFont="1" applyFill="1" applyAlignment="1">
      <alignment horizontal="center"/>
    </xf>
    <xf numFmtId="168" fontId="23" fillId="2" borderId="0" xfId="0" applyNumberFormat="1" applyFont="1" applyFill="1" applyAlignment="1">
      <alignment wrapText="1"/>
    </xf>
    <xf numFmtId="4" fontId="23" fillId="2" borderId="0" xfId="0" applyNumberFormat="1" applyFont="1" applyFill="1" applyAlignment="1">
      <alignment horizontal="center" wrapText="1"/>
    </xf>
    <xf numFmtId="164" fontId="23" fillId="2" borderId="0" xfId="6" applyFont="1" applyFill="1" applyBorder="1" applyAlignment="1">
      <alignment horizontal="center" wrapText="1"/>
    </xf>
    <xf numFmtId="4" fontId="23" fillId="0" borderId="1" xfId="0" applyNumberFormat="1" applyFont="1" applyBorder="1" applyAlignment="1">
      <alignment horizontal="center" wrapText="1"/>
    </xf>
    <xf numFmtId="4" fontId="23" fillId="2" borderId="1" xfId="0" applyNumberFormat="1" applyFont="1" applyFill="1" applyBorder="1" applyAlignment="1">
      <alignment horizontal="center" wrapText="1"/>
    </xf>
    <xf numFmtId="164" fontId="27" fillId="2" borderId="1" xfId="6" applyFont="1" applyFill="1" applyBorder="1" applyAlignment="1">
      <alignment horizontal="center" wrapText="1"/>
    </xf>
    <xf numFmtId="4" fontId="23" fillId="0" borderId="1" xfId="0" quotePrefix="1" applyNumberFormat="1" applyFont="1" applyBorder="1" applyAlignment="1">
      <alignment horizontal="center"/>
    </xf>
    <xf numFmtId="164" fontId="23" fillId="0" borderId="1" xfId="6" quotePrefix="1" applyFont="1" applyBorder="1" applyAlignment="1">
      <alignment horizontal="center"/>
    </xf>
    <xf numFmtId="4" fontId="23" fillId="2" borderId="1" xfId="0" quotePrefix="1" applyNumberFormat="1" applyFont="1" applyFill="1" applyBorder="1" applyAlignment="1">
      <alignment horizontal="center"/>
    </xf>
    <xf numFmtId="164" fontId="23" fillId="2" borderId="1" xfId="6" quotePrefix="1" applyFont="1" applyFill="1" applyBorder="1" applyAlignment="1">
      <alignment horizontal="center"/>
    </xf>
    <xf numFmtId="170" fontId="23" fillId="0" borderId="0" xfId="6" applyNumberFormat="1" applyFont="1" applyBorder="1" applyAlignment="1">
      <alignment horizontal="center"/>
    </xf>
    <xf numFmtId="170" fontId="23" fillId="2" borderId="0" xfId="6" applyNumberFormat="1" applyFont="1" applyFill="1" applyBorder="1" applyAlignment="1">
      <alignment horizontal="center"/>
    </xf>
    <xf numFmtId="0" fontId="23" fillId="0" borderId="0" xfId="0" applyFont="1" applyAlignment="1">
      <alignment horizontal="right"/>
    </xf>
    <xf numFmtId="2" fontId="23" fillId="0" borderId="0" xfId="0" applyNumberFormat="1" applyFont="1" applyAlignment="1">
      <alignment horizontal="center"/>
    </xf>
    <xf numFmtId="0" fontId="23" fillId="2" borderId="0" xfId="0" applyFont="1" applyFill="1" applyAlignment="1">
      <alignment horizontal="right"/>
    </xf>
    <xf numFmtId="2" fontId="28" fillId="2" borderId="0" xfId="0" applyNumberFormat="1" applyFont="1" applyFill="1" applyAlignment="1">
      <alignment horizontal="center"/>
    </xf>
    <xf numFmtId="2" fontId="23" fillId="2" borderId="0" xfId="0" applyNumberFormat="1" applyFont="1" applyFill="1" applyAlignment="1">
      <alignment horizontal="center"/>
    </xf>
    <xf numFmtId="164" fontId="27" fillId="0" borderId="1" xfId="6" applyFont="1" applyBorder="1" applyAlignment="1">
      <alignment horizontal="center" wrapText="1"/>
    </xf>
    <xf numFmtId="169" fontId="23" fillId="0" borderId="0" xfId="0" applyNumberFormat="1" applyFont="1" applyAlignment="1">
      <alignment horizontal="right"/>
    </xf>
    <xf numFmtId="169" fontId="23" fillId="2" borderId="0" xfId="0" applyNumberFormat="1" applyFont="1" applyFill="1" applyAlignment="1">
      <alignment horizontal="right"/>
    </xf>
    <xf numFmtId="169" fontId="28" fillId="0" borderId="0" xfId="0" applyNumberFormat="1" applyFont="1" applyAlignment="1">
      <alignment horizontal="right"/>
    </xf>
    <xf numFmtId="169" fontId="28" fillId="2" borderId="0" xfId="0" applyNumberFormat="1" applyFont="1" applyFill="1" applyAlignment="1">
      <alignment horizontal="right"/>
    </xf>
    <xf numFmtId="0" fontId="23" fillId="0" borderId="1" xfId="0" applyFont="1" applyBorder="1"/>
    <xf numFmtId="0" fontId="23" fillId="0" borderId="0" xfId="0" applyFont="1" applyAlignment="1">
      <alignment horizontal="center"/>
    </xf>
    <xf numFmtId="0" fontId="23" fillId="2" borderId="0" xfId="0" applyFont="1" applyFill="1" applyAlignment="1">
      <alignment horizontal="center"/>
    </xf>
    <xf numFmtId="0" fontId="23" fillId="0" borderId="0" xfId="0" quotePrefix="1" applyFont="1" applyAlignment="1">
      <alignment horizontal="center"/>
    </xf>
    <xf numFmtId="0" fontId="23" fillId="2" borderId="0" xfId="0" quotePrefix="1" applyFont="1" applyFill="1" applyAlignment="1">
      <alignment horizontal="center"/>
    </xf>
    <xf numFmtId="4" fontId="28" fillId="2" borderId="1" xfId="0" applyNumberFormat="1" applyFont="1" applyFill="1" applyBorder="1" applyAlignment="1">
      <alignment horizontal="center"/>
    </xf>
    <xf numFmtId="0" fontId="25" fillId="0" borderId="0" xfId="0" quotePrefix="1" applyFont="1" applyAlignment="1">
      <alignment horizontal="center"/>
    </xf>
    <xf numFmtId="4" fontId="23" fillId="0" borderId="0" xfId="0" quotePrefix="1" applyNumberFormat="1" applyFont="1" applyAlignment="1">
      <alignment horizontal="center"/>
    </xf>
    <xf numFmtId="4" fontId="23" fillId="2" borderId="0" xfId="0" quotePrefix="1" applyNumberFormat="1" applyFont="1" applyFill="1" applyAlignment="1">
      <alignment horizontal="center"/>
    </xf>
    <xf numFmtId="0" fontId="23" fillId="2" borderId="0" xfId="0" applyFont="1" applyFill="1" applyAlignment="1">
      <alignment horizontal="left"/>
    </xf>
    <xf numFmtId="169" fontId="23" fillId="0" borderId="0" xfId="0" applyNumberFormat="1" applyFont="1" applyAlignment="1">
      <alignment horizontal="center"/>
    </xf>
    <xf numFmtId="169" fontId="23" fillId="2" borderId="0" xfId="0" applyNumberFormat="1" applyFont="1" applyFill="1" applyAlignment="1">
      <alignment horizontal="center"/>
    </xf>
    <xf numFmtId="4" fontId="23" fillId="2" borderId="0" xfId="0" applyNumberFormat="1" applyFont="1" applyFill="1" applyAlignment="1">
      <alignment horizontal="center"/>
    </xf>
    <xf numFmtId="16" fontId="23" fillId="0" borderId="0" xfId="0" quotePrefix="1" applyNumberFormat="1" applyFont="1" applyAlignment="1">
      <alignment horizontal="right"/>
    </xf>
    <xf numFmtId="16" fontId="23" fillId="2" borderId="0" xfId="0" quotePrefix="1" applyNumberFormat="1" applyFont="1" applyFill="1" applyAlignment="1">
      <alignment horizontal="right"/>
    </xf>
    <xf numFmtId="0" fontId="23" fillId="2" borderId="0" xfId="0" applyFont="1" applyFill="1"/>
    <xf numFmtId="0" fontId="23" fillId="0" borderId="0" xfId="0" quotePrefix="1" applyFont="1" applyAlignment="1">
      <alignment horizontal="right"/>
    </xf>
    <xf numFmtId="0" fontId="23" fillId="2" borderId="0" xfId="0" quotePrefix="1" applyFont="1" applyFill="1" applyAlignment="1">
      <alignment horizontal="right"/>
    </xf>
    <xf numFmtId="169" fontId="23" fillId="2" borderId="2" xfId="0" applyNumberFormat="1" applyFont="1" applyFill="1" applyBorder="1" applyAlignment="1">
      <alignment horizontal="center"/>
    </xf>
    <xf numFmtId="165" fontId="23" fillId="0" borderId="0" xfId="4" applyFont="1" applyBorder="1" applyAlignment="1">
      <alignment horizontal="right"/>
    </xf>
    <xf numFmtId="165" fontId="23" fillId="2" borderId="0" xfId="4" applyFont="1" applyFill="1" applyBorder="1" applyAlignment="1">
      <alignment horizontal="right"/>
    </xf>
    <xf numFmtId="169" fontId="23" fillId="2" borderId="3" xfId="0" applyNumberFormat="1" applyFont="1" applyFill="1" applyBorder="1" applyAlignment="1">
      <alignment horizontal="center"/>
    </xf>
    <xf numFmtId="38" fontId="23" fillId="2" borderId="0" xfId="0" quotePrefix="1" applyNumberFormat="1" applyFont="1" applyFill="1"/>
    <xf numFmtId="0" fontId="23" fillId="0" borderId="1" xfId="0" applyFont="1" applyBorder="1" applyAlignment="1">
      <alignment horizontal="center"/>
    </xf>
    <xf numFmtId="0" fontId="23" fillId="2" borderId="1" xfId="0" applyFont="1" applyFill="1" applyBorder="1" applyAlignment="1">
      <alignment horizontal="center"/>
    </xf>
    <xf numFmtId="7" fontId="23" fillId="3" borderId="0" xfId="0" applyNumberFormat="1" applyFont="1" applyFill="1"/>
    <xf numFmtId="7" fontId="23" fillId="2" borderId="0" xfId="0" applyNumberFormat="1" applyFont="1" applyFill="1"/>
    <xf numFmtId="7" fontId="23" fillId="3" borderId="1" xfId="0" applyNumberFormat="1" applyFont="1" applyFill="1" applyBorder="1"/>
    <xf numFmtId="7" fontId="23" fillId="2" borderId="1" xfId="0" applyNumberFormat="1" applyFont="1" applyFill="1" applyBorder="1"/>
    <xf numFmtId="0" fontId="29" fillId="0" borderId="0" xfId="0" applyFont="1"/>
    <xf numFmtId="0" fontId="29" fillId="2" borderId="0" xfId="0" applyFont="1" applyFill="1"/>
    <xf numFmtId="170" fontId="23" fillId="2" borderId="3" xfId="0" applyNumberFormat="1" applyFont="1" applyFill="1" applyBorder="1"/>
    <xf numFmtId="3" fontId="23" fillId="0" borderId="0" xfId="0" quotePrefix="1" applyNumberFormat="1" applyFont="1" applyAlignment="1">
      <alignment horizontal="center"/>
    </xf>
    <xf numFmtId="0" fontId="23" fillId="0" borderId="0" xfId="0" applyFont="1" applyAlignment="1">
      <alignment horizontal="left"/>
    </xf>
    <xf numFmtId="0" fontId="29" fillId="4" borderId="4" xfId="0" applyFont="1" applyFill="1" applyBorder="1" applyAlignment="1">
      <alignment horizontal="center"/>
    </xf>
    <xf numFmtId="0" fontId="27" fillId="2" borderId="0" xfId="0" applyFont="1" applyFill="1"/>
    <xf numFmtId="0" fontId="27" fillId="2" borderId="0" xfId="0" quotePrefix="1" applyFont="1" applyFill="1" applyAlignment="1">
      <alignment horizontal="left"/>
    </xf>
    <xf numFmtId="0" fontId="27" fillId="0" borderId="0" xfId="0" applyFont="1" applyAlignment="1">
      <alignment horizontal="left"/>
    </xf>
    <xf numFmtId="171" fontId="23" fillId="0" borderId="0" xfId="0" applyNumberFormat="1" applyFont="1" applyAlignment="1">
      <alignment horizontal="left"/>
    </xf>
    <xf numFmtId="169" fontId="25" fillId="0" borderId="0" xfId="0" applyNumberFormat="1" applyFont="1"/>
    <xf numFmtId="0" fontId="23" fillId="0" borderId="0" xfId="0" applyFont="1" applyAlignment="1">
      <alignment vertical="center"/>
    </xf>
    <xf numFmtId="170" fontId="23" fillId="0" borderId="0" xfId="0" applyNumberFormat="1" applyFont="1" applyAlignment="1">
      <alignment vertical="center"/>
    </xf>
    <xf numFmtId="171" fontId="23" fillId="0" borderId="0" xfId="0" applyNumberFormat="1" applyFont="1" applyAlignment="1">
      <alignment horizontal="left" vertical="center"/>
    </xf>
    <xf numFmtId="0" fontId="25" fillId="0" borderId="0" xfId="0" applyFont="1" applyAlignment="1">
      <alignment vertical="center"/>
    </xf>
    <xf numFmtId="172" fontId="23" fillId="0" borderId="0" xfId="0" applyNumberFormat="1" applyFont="1"/>
    <xf numFmtId="0" fontId="23" fillId="0" borderId="0" xfId="0" quotePrefix="1" applyFont="1" applyAlignment="1">
      <alignment horizontal="left"/>
    </xf>
    <xf numFmtId="0" fontId="30" fillId="0" borderId="3" xfId="0" applyFont="1" applyBorder="1"/>
    <xf numFmtId="4" fontId="23" fillId="2" borderId="0" xfId="0" applyNumberFormat="1" applyFont="1" applyFill="1" applyAlignment="1">
      <alignment horizontal="left"/>
    </xf>
    <xf numFmtId="0" fontId="25" fillId="0" borderId="0" xfId="0" quotePrefix="1" applyFont="1"/>
    <xf numFmtId="0" fontId="25" fillId="0" borderId="0" xfId="0" quotePrefix="1" applyFont="1" applyAlignment="1">
      <alignment horizontal="right"/>
    </xf>
    <xf numFmtId="49" fontId="25" fillId="0" borderId="0" xfId="0" applyNumberFormat="1" applyFont="1"/>
    <xf numFmtId="49" fontId="25" fillId="0" borderId="0" xfId="0" applyNumberFormat="1" applyFont="1" applyProtection="1">
      <protection locked="0"/>
    </xf>
    <xf numFmtId="7" fontId="29" fillId="0" borderId="0" xfId="0" quotePrefix="1" applyNumberFormat="1" applyFont="1" applyAlignment="1">
      <alignment horizontal="center"/>
    </xf>
    <xf numFmtId="7" fontId="29" fillId="0" borderId="0" xfId="0" applyNumberFormat="1" applyFont="1" applyAlignment="1">
      <alignment horizontal="center"/>
    </xf>
    <xf numFmtId="0" fontId="29" fillId="0" borderId="1" xfId="0" applyFont="1" applyBorder="1" applyAlignment="1">
      <alignment horizontal="center"/>
    </xf>
    <xf numFmtId="0" fontId="30" fillId="0" borderId="1" xfId="0" quotePrefix="1" applyFont="1" applyBorder="1"/>
    <xf numFmtId="0" fontId="23" fillId="0" borderId="1" xfId="0" quotePrefix="1" applyFont="1" applyBorder="1" applyAlignment="1">
      <alignment horizontal="center"/>
    </xf>
    <xf numFmtId="172" fontId="23" fillId="0" borderId="1" xfId="0" applyNumberFormat="1" applyFont="1" applyBorder="1"/>
    <xf numFmtId="43" fontId="23" fillId="0" borderId="1" xfId="1" applyFont="1" applyBorder="1" applyAlignment="1"/>
    <xf numFmtId="167" fontId="23" fillId="2" borderId="1" xfId="0" applyNumberFormat="1" applyFont="1" applyFill="1" applyBorder="1"/>
    <xf numFmtId="170" fontId="23" fillId="2" borderId="1" xfId="6" applyNumberFormat="1" applyFont="1" applyFill="1" applyBorder="1" applyAlignment="1"/>
    <xf numFmtId="43" fontId="23" fillId="0" borderId="5" xfId="1" applyFont="1" applyBorder="1" applyAlignment="1"/>
    <xf numFmtId="170" fontId="23" fillId="2" borderId="5" xfId="6" applyNumberFormat="1" applyFont="1" applyFill="1" applyBorder="1" applyAlignment="1"/>
    <xf numFmtId="172" fontId="23" fillId="0" borderId="5" xfId="0" applyNumberFormat="1" applyFont="1" applyBorder="1"/>
    <xf numFmtId="169" fontId="23" fillId="2" borderId="5" xfId="0" applyNumberFormat="1" applyFont="1" applyFill="1" applyBorder="1"/>
    <xf numFmtId="43" fontId="23" fillId="0" borderId="0" xfId="1" applyFont="1" applyBorder="1" applyAlignment="1"/>
    <xf numFmtId="169" fontId="23" fillId="2" borderId="0" xfId="0" applyNumberFormat="1" applyFont="1" applyFill="1"/>
    <xf numFmtId="170" fontId="23" fillId="2" borderId="0" xfId="6" applyNumberFormat="1" applyFont="1" applyFill="1" applyBorder="1" applyAlignment="1"/>
    <xf numFmtId="169" fontId="23" fillId="0" borderId="0" xfId="0" applyNumberFormat="1" applyFont="1"/>
    <xf numFmtId="2" fontId="29" fillId="0" borderId="1" xfId="0" applyNumberFormat="1" applyFont="1" applyBorder="1"/>
    <xf numFmtId="2" fontId="23" fillId="0" borderId="0" xfId="0" applyNumberFormat="1" applyFont="1"/>
    <xf numFmtId="2" fontId="23" fillId="0" borderId="0" xfId="0" quotePrefix="1" applyNumberFormat="1" applyFont="1" applyAlignment="1">
      <alignment horizontal="right"/>
    </xf>
    <xf numFmtId="170" fontId="23" fillId="2" borderId="3" xfId="6" applyNumberFormat="1" applyFont="1" applyFill="1" applyBorder="1" applyAlignment="1"/>
    <xf numFmtId="2" fontId="23" fillId="0" borderId="0" xfId="0" quotePrefix="1" applyNumberFormat="1" applyFont="1" applyAlignment="1">
      <alignment horizontal="center"/>
    </xf>
    <xf numFmtId="43" fontId="31" fillId="4" borderId="1" xfId="1" applyFont="1" applyFill="1" applyBorder="1" applyAlignment="1"/>
    <xf numFmtId="43" fontId="23" fillId="0" borderId="6" xfId="1" applyFont="1" applyBorder="1" applyAlignment="1"/>
    <xf numFmtId="43" fontId="28" fillId="0" borderId="1" xfId="1" applyFont="1" applyBorder="1" applyAlignment="1">
      <alignment horizontal="center"/>
    </xf>
    <xf numFmtId="4" fontId="32" fillId="0" borderId="0" xfId="0" applyNumberFormat="1" applyFont="1"/>
    <xf numFmtId="166" fontId="28" fillId="0" borderId="0" xfId="0" applyNumberFormat="1" applyFont="1" applyAlignment="1">
      <alignment horizontal="center"/>
    </xf>
    <xf numFmtId="166" fontId="28" fillId="0" borderId="0" xfId="0" applyNumberFormat="1" applyFont="1"/>
    <xf numFmtId="43" fontId="23" fillId="0" borderId="0" xfId="1" applyFont="1" applyFill="1" applyBorder="1" applyAlignment="1"/>
    <xf numFmtId="41" fontId="23" fillId="0" borderId="0" xfId="1" applyNumberFormat="1" applyFont="1" applyFill="1" applyBorder="1" applyAlignment="1"/>
    <xf numFmtId="0" fontId="32" fillId="0" borderId="0" xfId="0" applyFont="1"/>
    <xf numFmtId="0" fontId="32" fillId="0" borderId="0" xfId="0" quotePrefix="1" applyFont="1" applyAlignment="1">
      <alignment horizontal="left"/>
    </xf>
    <xf numFmtId="4" fontId="23" fillId="0" borderId="1" xfId="0" applyNumberFormat="1" applyFont="1" applyBorder="1" applyAlignment="1">
      <alignment horizontal="center"/>
    </xf>
    <xf numFmtId="4" fontId="23" fillId="0" borderId="0" xfId="0" applyNumberFormat="1" applyFont="1"/>
    <xf numFmtId="165" fontId="23" fillId="0" borderId="0" xfId="4" quotePrefix="1" applyFont="1" applyBorder="1" applyAlignment="1">
      <alignment horizontal="right"/>
    </xf>
    <xf numFmtId="165" fontId="23" fillId="0" borderId="0" xfId="4" applyFont="1" applyBorder="1" applyAlignment="1"/>
    <xf numFmtId="165" fontId="23" fillId="0" borderId="7" xfId="4" quotePrefix="1" applyFont="1" applyBorder="1" applyAlignment="1">
      <alignment horizontal="right"/>
    </xf>
    <xf numFmtId="4" fontId="23" fillId="2" borderId="0" xfId="0" quotePrefix="1" applyNumberFormat="1" applyFont="1" applyFill="1" applyAlignment="1">
      <alignment horizontal="left"/>
    </xf>
    <xf numFmtId="4" fontId="23" fillId="0" borderId="0" xfId="0" applyNumberFormat="1" applyFont="1" applyAlignment="1">
      <alignment horizontal="center"/>
    </xf>
    <xf numFmtId="0" fontId="29" fillId="0" borderId="0" xfId="0" applyFont="1" applyAlignment="1">
      <alignment horizontal="right"/>
    </xf>
    <xf numFmtId="4" fontId="23" fillId="0" borderId="0" xfId="0" applyNumberFormat="1" applyFont="1" applyAlignment="1">
      <alignment horizontal="left"/>
    </xf>
    <xf numFmtId="38" fontId="23" fillId="0" borderId="0" xfId="0" quotePrefix="1" applyNumberFormat="1" applyFont="1"/>
    <xf numFmtId="0" fontId="29" fillId="2" borderId="0" xfId="0" applyFont="1" applyFill="1" applyAlignment="1">
      <alignment horizontal="right"/>
    </xf>
    <xf numFmtId="0" fontId="29" fillId="2" borderId="0" xfId="0" applyFont="1" applyFill="1" applyAlignment="1">
      <alignment horizontal="center"/>
    </xf>
    <xf numFmtId="170" fontId="23" fillId="2" borderId="8" xfId="0" applyNumberFormat="1" applyFont="1" applyFill="1" applyBorder="1"/>
    <xf numFmtId="43" fontId="23" fillId="0" borderId="8" xfId="1" applyFont="1" applyBorder="1" applyAlignment="1"/>
    <xf numFmtId="170" fontId="23" fillId="0" borderId="0" xfId="0" applyNumberFormat="1" applyFont="1"/>
    <xf numFmtId="0" fontId="25" fillId="0" borderId="0" xfId="0" applyFont="1"/>
    <xf numFmtId="43" fontId="23" fillId="4" borderId="1" xfId="1" applyFont="1" applyFill="1" applyBorder="1" applyAlignment="1"/>
    <xf numFmtId="7" fontId="23" fillId="0" borderId="0" xfId="0" applyNumberFormat="1" applyFont="1" applyAlignment="1">
      <alignment horizontal="center"/>
    </xf>
    <xf numFmtId="170" fontId="23" fillId="2" borderId="0" xfId="0" applyNumberFormat="1" applyFont="1" applyFill="1"/>
    <xf numFmtId="0" fontId="34" fillId="0" borderId="0" xfId="0" applyFont="1"/>
    <xf numFmtId="0" fontId="31" fillId="0" borderId="0" xfId="0" applyFont="1" applyAlignment="1">
      <alignment horizontal="center"/>
    </xf>
    <xf numFmtId="43" fontId="31" fillId="4" borderId="6" xfId="1" applyFont="1" applyFill="1" applyBorder="1" applyAlignment="1"/>
    <xf numFmtId="43" fontId="23" fillId="4" borderId="6" xfId="1" applyFont="1" applyFill="1" applyBorder="1" applyAlignment="1"/>
    <xf numFmtId="43" fontId="31" fillId="4" borderId="0" xfId="1" applyFont="1" applyFill="1" applyBorder="1" applyAlignment="1"/>
    <xf numFmtId="43" fontId="23" fillId="4" borderId="0" xfId="1" applyFont="1" applyFill="1" applyBorder="1" applyAlignment="1"/>
    <xf numFmtId="172" fontId="23" fillId="0" borderId="6" xfId="0" applyNumberFormat="1" applyFont="1" applyBorder="1"/>
    <xf numFmtId="0" fontId="23" fillId="0" borderId="0" xfId="0" applyFont="1" applyAlignment="1">
      <alignment horizontal="left" indent="1"/>
    </xf>
    <xf numFmtId="43" fontId="35" fillId="4" borderId="6" xfId="1" applyFont="1" applyFill="1" applyBorder="1" applyAlignment="1"/>
    <xf numFmtId="4" fontId="29" fillId="0" borderId="6" xfId="0" applyNumberFormat="1" applyFont="1" applyBorder="1"/>
    <xf numFmtId="43" fontId="35" fillId="4" borderId="1" xfId="1" applyFont="1" applyFill="1" applyBorder="1" applyAlignment="1"/>
    <xf numFmtId="43" fontId="35" fillId="4" borderId="0" xfId="1" applyFont="1" applyFill="1" applyBorder="1" applyAlignment="1"/>
    <xf numFmtId="4" fontId="29" fillId="0" borderId="0" xfId="0" applyNumberFormat="1" applyFont="1"/>
    <xf numFmtId="173" fontId="23" fillId="0" borderId="9" xfId="1" applyNumberFormat="1" applyFont="1" applyBorder="1" applyAlignment="1"/>
    <xf numFmtId="41" fontId="23" fillId="0" borderId="0" xfId="1" applyNumberFormat="1" applyFont="1" applyBorder="1" applyAlignment="1"/>
    <xf numFmtId="43" fontId="23" fillId="0" borderId="1" xfId="1" applyFont="1" applyFill="1" applyBorder="1" applyAlignment="1"/>
    <xf numFmtId="43" fontId="23" fillId="5" borderId="8" xfId="1" applyFont="1" applyFill="1" applyBorder="1" applyAlignment="1"/>
    <xf numFmtId="0" fontId="23" fillId="0" borderId="0" xfId="0" applyFont="1" applyAlignment="1">
      <alignment horizontal="left" indent="2"/>
    </xf>
    <xf numFmtId="0" fontId="23" fillId="0" borderId="0" xfId="7" applyFont="1"/>
    <xf numFmtId="0" fontId="36" fillId="0" borderId="0" xfId="9" applyFont="1"/>
    <xf numFmtId="0" fontId="31" fillId="0" borderId="10" xfId="9" applyFont="1" applyBorder="1" applyAlignment="1">
      <alignment horizontal="right"/>
    </xf>
    <xf numFmtId="0" fontId="29" fillId="0" borderId="11" xfId="9" applyFont="1" applyBorder="1"/>
    <xf numFmtId="0" fontId="23" fillId="0" borderId="0" xfId="9" applyFont="1"/>
    <xf numFmtId="0" fontId="37" fillId="0" borderId="0" xfId="9" applyFont="1"/>
    <xf numFmtId="0" fontId="29" fillId="0" borderId="1" xfId="9" applyFont="1" applyBorder="1" applyAlignment="1">
      <alignment horizontal="center"/>
    </xf>
    <xf numFmtId="0" fontId="37" fillId="0" borderId="10" xfId="9" applyFont="1" applyBorder="1"/>
    <xf numFmtId="0" fontId="37" fillId="0" borderId="11" xfId="9" applyFont="1" applyBorder="1" applyAlignment="1">
      <alignment horizontal="center"/>
    </xf>
    <xf numFmtId="44" fontId="36" fillId="0" borderId="0" xfId="9" applyNumberFormat="1" applyFont="1"/>
    <xf numFmtId="0" fontId="37" fillId="0" borderId="0" xfId="9" applyFont="1" applyAlignment="1">
      <alignment horizontal="right"/>
    </xf>
    <xf numFmtId="43" fontId="29" fillId="0" borderId="1" xfId="3" applyFont="1" applyBorder="1"/>
    <xf numFmtId="9" fontId="25" fillId="0" borderId="1" xfId="11" applyFont="1" applyBorder="1"/>
    <xf numFmtId="43" fontId="25" fillId="0" borderId="1" xfId="3" applyFont="1" applyBorder="1"/>
    <xf numFmtId="49" fontId="22" fillId="0" borderId="0" xfId="9" quotePrefix="1" applyNumberFormat="1" applyFont="1" applyAlignment="1">
      <alignment horizontal="left"/>
    </xf>
    <xf numFmtId="0" fontId="23" fillId="0" borderId="0" xfId="7" quotePrefix="1" applyFont="1" applyAlignment="1">
      <alignment horizontal="left"/>
    </xf>
    <xf numFmtId="0" fontId="37" fillId="0" borderId="0" xfId="9" quotePrefix="1" applyFont="1" applyAlignment="1">
      <alignment horizontal="left"/>
    </xf>
    <xf numFmtId="43" fontId="37" fillId="0" borderId="5" xfId="1" applyFont="1" applyBorder="1"/>
    <xf numFmtId="43" fontId="23" fillId="0" borderId="0" xfId="1" quotePrefix="1" applyFont="1" applyBorder="1" applyAlignment="1"/>
    <xf numFmtId="43" fontId="37" fillId="0" borderId="0" xfId="1" applyFont="1" applyBorder="1"/>
    <xf numFmtId="41" fontId="37" fillId="0" borderId="5" xfId="1" applyNumberFormat="1" applyFont="1" applyBorder="1"/>
    <xf numFmtId="41" fontId="37" fillId="0" borderId="0" xfId="1" applyNumberFormat="1" applyFont="1" applyBorder="1"/>
    <xf numFmtId="41" fontId="37" fillId="0" borderId="1" xfId="1" applyNumberFormat="1" applyFont="1" applyBorder="1"/>
    <xf numFmtId="0" fontId="31" fillId="0" borderId="5" xfId="9" applyFont="1" applyBorder="1" applyAlignment="1">
      <alignment horizontal="right"/>
    </xf>
    <xf numFmtId="0" fontId="37" fillId="0" borderId="5" xfId="9" applyFont="1" applyBorder="1"/>
    <xf numFmtId="43" fontId="29" fillId="0" borderId="0" xfId="3" applyFont="1" applyBorder="1"/>
    <xf numFmtId="43" fontId="36" fillId="0" borderId="0" xfId="1" applyFont="1"/>
    <xf numFmtId="0" fontId="37" fillId="0" borderId="0" xfId="9" quotePrefix="1" applyFont="1" applyAlignment="1">
      <alignment horizontal="left" indent="1"/>
    </xf>
    <xf numFmtId="0" fontId="36" fillId="0" borderId="0" xfId="9" quotePrefix="1" applyFont="1" applyAlignment="1">
      <alignment horizontal="left"/>
    </xf>
    <xf numFmtId="43" fontId="36" fillId="0" borderId="0" xfId="1" applyFont="1" applyBorder="1"/>
    <xf numFmtId="43" fontId="23" fillId="0" borderId="6" xfId="1" applyFont="1" applyFill="1" applyBorder="1" applyAlignment="1"/>
    <xf numFmtId="0" fontId="26" fillId="0" borderId="0" xfId="0" applyFont="1"/>
    <xf numFmtId="0" fontId="26" fillId="0" borderId="0" xfId="0" applyFont="1" applyAlignment="1">
      <alignment horizontal="left"/>
    </xf>
    <xf numFmtId="1" fontId="26" fillId="0" borderId="0" xfId="0" applyNumberFormat="1" applyFont="1" applyAlignment="1">
      <alignment horizontal="center"/>
    </xf>
    <xf numFmtId="0" fontId="26" fillId="0" borderId="0" xfId="0" applyFont="1" applyAlignment="1">
      <alignment horizontal="center"/>
    </xf>
    <xf numFmtId="1" fontId="27" fillId="0" borderId="4" xfId="0" applyNumberFormat="1" applyFont="1" applyBorder="1" applyAlignment="1">
      <alignment horizontal="center"/>
    </xf>
    <xf numFmtId="0" fontId="27" fillId="0" borderId="10" xfId="0" applyFont="1" applyBorder="1" applyAlignment="1">
      <alignment horizontal="center"/>
    </xf>
    <xf numFmtId="0" fontId="27" fillId="0" borderId="0" xfId="0" applyFont="1" applyAlignment="1">
      <alignment horizontal="center"/>
    </xf>
    <xf numFmtId="1" fontId="26" fillId="0" borderId="0" xfId="7" applyNumberFormat="1" applyFont="1" applyAlignment="1">
      <alignment horizontal="center"/>
    </xf>
    <xf numFmtId="0" fontId="26" fillId="0" borderId="0" xfId="0" quotePrefix="1" applyFont="1"/>
    <xf numFmtId="43" fontId="26" fillId="0" borderId="0" xfId="7" applyNumberFormat="1" applyFont="1"/>
    <xf numFmtId="0" fontId="27" fillId="4" borderId="0" xfId="0" applyFont="1" applyFill="1" applyAlignment="1">
      <alignment horizontal="center"/>
    </xf>
    <xf numFmtId="1" fontId="26" fillId="4" borderId="0" xfId="7" applyNumberFormat="1" applyFont="1" applyFill="1" applyAlignment="1">
      <alignment horizontal="center"/>
    </xf>
    <xf numFmtId="43" fontId="26" fillId="4" borderId="0" xfId="7" applyNumberFormat="1" applyFont="1" applyFill="1"/>
    <xf numFmtId="43" fontId="26" fillId="0" borderId="0" xfId="0" applyNumberFormat="1" applyFont="1"/>
    <xf numFmtId="43" fontId="26" fillId="0" borderId="9" xfId="0" applyNumberFormat="1" applyFont="1" applyBorder="1"/>
    <xf numFmtId="49" fontId="27" fillId="0" borderId="0" xfId="2" quotePrefix="1" applyNumberFormat="1" applyFont="1" applyAlignment="1">
      <alignment horizontal="left"/>
    </xf>
    <xf numFmtId="0" fontId="27" fillId="0" borderId="0" xfId="7" applyFont="1"/>
    <xf numFmtId="49" fontId="27" fillId="0" borderId="0" xfId="7" applyNumberFormat="1" applyFont="1" applyAlignment="1">
      <alignment horizontal="left"/>
    </xf>
    <xf numFmtId="49" fontId="27" fillId="0" borderId="0" xfId="2" applyNumberFormat="1" applyFont="1" applyAlignment="1">
      <alignment horizontal="left"/>
    </xf>
    <xf numFmtId="49" fontId="27" fillId="0" borderId="4" xfId="7" quotePrefix="1" applyNumberFormat="1" applyFont="1" applyBorder="1" applyAlignment="1">
      <alignment horizontal="center"/>
    </xf>
    <xf numFmtId="0" fontId="27" fillId="0" borderId="4" xfId="7" quotePrefix="1" applyFont="1" applyBorder="1" applyAlignment="1">
      <alignment horizontal="center"/>
    </xf>
    <xf numFmtId="49" fontId="38" fillId="0" borderId="0" xfId="7" quotePrefix="1" applyNumberFormat="1" applyFont="1" applyAlignment="1">
      <alignment horizontal="center" vertical="center"/>
    </xf>
    <xf numFmtId="177" fontId="38" fillId="0" borderId="0" xfId="7" quotePrefix="1" applyNumberFormat="1" applyFont="1" applyAlignment="1">
      <alignment horizontal="left"/>
    </xf>
    <xf numFmtId="177" fontId="38" fillId="0" borderId="0" xfId="7" applyNumberFormat="1" applyFont="1"/>
    <xf numFmtId="0" fontId="26" fillId="0" borderId="0" xfId="7" applyFont="1"/>
    <xf numFmtId="49" fontId="38" fillId="0" borderId="0" xfId="7" applyNumberFormat="1" applyFont="1" applyAlignment="1">
      <alignment horizontal="center" vertical="center"/>
    </xf>
    <xf numFmtId="0" fontId="26" fillId="0" borderId="0" xfId="7" quotePrefix="1" applyFont="1" applyAlignment="1">
      <alignment horizontal="left"/>
    </xf>
    <xf numFmtId="176" fontId="26" fillId="0" borderId="0" xfId="0" applyNumberFormat="1" applyFont="1"/>
    <xf numFmtId="1" fontId="27" fillId="0" borderId="0" xfId="0" quotePrefix="1" applyNumberFormat="1" applyFont="1"/>
    <xf numFmtId="1" fontId="26" fillId="0" borderId="0" xfId="0" applyNumberFormat="1" applyFont="1"/>
    <xf numFmtId="1" fontId="26" fillId="0" borderId="0" xfId="7" applyNumberFormat="1" applyFont="1"/>
    <xf numFmtId="1" fontId="26" fillId="4" borderId="0" xfId="7" applyNumberFormat="1" applyFont="1" applyFill="1"/>
    <xf numFmtId="1" fontId="27" fillId="0" borderId="10" xfId="0" applyNumberFormat="1" applyFont="1" applyBorder="1" applyAlignment="1">
      <alignment horizontal="center"/>
    </xf>
    <xf numFmtId="7" fontId="25" fillId="0" borderId="0" xfId="0" applyNumberFormat="1" applyFont="1" applyAlignment="1">
      <alignment horizontal="left"/>
    </xf>
    <xf numFmtId="169" fontId="25" fillId="0" borderId="0" xfId="0" applyNumberFormat="1" applyFont="1" applyAlignment="1">
      <alignment horizontal="center"/>
    </xf>
    <xf numFmtId="7" fontId="23" fillId="0" borderId="0" xfId="0" applyNumberFormat="1" applyFont="1"/>
    <xf numFmtId="7" fontId="23" fillId="0" borderId="1" xfId="0" applyNumberFormat="1" applyFont="1" applyBorder="1"/>
    <xf numFmtId="4" fontId="23" fillId="0" borderId="2" xfId="0" applyNumberFormat="1" applyFont="1" applyBorder="1"/>
    <xf numFmtId="4" fontId="24" fillId="0" borderId="2" xfId="0" applyNumberFormat="1" applyFont="1" applyBorder="1" applyAlignment="1">
      <alignment horizontal="left"/>
    </xf>
    <xf numFmtId="4" fontId="24" fillId="0" borderId="2" xfId="0" applyNumberFormat="1" applyFont="1" applyBorder="1"/>
    <xf numFmtId="1" fontId="26" fillId="4" borderId="0" xfId="7" applyNumberFormat="1" applyFont="1" applyFill="1" applyAlignment="1">
      <alignment horizontal="left" indent="1"/>
    </xf>
    <xf numFmtId="0" fontId="27" fillId="0" borderId="0" xfId="0" quotePrefix="1" applyFont="1" applyAlignment="1">
      <alignment horizontal="center"/>
    </xf>
    <xf numFmtId="1" fontId="26" fillId="0" borderId="0" xfId="7" applyNumberFormat="1" applyFont="1" applyAlignment="1">
      <alignment horizontal="left" indent="1"/>
    </xf>
    <xf numFmtId="0" fontId="26" fillId="0" borderId="0" xfId="0" quotePrefix="1" applyFont="1" applyAlignment="1">
      <alignment horizontal="left" indent="1"/>
    </xf>
    <xf numFmtId="0" fontId="26" fillId="4" borderId="0" xfId="0" quotePrefix="1" applyFont="1" applyFill="1" applyAlignment="1">
      <alignment horizontal="left" indent="1"/>
    </xf>
    <xf numFmtId="0" fontId="27" fillId="0" borderId="4" xfId="0" applyFont="1" applyBorder="1" applyAlignment="1">
      <alignment horizontal="center"/>
    </xf>
    <xf numFmtId="4" fontId="24" fillId="0" borderId="0" xfId="0" applyNumberFormat="1" applyFont="1" applyAlignment="1">
      <alignment horizontal="left"/>
    </xf>
    <xf numFmtId="4" fontId="23" fillId="0" borderId="2" xfId="0" applyNumberFormat="1" applyFont="1" applyBorder="1" applyAlignment="1">
      <alignment horizontal="left"/>
    </xf>
    <xf numFmtId="43" fontId="23" fillId="0" borderId="0" xfId="0" applyNumberFormat="1" applyFont="1"/>
    <xf numFmtId="1" fontId="39" fillId="0" borderId="0" xfId="0" quotePrefix="1" applyNumberFormat="1" applyFont="1" applyAlignment="1">
      <alignment horizontal="left"/>
    </xf>
    <xf numFmtId="43" fontId="26" fillId="0" borderId="0" xfId="1" applyFont="1"/>
    <xf numFmtId="43" fontId="27" fillId="0" borderId="0" xfId="1" quotePrefix="1" applyFont="1" applyFill="1" applyBorder="1" applyAlignment="1">
      <alignment horizontal="center"/>
    </xf>
    <xf numFmtId="43" fontId="26" fillId="0" borderId="0" xfId="1" applyFont="1" applyFill="1" applyBorder="1" applyAlignment="1"/>
    <xf numFmtId="0" fontId="26" fillId="0" borderId="0" xfId="0" quotePrefix="1" applyFont="1" applyAlignment="1">
      <alignment horizontal="left"/>
    </xf>
    <xf numFmtId="0" fontId="26" fillId="0" borderId="0" xfId="0" quotePrefix="1" applyFont="1" applyAlignment="1">
      <alignment horizontal="center"/>
    </xf>
    <xf numFmtId="0" fontId="27" fillId="0" borderId="0" xfId="0" quotePrefix="1" applyFont="1" applyAlignment="1">
      <alignment vertical="center"/>
    </xf>
    <xf numFmtId="41" fontId="31" fillId="0" borderId="0" xfId="1" applyNumberFormat="1" applyFont="1" applyFill="1" applyBorder="1"/>
    <xf numFmtId="43" fontId="31" fillId="0" borderId="1" xfId="1" quotePrefix="1" applyFont="1" applyBorder="1" applyAlignment="1"/>
    <xf numFmtId="43" fontId="35" fillId="0" borderId="0" xfId="9" applyNumberFormat="1" applyFont="1"/>
    <xf numFmtId="43" fontId="35" fillId="0" borderId="1" xfId="9" applyNumberFormat="1" applyFont="1" applyBorder="1"/>
    <xf numFmtId="0" fontId="25" fillId="0" borderId="0" xfId="0" quotePrefix="1" applyFont="1" applyAlignment="1">
      <alignment horizontal="left"/>
    </xf>
    <xf numFmtId="43" fontId="31" fillId="0" borderId="1" xfId="1" applyFont="1" applyBorder="1"/>
    <xf numFmtId="16" fontId="23" fillId="0" borderId="0" xfId="0" applyNumberFormat="1" applyFont="1"/>
    <xf numFmtId="0" fontId="27" fillId="0" borderId="0" xfId="0" applyFont="1"/>
    <xf numFmtId="0" fontId="27" fillId="0" borderId="0" xfId="0" quotePrefix="1" applyFont="1" applyAlignment="1">
      <alignment horizontal="left" indent="4"/>
    </xf>
    <xf numFmtId="0" fontId="31" fillId="0" borderId="0" xfId="0" quotePrefix="1" applyFont="1" applyAlignment="1">
      <alignment horizontal="left"/>
    </xf>
    <xf numFmtId="0" fontId="31" fillId="0" borderId="0" xfId="0" applyFont="1"/>
    <xf numFmtId="0" fontId="31" fillId="0" borderId="0" xfId="0" quotePrefix="1" applyFont="1" applyAlignment="1">
      <alignment horizontal="left" indent="4"/>
    </xf>
    <xf numFmtId="0" fontId="23" fillId="4" borderId="4" xfId="0" applyFont="1" applyFill="1" applyBorder="1" applyAlignment="1">
      <alignment horizontal="left"/>
    </xf>
    <xf numFmtId="0" fontId="23" fillId="4" borderId="4" xfId="0" applyFont="1" applyFill="1" applyBorder="1" applyAlignment="1">
      <alignment horizontal="center"/>
    </xf>
    <xf numFmtId="0" fontId="37" fillId="0" borderId="0" xfId="9" quotePrefix="1" applyFont="1" applyAlignment="1">
      <alignment horizontal="right"/>
    </xf>
    <xf numFmtId="43" fontId="40" fillId="0" borderId="0" xfId="1" applyFont="1"/>
    <xf numFmtId="0" fontId="40" fillId="0" borderId="0" xfId="0" applyFont="1"/>
    <xf numFmtId="1" fontId="26" fillId="0" borderId="0" xfId="7" quotePrefix="1" applyNumberFormat="1" applyFont="1" applyAlignment="1">
      <alignment horizontal="left"/>
    </xf>
    <xf numFmtId="1" fontId="26" fillId="4" borderId="0" xfId="7" quotePrefix="1" applyNumberFormat="1" applyFont="1" applyFill="1" applyAlignment="1">
      <alignment horizontal="left"/>
    </xf>
    <xf numFmtId="1" fontId="26" fillId="0" borderId="0" xfId="2" applyNumberFormat="1" applyFont="1" applyFill="1" applyBorder="1" applyAlignment="1">
      <alignment horizontal="center"/>
    </xf>
    <xf numFmtId="1" fontId="26" fillId="0" borderId="0" xfId="2" applyNumberFormat="1" applyFont="1" applyFill="1" applyBorder="1" applyAlignment="1"/>
    <xf numFmtId="1" fontId="26" fillId="0" borderId="0" xfId="2" quotePrefix="1" applyNumberFormat="1" applyFont="1" applyFill="1" applyBorder="1" applyAlignment="1">
      <alignment horizontal="left"/>
    </xf>
    <xf numFmtId="43" fontId="23" fillId="0" borderId="0" xfId="1" applyFont="1" applyBorder="1" applyAlignment="1">
      <alignment horizontal="center"/>
    </xf>
    <xf numFmtId="43" fontId="31" fillId="0" borderId="0" xfId="1" applyFont="1" applyBorder="1"/>
    <xf numFmtId="43" fontId="23" fillId="5" borderId="9" xfId="1" applyFont="1" applyFill="1" applyBorder="1" applyAlignment="1"/>
    <xf numFmtId="0" fontId="26" fillId="0" borderId="0" xfId="0" quotePrefix="1" applyFont="1" applyAlignment="1">
      <alignment horizontal="right"/>
    </xf>
    <xf numFmtId="43" fontId="27" fillId="0" borderId="4" xfId="1" quotePrefix="1" applyFont="1" applyFill="1" applyBorder="1" applyAlignment="1">
      <alignment horizontal="center"/>
    </xf>
    <xf numFmtId="43" fontId="31" fillId="0" borderId="1" xfId="1" applyFont="1" applyBorder="1" applyAlignment="1"/>
    <xf numFmtId="37" fontId="31" fillId="0" borderId="1" xfId="1" applyNumberFormat="1" applyFont="1" applyBorder="1" applyAlignment="1"/>
    <xf numFmtId="37" fontId="31" fillId="0" borderId="1" xfId="1" applyNumberFormat="1" applyFont="1" applyBorder="1" applyAlignment="1">
      <alignment horizontal="center"/>
    </xf>
    <xf numFmtId="37" fontId="31" fillId="0" borderId="0" xfId="1" applyNumberFormat="1" applyFont="1"/>
    <xf numFmtId="41" fontId="31" fillId="0" borderId="0" xfId="1" applyNumberFormat="1" applyFont="1" applyFill="1" applyBorder="1" applyAlignment="1"/>
    <xf numFmtId="49" fontId="26" fillId="0" borderId="0" xfId="0" quotePrefix="1" applyNumberFormat="1" applyFont="1" applyAlignment="1">
      <alignment horizontal="left" indent="1"/>
    </xf>
    <xf numFmtId="49" fontId="26" fillId="4" borderId="0" xfId="0" quotePrefix="1" applyNumberFormat="1" applyFont="1" applyFill="1"/>
    <xf numFmtId="49" fontId="26" fillId="4" borderId="0" xfId="0" quotePrefix="1" applyNumberFormat="1" applyFont="1" applyFill="1" applyAlignment="1">
      <alignment horizontal="left" indent="1"/>
    </xf>
    <xf numFmtId="49" fontId="26" fillId="4" borderId="0" xfId="7" applyNumberFormat="1" applyFont="1" applyFill="1" applyAlignment="1">
      <alignment horizontal="left" indent="1"/>
    </xf>
    <xf numFmtId="49" fontId="26" fillId="0" borderId="0" xfId="0" applyNumberFormat="1" applyFont="1"/>
    <xf numFmtId="0" fontId="23" fillId="0" borderId="0" xfId="0" quotePrefix="1" applyFont="1" applyAlignment="1">
      <alignment horizontal="left" indent="1"/>
    </xf>
    <xf numFmtId="49" fontId="31" fillId="0" borderId="0" xfId="7" applyNumberFormat="1" applyFont="1"/>
    <xf numFmtId="0" fontId="26" fillId="0" borderId="0" xfId="0" applyFont="1" applyAlignment="1">
      <alignment horizontal="right"/>
    </xf>
    <xf numFmtId="0" fontId="27" fillId="0" borderId="0" xfId="0" quotePrefix="1" applyFont="1" applyAlignment="1">
      <alignment horizontal="left" vertical="top"/>
    </xf>
    <xf numFmtId="0" fontId="22" fillId="0" borderId="0" xfId="0" quotePrefix="1" applyFont="1"/>
    <xf numFmtId="169" fontId="25" fillId="6" borderId="0" xfId="0" applyNumberFormat="1" applyFont="1" applyFill="1" applyAlignment="1">
      <alignment horizontal="center"/>
    </xf>
    <xf numFmtId="4" fontId="31" fillId="6" borderId="1" xfId="0" applyNumberFormat="1" applyFont="1" applyFill="1" applyBorder="1" applyAlignment="1">
      <alignment horizontal="center"/>
    </xf>
    <xf numFmtId="43" fontId="31" fillId="6" borderId="1" xfId="1" applyFont="1" applyFill="1" applyBorder="1" applyAlignment="1"/>
    <xf numFmtId="41" fontId="31" fillId="6" borderId="0" xfId="1" applyNumberFormat="1" applyFont="1" applyFill="1" applyBorder="1" applyAlignment="1"/>
    <xf numFmtId="175" fontId="31" fillId="6" borderId="0" xfId="0" applyNumberFormat="1" applyFont="1" applyFill="1"/>
    <xf numFmtId="38" fontId="31" fillId="6" borderId="0" xfId="0" quotePrefix="1" applyNumberFormat="1" applyFont="1" applyFill="1"/>
    <xf numFmtId="0" fontId="41" fillId="0" borderId="0" xfId="0" applyFont="1"/>
    <xf numFmtId="0" fontId="31" fillId="3" borderId="0" xfId="0" quotePrefix="1" applyFont="1" applyFill="1" applyAlignment="1">
      <alignment horizontal="left"/>
    </xf>
    <xf numFmtId="0" fontId="31" fillId="3" borderId="0" xfId="0" applyFont="1" applyFill="1"/>
    <xf numFmtId="16" fontId="26" fillId="0" borderId="0" xfId="0" applyNumberFormat="1" applyFont="1"/>
    <xf numFmtId="43" fontId="40" fillId="0" borderId="0" xfId="1" applyFont="1" applyFill="1"/>
    <xf numFmtId="43" fontId="26" fillId="0" borderId="0" xfId="1" applyFont="1" applyFill="1"/>
    <xf numFmtId="7" fontId="25" fillId="6" borderId="0" xfId="0" applyNumberFormat="1" applyFont="1" applyFill="1" applyAlignment="1">
      <alignment horizontal="left"/>
    </xf>
    <xf numFmtId="4" fontId="23" fillId="6" borderId="1" xfId="0" applyNumberFormat="1" applyFont="1" applyFill="1" applyBorder="1" applyAlignment="1">
      <alignment horizontal="center"/>
    </xf>
    <xf numFmtId="43" fontId="23" fillId="6" borderId="1" xfId="1" applyFont="1" applyFill="1" applyBorder="1" applyAlignment="1"/>
    <xf numFmtId="41" fontId="23" fillId="6" borderId="0" xfId="1" applyNumberFormat="1" applyFont="1" applyFill="1" applyBorder="1" applyAlignment="1"/>
    <xf numFmtId="4" fontId="23" fillId="6" borderId="0" xfId="0" applyNumberFormat="1" applyFont="1" applyFill="1" applyAlignment="1">
      <alignment horizontal="center"/>
    </xf>
    <xf numFmtId="38" fontId="23" fillId="6" borderId="0" xfId="0" quotePrefix="1" applyNumberFormat="1" applyFont="1" applyFill="1"/>
    <xf numFmtId="164" fontId="23" fillId="0" borderId="0" xfId="6" quotePrefix="1" applyFont="1" applyBorder="1" applyAlignment="1">
      <alignment horizontal="center" wrapText="1"/>
    </xf>
    <xf numFmtId="3" fontId="23" fillId="2" borderId="0" xfId="0" quotePrefix="1" applyNumberFormat="1" applyFont="1" applyFill="1"/>
    <xf numFmtId="0" fontId="19" fillId="0" borderId="0" xfId="0" quotePrefix="1" applyFont="1" applyAlignment="1">
      <alignment horizontal="left"/>
    </xf>
    <xf numFmtId="0" fontId="42" fillId="0" borderId="0" xfId="0" applyFont="1"/>
    <xf numFmtId="0" fontId="23" fillId="7" borderId="0" xfId="0" applyFont="1" applyFill="1"/>
    <xf numFmtId="0" fontId="23" fillId="7" borderId="0" xfId="0" applyFont="1" applyFill="1" applyAlignment="1">
      <alignment horizontal="left"/>
    </xf>
    <xf numFmtId="0" fontId="29" fillId="7" borderId="0" xfId="0" applyFont="1" applyFill="1"/>
    <xf numFmtId="43" fontId="23" fillId="7" borderId="0" xfId="1" applyFont="1" applyFill="1" applyBorder="1" applyAlignment="1"/>
    <xf numFmtId="1" fontId="26" fillId="0" borderId="0" xfId="2" quotePrefix="1" applyNumberFormat="1" applyFont="1" applyFill="1" applyBorder="1" applyAlignment="1">
      <alignment horizontal="center"/>
    </xf>
    <xf numFmtId="1" fontId="26" fillId="0" borderId="0" xfId="2" quotePrefix="1" applyNumberFormat="1" applyFont="1" applyFill="1" applyBorder="1" applyAlignment="1"/>
    <xf numFmtId="49" fontId="26" fillId="0" borderId="0" xfId="7" applyNumberFormat="1" applyFont="1"/>
    <xf numFmtId="49" fontId="26" fillId="4" borderId="0" xfId="7" quotePrefix="1" applyNumberFormat="1" applyFont="1" applyFill="1" applyAlignment="1">
      <alignment horizontal="left" indent="1"/>
    </xf>
    <xf numFmtId="0" fontId="27" fillId="0" borderId="12" xfId="0" applyFont="1" applyBorder="1" applyAlignment="1">
      <alignment horizontal="center"/>
    </xf>
    <xf numFmtId="0" fontId="27" fillId="0" borderId="13" xfId="0" applyFont="1" applyBorder="1" applyAlignment="1">
      <alignment horizontal="center"/>
    </xf>
    <xf numFmtId="0" fontId="27" fillId="0" borderId="14" xfId="0" applyFont="1" applyBorder="1" applyAlignment="1">
      <alignment horizontal="center"/>
    </xf>
    <xf numFmtId="0" fontId="27" fillId="0" borderId="4" xfId="0" quotePrefix="1" applyFont="1" applyBorder="1" applyAlignment="1">
      <alignment horizontal="center"/>
    </xf>
    <xf numFmtId="1" fontId="26" fillId="0" borderId="0" xfId="8" applyNumberFormat="1" applyFont="1" applyAlignment="1">
      <alignment horizontal="center"/>
    </xf>
    <xf numFmtId="1" fontId="26" fillId="0" borderId="0" xfId="8" applyNumberFormat="1" applyFont="1"/>
    <xf numFmtId="10" fontId="26" fillId="0" borderId="0" xfId="10" applyNumberFormat="1" applyFont="1"/>
    <xf numFmtId="1" fontId="26" fillId="0" borderId="0" xfId="8" quotePrefix="1" applyNumberFormat="1" applyFont="1" applyAlignment="1">
      <alignment horizontal="left"/>
    </xf>
    <xf numFmtId="9" fontId="27" fillId="0" borderId="12" xfId="0" applyNumberFormat="1" applyFont="1" applyBorder="1" applyAlignment="1">
      <alignment horizontal="center"/>
    </xf>
    <xf numFmtId="43" fontId="26" fillId="0" borderId="1" xfId="0" applyNumberFormat="1" applyFont="1" applyBorder="1"/>
    <xf numFmtId="43" fontId="26" fillId="0" borderId="8" xfId="0" applyNumberFormat="1" applyFont="1" applyBorder="1"/>
    <xf numFmtId="43" fontId="26" fillId="0" borderId="4" xfId="1" applyFont="1" applyBorder="1" applyAlignment="1">
      <alignment horizontal="center"/>
    </xf>
    <xf numFmtId="10" fontId="26" fillId="0" borderId="15" xfId="10" applyNumberFormat="1" applyFont="1" applyBorder="1"/>
    <xf numFmtId="43" fontId="26" fillId="0" borderId="15" xfId="0" applyNumberFormat="1" applyFont="1" applyBorder="1"/>
    <xf numFmtId="43" fontId="26" fillId="0" borderId="15" xfId="1" applyFont="1" applyBorder="1"/>
    <xf numFmtId="0" fontId="42" fillId="0" borderId="3" xfId="0" quotePrefix="1" applyFont="1" applyBorder="1" applyAlignment="1">
      <alignment horizontal="center"/>
    </xf>
    <xf numFmtId="0" fontId="43" fillId="0" borderId="0" xfId="0" quotePrefix="1" applyFont="1" applyAlignment="1">
      <alignment horizontal="left"/>
    </xf>
    <xf numFmtId="16" fontId="40" fillId="0" borderId="0" xfId="0" applyNumberFormat="1" applyFont="1"/>
    <xf numFmtId="0" fontId="19" fillId="0" borderId="0" xfId="0" quotePrefix="1" applyFont="1" applyAlignment="1">
      <alignment horizontal="left" indent="1"/>
    </xf>
    <xf numFmtId="0" fontId="27" fillId="0" borderId="0" xfId="0" quotePrefix="1" applyFont="1" applyAlignment="1" applyProtection="1">
      <alignment horizontal="left"/>
      <protection locked="0"/>
    </xf>
    <xf numFmtId="170" fontId="23" fillId="0" borderId="0" xfId="6" quotePrefix="1" applyNumberFormat="1" applyFont="1" applyBorder="1" applyAlignment="1">
      <alignment horizontal="center"/>
    </xf>
    <xf numFmtId="0" fontId="43" fillId="0" borderId="0" xfId="0" quotePrefix="1" applyFont="1" applyAlignment="1">
      <alignment horizontal="left" indent="2"/>
    </xf>
    <xf numFmtId="16" fontId="23" fillId="0" borderId="0" xfId="0" applyNumberFormat="1" applyFont="1" applyAlignment="1">
      <alignment vertical="center"/>
    </xf>
    <xf numFmtId="0" fontId="29" fillId="0" borderId="1" xfId="0" quotePrefix="1" applyFont="1" applyBorder="1" applyAlignment="1">
      <alignment horizontal="center"/>
    </xf>
    <xf numFmtId="164" fontId="31" fillId="0" borderId="0" xfId="6" quotePrefix="1" applyFont="1" applyBorder="1" applyAlignment="1">
      <alignment horizontal="center" wrapText="1"/>
    </xf>
    <xf numFmtId="14" fontId="29" fillId="0" borderId="1" xfId="0" quotePrefix="1" applyNumberFormat="1" applyFont="1" applyBorder="1" applyAlignment="1">
      <alignment horizontal="center"/>
    </xf>
    <xf numFmtId="43" fontId="40" fillId="4" borderId="0" xfId="1" applyFont="1" applyFill="1" applyBorder="1" applyAlignment="1"/>
    <xf numFmtId="43" fontId="40" fillId="0" borderId="0" xfId="1" applyFont="1" applyFill="1" applyBorder="1" applyAlignment="1"/>
    <xf numFmtId="43" fontId="40" fillId="0" borderId="0" xfId="1" applyFont="1" applyFill="1" applyAlignment="1"/>
    <xf numFmtId="43" fontId="40" fillId="0" borderId="0" xfId="1" applyFont="1" applyFill="1" applyBorder="1"/>
    <xf numFmtId="0" fontId="26" fillId="4" borderId="0" xfId="0" applyFont="1" applyFill="1" applyAlignment="1">
      <alignment horizontal="center"/>
    </xf>
    <xf numFmtId="0" fontId="26" fillId="0" borderId="0" xfId="0" quotePrefix="1" applyFont="1" applyAlignment="1">
      <alignment horizontal="left" vertical="top"/>
    </xf>
    <xf numFmtId="17" fontId="29" fillId="0" borderId="0" xfId="0" quotePrefix="1" applyNumberFormat="1" applyFont="1" applyAlignment="1">
      <alignment horizontal="center"/>
    </xf>
    <xf numFmtId="7" fontId="26" fillId="0" borderId="0" xfId="0" quotePrefix="1" applyNumberFormat="1" applyFont="1" applyAlignment="1">
      <alignment horizontal="center"/>
    </xf>
    <xf numFmtId="0" fontId="43" fillId="2" borderId="16" xfId="0" quotePrefix="1" applyFont="1" applyFill="1" applyBorder="1" applyAlignment="1">
      <alignment horizontal="left" indent="1"/>
    </xf>
    <xf numFmtId="0" fontId="19" fillId="2" borderId="16" xfId="0" quotePrefix="1" applyFont="1" applyFill="1" applyBorder="1" applyAlignment="1">
      <alignment horizontal="left" indent="1"/>
    </xf>
    <xf numFmtId="0" fontId="43" fillId="2" borderId="16" xfId="0" quotePrefix="1" applyFont="1" applyFill="1" applyBorder="1" applyAlignment="1">
      <alignment horizontal="left"/>
    </xf>
    <xf numFmtId="0" fontId="26" fillId="0" borderId="0" xfId="0" quotePrefix="1" applyFont="1" applyAlignment="1">
      <alignment horizontal="left" vertical="center" indent="1"/>
    </xf>
    <xf numFmtId="49" fontId="26" fillId="0" borderId="0" xfId="7" quotePrefix="1" applyNumberFormat="1" applyFont="1" applyAlignment="1">
      <alignment horizontal="left" indent="1"/>
    </xf>
    <xf numFmtId="0" fontId="41" fillId="0" borderId="0" xfId="0" applyFont="1" applyAlignment="1">
      <alignment horizontal="left"/>
    </xf>
    <xf numFmtId="0" fontId="27" fillId="0" borderId="0" xfId="0" applyFont="1" applyAlignment="1">
      <alignment vertical="center" wrapText="1"/>
    </xf>
    <xf numFmtId="0" fontId="27" fillId="0" borderId="0" xfId="0" quotePrefix="1" applyFont="1" applyAlignment="1" applyProtection="1">
      <alignment horizontal="left" vertical="center"/>
      <protection locked="0"/>
    </xf>
    <xf numFmtId="0" fontId="27" fillId="0" borderId="0" xfId="0" applyFont="1" applyAlignment="1" applyProtection="1">
      <alignment vertical="center"/>
      <protection locked="0"/>
    </xf>
    <xf numFmtId="0" fontId="27" fillId="0" borderId="0" xfId="0" applyFont="1" applyAlignment="1">
      <alignment vertical="center"/>
    </xf>
    <xf numFmtId="0" fontId="27" fillId="0" borderId="0" xfId="0" quotePrefix="1" applyFont="1" applyAlignment="1">
      <alignment horizontal="left" vertical="center"/>
    </xf>
    <xf numFmtId="0" fontId="41" fillId="0" borderId="0" xfId="0" quotePrefix="1" applyFont="1" applyAlignment="1">
      <alignment horizontal="left" vertical="center"/>
    </xf>
    <xf numFmtId="0" fontId="41" fillId="0" borderId="0" xfId="0" applyFont="1" applyAlignment="1">
      <alignment vertical="center"/>
    </xf>
    <xf numFmtId="0" fontId="27" fillId="0" borderId="0" xfId="0" quotePrefix="1" applyFont="1" applyAlignment="1" applyProtection="1">
      <alignment horizontal="left" vertical="center" indent="2"/>
      <protection locked="0"/>
    </xf>
    <xf numFmtId="0" fontId="27" fillId="0" borderId="0" xfId="0" applyFont="1" applyAlignment="1">
      <alignment horizontal="left" vertical="center" indent="2"/>
    </xf>
    <xf numFmtId="0" fontId="27" fillId="0" borderId="0" xfId="0" quotePrefix="1" applyFont="1" applyAlignment="1">
      <alignment horizontal="left" vertical="center" indent="2"/>
    </xf>
    <xf numFmtId="0" fontId="41" fillId="0" borderId="0" xfId="0" quotePrefix="1" applyFont="1" applyAlignment="1">
      <alignment horizontal="left" vertical="center" indent="1"/>
    </xf>
    <xf numFmtId="0" fontId="44" fillId="0" borderId="0" xfId="0" applyFont="1"/>
    <xf numFmtId="0" fontId="44" fillId="0" borderId="0" xfId="0" applyFont="1" applyAlignment="1">
      <alignment vertical="center"/>
    </xf>
    <xf numFmtId="0" fontId="41" fillId="0" borderId="0" xfId="0" applyFont="1" applyAlignment="1">
      <alignment horizontal="left" vertical="center"/>
    </xf>
    <xf numFmtId="0" fontId="44" fillId="0" borderId="0" xfId="0" quotePrefix="1" applyFont="1" applyAlignment="1" applyProtection="1">
      <alignment horizontal="left" vertical="center"/>
      <protection locked="0"/>
    </xf>
    <xf numFmtId="0" fontId="44" fillId="0" borderId="0" xfId="0" quotePrefix="1" applyFont="1" applyAlignment="1" applyProtection="1">
      <alignment horizontal="left"/>
      <protection locked="0"/>
    </xf>
    <xf numFmtId="0" fontId="41" fillId="0" borderId="0" xfId="0" quotePrefix="1" applyFont="1" applyAlignment="1" applyProtection="1">
      <alignment horizontal="left"/>
      <protection locked="0"/>
    </xf>
    <xf numFmtId="0" fontId="41" fillId="0" borderId="0" xfId="0" quotePrefix="1" applyFont="1" applyAlignment="1" applyProtection="1">
      <alignment horizontal="left" indent="1"/>
      <protection locked="0"/>
    </xf>
    <xf numFmtId="0" fontId="41" fillId="0" borderId="0" xfId="0" quotePrefix="1" applyFont="1" applyAlignment="1" applyProtection="1">
      <alignment horizontal="left" vertical="center"/>
      <protection locked="0"/>
    </xf>
    <xf numFmtId="0" fontId="41" fillId="0" borderId="0" xfId="0" quotePrefix="1" applyFont="1" applyAlignment="1" applyProtection="1">
      <alignment horizontal="left" vertical="center" indent="1"/>
      <protection locked="0"/>
    </xf>
    <xf numFmtId="41" fontId="39" fillId="0" borderId="15" xfId="8" applyNumberFormat="1" applyFont="1" applyBorder="1" applyAlignment="1">
      <alignment horizontal="center"/>
    </xf>
    <xf numFmtId="41" fontId="39" fillId="0" borderId="15" xfId="8" quotePrefix="1" applyNumberFormat="1" applyFont="1" applyBorder="1" applyAlignment="1">
      <alignment horizontal="center"/>
    </xf>
    <xf numFmtId="41" fontId="39" fillId="0" borderId="15" xfId="2" quotePrefix="1" applyNumberFormat="1" applyFont="1" applyFill="1" applyBorder="1" applyAlignment="1">
      <alignment horizontal="center"/>
    </xf>
    <xf numFmtId="41" fontId="39" fillId="0" borderId="15" xfId="2" applyNumberFormat="1" applyFont="1" applyFill="1" applyBorder="1" applyAlignment="1">
      <alignment horizontal="center"/>
    </xf>
    <xf numFmtId="41" fontId="26" fillId="0" borderId="0" xfId="0" applyNumberFormat="1" applyFont="1" applyAlignment="1">
      <alignment horizontal="center"/>
    </xf>
    <xf numFmtId="0" fontId="27" fillId="0" borderId="0" xfId="0" quotePrefix="1" applyFont="1" applyAlignment="1">
      <alignment horizontal="left"/>
    </xf>
    <xf numFmtId="179" fontId="27" fillId="0" borderId="14" xfId="0" applyNumberFormat="1" applyFont="1" applyBorder="1" applyAlignment="1">
      <alignment horizontal="center"/>
    </xf>
    <xf numFmtId="179" fontId="27" fillId="0" borderId="4" xfId="0" applyNumberFormat="1" applyFont="1" applyBorder="1" applyAlignment="1">
      <alignment horizontal="center"/>
    </xf>
    <xf numFmtId="179" fontId="26" fillId="0" borderId="0" xfId="0" applyNumberFormat="1" applyFont="1" applyAlignment="1">
      <alignment horizontal="center"/>
    </xf>
    <xf numFmtId="0" fontId="27" fillId="8" borderId="0" xfId="0" applyFont="1" applyFill="1"/>
    <xf numFmtId="179" fontId="27" fillId="8" borderId="0" xfId="0" applyNumberFormat="1" applyFont="1" applyFill="1" applyAlignment="1">
      <alignment horizontal="center"/>
    </xf>
    <xf numFmtId="0" fontId="26" fillId="0" borderId="0" xfId="0" applyFont="1" applyAlignment="1">
      <alignment horizontal="left" indent="1"/>
    </xf>
    <xf numFmtId="180" fontId="26" fillId="0" borderId="0" xfId="0" applyNumberFormat="1" applyFont="1" applyAlignment="1">
      <alignment horizontal="center"/>
    </xf>
    <xf numFmtId="0" fontId="27" fillId="9" borderId="0" xfId="0" applyFont="1" applyFill="1"/>
    <xf numFmtId="179" fontId="27" fillId="9" borderId="0" xfId="0" applyNumberFormat="1" applyFont="1" applyFill="1" applyAlignment="1">
      <alignment horizontal="center"/>
    </xf>
    <xf numFmtId="0" fontId="27" fillId="10" borderId="0" xfId="0" applyFont="1" applyFill="1"/>
    <xf numFmtId="179" fontId="27" fillId="10" borderId="0" xfId="0" applyNumberFormat="1" applyFont="1" applyFill="1" applyAlignment="1">
      <alignment horizontal="center"/>
    </xf>
    <xf numFmtId="179" fontId="42" fillId="0" borderId="0" xfId="0" applyNumberFormat="1" applyFont="1" applyAlignment="1">
      <alignment horizontal="center"/>
    </xf>
    <xf numFmtId="180" fontId="39" fillId="0" borderId="0" xfId="0" applyNumberFormat="1" applyFont="1" applyAlignment="1">
      <alignment horizontal="center"/>
    </xf>
    <xf numFmtId="179" fontId="39" fillId="0" borderId="0" xfId="0" applyNumberFormat="1" applyFont="1" applyAlignment="1">
      <alignment horizontal="center"/>
    </xf>
    <xf numFmtId="179" fontId="26" fillId="0" borderId="0" xfId="0" quotePrefix="1" applyNumberFormat="1" applyFont="1" applyAlignment="1">
      <alignment horizontal="center"/>
    </xf>
    <xf numFmtId="0" fontId="27" fillId="6" borderId="0" xfId="0" applyFont="1" applyFill="1"/>
    <xf numFmtId="0" fontId="26" fillId="6" borderId="0" xfId="0" applyFont="1" applyFill="1"/>
    <xf numFmtId="179" fontId="26" fillId="6" borderId="0" xfId="0" applyNumberFormat="1" applyFont="1" applyFill="1" applyAlignment="1">
      <alignment horizontal="center"/>
    </xf>
    <xf numFmtId="0" fontId="27" fillId="11" borderId="0" xfId="0" quotePrefix="1" applyFont="1" applyFill="1" applyAlignment="1">
      <alignment horizontal="left"/>
    </xf>
    <xf numFmtId="0" fontId="26" fillId="11" borderId="0" xfId="0" applyFont="1" applyFill="1"/>
    <xf numFmtId="179" fontId="26" fillId="11" borderId="0" xfId="0" applyNumberFormat="1" applyFont="1" applyFill="1" applyAlignment="1">
      <alignment horizontal="center"/>
    </xf>
    <xf numFmtId="0" fontId="27" fillId="12" borderId="0" xfId="0" quotePrefix="1" applyFont="1" applyFill="1" applyAlignment="1">
      <alignment horizontal="left"/>
    </xf>
    <xf numFmtId="0" fontId="26" fillId="12" borderId="0" xfId="0" applyFont="1" applyFill="1"/>
    <xf numFmtId="179" fontId="26" fillId="12" borderId="0" xfId="0" applyNumberFormat="1" applyFont="1" applyFill="1" applyAlignment="1">
      <alignment horizontal="center"/>
    </xf>
    <xf numFmtId="178" fontId="26" fillId="0" borderId="0" xfId="0" applyNumberFormat="1" applyFont="1" applyAlignment="1">
      <alignment horizontal="center"/>
    </xf>
    <xf numFmtId="1" fontId="26" fillId="0" borderId="0" xfId="7" quotePrefix="1" applyNumberFormat="1" applyFont="1" applyAlignment="1">
      <alignment horizontal="right"/>
    </xf>
    <xf numFmtId="43" fontId="26" fillId="0" borderId="0" xfId="7" applyNumberFormat="1" applyFont="1" applyAlignment="1">
      <alignment vertical="center"/>
    </xf>
    <xf numFmtId="164" fontId="23" fillId="2" borderId="0" xfId="6" quotePrefix="1" applyFont="1" applyFill="1" applyBorder="1" applyAlignment="1">
      <alignment horizontal="center" wrapText="1"/>
    </xf>
    <xf numFmtId="164" fontId="23" fillId="0" borderId="0" xfId="6" quotePrefix="1" applyFont="1" applyBorder="1" applyAlignment="1">
      <alignment horizontal="center"/>
    </xf>
    <xf numFmtId="16" fontId="27" fillId="0" borderId="0" xfId="0" applyNumberFormat="1" applyFont="1" applyAlignment="1">
      <alignment horizontal="left"/>
    </xf>
    <xf numFmtId="49" fontId="27" fillId="2" borderId="7" xfId="0" quotePrefix="1" applyNumberFormat="1" applyFont="1" applyFill="1" applyBorder="1" applyAlignment="1">
      <alignment horizontal="left"/>
    </xf>
    <xf numFmtId="49" fontId="42" fillId="2" borderId="0" xfId="0" quotePrefix="1" applyNumberFormat="1" applyFont="1" applyFill="1" applyAlignment="1">
      <alignment horizontal="center"/>
    </xf>
    <xf numFmtId="49" fontId="27" fillId="2" borderId="2" xfId="0" applyNumberFormat="1" applyFont="1" applyFill="1" applyBorder="1"/>
    <xf numFmtId="0" fontId="27" fillId="13" borderId="0" xfId="0" quotePrefix="1" applyFont="1" applyFill="1" applyAlignment="1">
      <alignment horizontal="left"/>
    </xf>
    <xf numFmtId="0" fontId="26" fillId="13" borderId="0" xfId="0" applyFont="1" applyFill="1"/>
    <xf numFmtId="179" fontId="26" fillId="13" borderId="0" xfId="0" applyNumberFormat="1" applyFont="1" applyFill="1" applyAlignment="1">
      <alignment horizontal="center"/>
    </xf>
    <xf numFmtId="180" fontId="26" fillId="0" borderId="0" xfId="0" quotePrefix="1" applyNumberFormat="1" applyFont="1" applyAlignment="1">
      <alignment horizontal="center"/>
    </xf>
    <xf numFmtId="0" fontId="26" fillId="0" borderId="0" xfId="0" quotePrefix="1" applyFont="1" applyAlignment="1">
      <alignment vertical="center"/>
    </xf>
    <xf numFmtId="0" fontId="26" fillId="4" borderId="0" xfId="0" quotePrefix="1" applyFont="1" applyFill="1" applyAlignment="1">
      <alignment horizontal="left" vertical="center" indent="1"/>
    </xf>
    <xf numFmtId="0" fontId="45" fillId="2" borderId="16" xfId="0" applyFont="1" applyFill="1" applyBorder="1"/>
    <xf numFmtId="1" fontId="26" fillId="4" borderId="0" xfId="7" applyNumberFormat="1" applyFont="1" applyFill="1" applyAlignment="1">
      <alignment horizontal="right" indent="1"/>
    </xf>
    <xf numFmtId="1" fontId="26" fillId="0" borderId="0" xfId="7" quotePrefix="1" applyNumberFormat="1" applyFont="1" applyAlignment="1">
      <alignment horizontal="right" indent="1"/>
    </xf>
    <xf numFmtId="0" fontId="31" fillId="4" borderId="4" xfId="0" applyFont="1" applyFill="1" applyBorder="1" applyAlignment="1">
      <alignment horizontal="center"/>
    </xf>
    <xf numFmtId="1" fontId="26" fillId="4" borderId="0" xfId="2" applyNumberFormat="1" applyFont="1" applyFill="1" applyBorder="1" applyAlignment="1">
      <alignment horizontal="center"/>
    </xf>
    <xf numFmtId="1" fontId="26" fillId="4" borderId="0" xfId="2" quotePrefix="1" applyNumberFormat="1" applyFont="1" applyFill="1" applyBorder="1" applyAlignment="1">
      <alignment horizontal="left"/>
    </xf>
    <xf numFmtId="49" fontId="27" fillId="2" borderId="20" xfId="0" quotePrefix="1" applyNumberFormat="1" applyFont="1" applyFill="1" applyBorder="1" applyAlignment="1">
      <alignment horizontal="left" indent="1"/>
    </xf>
    <xf numFmtId="0" fontId="27" fillId="14" borderId="0" xfId="0" quotePrefix="1" applyFont="1" applyFill="1" applyAlignment="1">
      <alignment horizontal="left"/>
    </xf>
    <xf numFmtId="0" fontId="26" fillId="14" borderId="0" xfId="0" applyFont="1" applyFill="1"/>
    <xf numFmtId="179" fontId="26" fillId="14" borderId="0" xfId="0" applyNumberFormat="1" applyFont="1" applyFill="1" applyAlignment="1">
      <alignment horizontal="center"/>
    </xf>
    <xf numFmtId="10" fontId="26" fillId="0" borderId="0" xfId="10" applyNumberFormat="1" applyFont="1" applyBorder="1"/>
    <xf numFmtId="0" fontId="27" fillId="0" borderId="14" xfId="0" quotePrefix="1" applyFont="1" applyBorder="1" applyAlignment="1">
      <alignment horizontal="center"/>
    </xf>
    <xf numFmtId="0" fontId="27" fillId="2" borderId="7" xfId="0" quotePrefix="1" applyFont="1" applyFill="1" applyBorder="1" applyAlignment="1">
      <alignment horizontal="left" indent="1"/>
    </xf>
    <xf numFmtId="0" fontId="23" fillId="2" borderId="0" xfId="0" quotePrefix="1" applyFont="1" applyFill="1" applyAlignment="1">
      <alignment horizontal="left"/>
    </xf>
    <xf numFmtId="0" fontId="25" fillId="2" borderId="0" xfId="0" applyFont="1" applyFill="1" applyAlignment="1">
      <alignment horizontal="left"/>
    </xf>
    <xf numFmtId="0" fontId="27" fillId="0" borderId="0" xfId="0" quotePrefix="1" applyFont="1" applyAlignment="1" applyProtection="1">
      <alignment horizontal="left" indent="2"/>
      <protection locked="0"/>
    </xf>
    <xf numFmtId="0" fontId="27" fillId="0" borderId="0" xfId="0" applyFont="1" applyProtection="1">
      <protection locked="0"/>
    </xf>
    <xf numFmtId="0" fontId="25" fillId="2" borderId="0" xfId="0" quotePrefix="1" applyFont="1" applyFill="1" applyAlignment="1">
      <alignment horizontal="left"/>
    </xf>
    <xf numFmtId="164" fontId="46" fillId="0" borderId="1" xfId="6" quotePrefix="1" applyFont="1" applyBorder="1" applyAlignment="1">
      <alignment horizontal="center"/>
    </xf>
    <xf numFmtId="0" fontId="51" fillId="0" borderId="0" xfId="0" applyFont="1" applyAlignment="1">
      <alignment horizontal="left" indent="2"/>
    </xf>
    <xf numFmtId="0" fontId="51" fillId="0" borderId="0" xfId="0" quotePrefix="1" applyFont="1" applyAlignment="1">
      <alignment horizontal="left" vertical="center" indent="2"/>
    </xf>
    <xf numFmtId="0" fontId="23" fillId="0" borderId="0" xfId="0" applyFont="1" applyAlignment="1">
      <alignment horizontal="left" vertical="center" indent="2"/>
    </xf>
    <xf numFmtId="169" fontId="28" fillId="0" borderId="0" xfId="0" applyNumberFormat="1" applyFont="1" applyAlignment="1">
      <alignment horizontal="left" vertical="center" indent="2"/>
    </xf>
    <xf numFmtId="2" fontId="23" fillId="0" borderId="0" xfId="0" applyNumberFormat="1" applyFont="1" applyAlignment="1">
      <alignment horizontal="left" vertical="center" indent="2"/>
    </xf>
    <xf numFmtId="43" fontId="23" fillId="0" borderId="0" xfId="1" applyFont="1" applyBorder="1" applyAlignment="1">
      <alignment horizontal="left" vertical="center" indent="2"/>
    </xf>
    <xf numFmtId="0" fontId="23" fillId="2" borderId="0" xfId="0" applyFont="1" applyFill="1" applyAlignment="1">
      <alignment horizontal="left" vertical="center" indent="2"/>
    </xf>
    <xf numFmtId="169" fontId="28" fillId="2" borderId="0" xfId="0" applyNumberFormat="1" applyFont="1" applyFill="1" applyAlignment="1">
      <alignment horizontal="left" vertical="center" indent="2"/>
    </xf>
    <xf numFmtId="2" fontId="23" fillId="2" borderId="0" xfId="0" applyNumberFormat="1" applyFont="1" applyFill="1" applyAlignment="1">
      <alignment horizontal="left" vertical="center" indent="2"/>
    </xf>
    <xf numFmtId="0" fontId="51" fillId="0" borderId="0" xfId="0" applyFont="1" applyAlignment="1">
      <alignment horizontal="left" vertical="top" indent="2"/>
    </xf>
    <xf numFmtId="0" fontId="23" fillId="0" borderId="0" xfId="0" quotePrefix="1" applyFont="1"/>
    <xf numFmtId="44" fontId="23" fillId="0" borderId="0" xfId="1" applyNumberFormat="1" applyFont="1" applyAlignment="1">
      <alignment horizontal="right"/>
    </xf>
    <xf numFmtId="10" fontId="23" fillId="0" borderId="0" xfId="10" applyNumberFormat="1" applyFont="1" applyAlignment="1">
      <alignment horizontal="center"/>
    </xf>
    <xf numFmtId="43" fontId="23" fillId="2" borderId="0" xfId="1" applyFont="1" applyFill="1" applyBorder="1" applyAlignment="1"/>
    <xf numFmtId="0" fontId="51" fillId="2" borderId="0" xfId="0" quotePrefix="1" applyFont="1" applyFill="1" applyAlignment="1">
      <alignment horizontal="left" vertical="center" indent="2"/>
    </xf>
    <xf numFmtId="43" fontId="23" fillId="2" borderId="0" xfId="1" applyFont="1" applyFill="1" applyBorder="1" applyAlignment="1">
      <alignment horizontal="left" vertical="center" indent="2"/>
    </xf>
    <xf numFmtId="0" fontId="51" fillId="2" borderId="0" xfId="0" quotePrefix="1" applyFont="1" applyFill="1" applyAlignment="1">
      <alignment horizontal="left" vertical="top" indent="2"/>
    </xf>
    <xf numFmtId="0" fontId="51" fillId="2" borderId="0" xfId="0" applyFont="1" applyFill="1" applyAlignment="1">
      <alignment horizontal="left" indent="2"/>
    </xf>
    <xf numFmtId="0" fontId="23" fillId="2" borderId="0" xfId="0" quotePrefix="1" applyFont="1" applyFill="1"/>
    <xf numFmtId="44" fontId="23" fillId="2" borderId="0" xfId="1" applyNumberFormat="1" applyFont="1" applyFill="1" applyAlignment="1">
      <alignment horizontal="right"/>
    </xf>
    <xf numFmtId="2" fontId="23" fillId="2" borderId="0" xfId="0" quotePrefix="1" applyNumberFormat="1" applyFont="1" applyFill="1" applyAlignment="1">
      <alignment horizontal="center"/>
    </xf>
    <xf numFmtId="10" fontId="23" fillId="2" borderId="0" xfId="10" applyNumberFormat="1" applyFont="1" applyFill="1" applyAlignment="1">
      <alignment horizontal="center"/>
    </xf>
    <xf numFmtId="43" fontId="23" fillId="2" borderId="5" xfId="1" applyFont="1" applyFill="1" applyBorder="1" applyAlignment="1"/>
    <xf numFmtId="0" fontId="51" fillId="2" borderId="0" xfId="0" applyFont="1" applyFill="1" applyAlignment="1">
      <alignment horizontal="left" vertical="top" indent="2"/>
    </xf>
    <xf numFmtId="0" fontId="46" fillId="0" borderId="0" xfId="0" applyFont="1"/>
    <xf numFmtId="0" fontId="46" fillId="2" borderId="0" xfId="0" applyFont="1" applyFill="1"/>
    <xf numFmtId="0" fontId="46" fillId="2" borderId="0" xfId="0" quotePrefix="1" applyFont="1" applyFill="1" applyAlignment="1">
      <alignment horizontal="left"/>
    </xf>
    <xf numFmtId="0" fontId="46" fillId="0" borderId="0" xfId="0" quotePrefix="1" applyFont="1" applyAlignment="1">
      <alignment horizontal="left"/>
    </xf>
    <xf numFmtId="43" fontId="23" fillId="0" borderId="0" xfId="1" applyFont="1"/>
    <xf numFmtId="41" fontId="23" fillId="2" borderId="1" xfId="0" applyNumberFormat="1" applyFont="1" applyFill="1" applyBorder="1"/>
    <xf numFmtId="41" fontId="23" fillId="2" borderId="0" xfId="0" applyNumberFormat="1" applyFont="1" applyFill="1"/>
    <xf numFmtId="166" fontId="23" fillId="2" borderId="0" xfId="0" applyNumberFormat="1" applyFont="1" applyFill="1" applyAlignment="1">
      <alignment horizontal="center"/>
    </xf>
    <xf numFmtId="166" fontId="23" fillId="0" borderId="0" xfId="0" applyNumberFormat="1" applyFont="1" applyAlignment="1">
      <alignment horizontal="center"/>
    </xf>
    <xf numFmtId="0" fontId="14" fillId="0" borderId="0" xfId="0" quotePrefix="1" applyFont="1" applyAlignment="1">
      <alignment horizontal="left"/>
    </xf>
    <xf numFmtId="43" fontId="25" fillId="0" borderId="0" xfId="1" applyFont="1" applyFill="1" applyBorder="1" applyAlignment="1"/>
    <xf numFmtId="0" fontId="25" fillId="0" borderId="0" xfId="0" applyFont="1" applyAlignment="1">
      <alignment horizontal="right"/>
    </xf>
    <xf numFmtId="7" fontId="53" fillId="0" borderId="0" xfId="0" quotePrefix="1" applyNumberFormat="1" applyFont="1" applyAlignment="1">
      <alignment horizontal="center"/>
    </xf>
    <xf numFmtId="17" fontId="53" fillId="0" borderId="0" xfId="0" quotePrefix="1" applyNumberFormat="1" applyFont="1" applyAlignment="1">
      <alignment horizontal="center"/>
    </xf>
    <xf numFmtId="7" fontId="53" fillId="0" borderId="0" xfId="0" applyNumberFormat="1" applyFont="1" applyAlignment="1">
      <alignment horizontal="center"/>
    </xf>
    <xf numFmtId="2" fontId="25" fillId="0" borderId="0" xfId="0" quotePrefix="1" applyNumberFormat="1" applyFont="1" applyAlignment="1">
      <alignment horizontal="center"/>
    </xf>
    <xf numFmtId="0" fontId="54" fillId="0" borderId="0" xfId="0" quotePrefix="1" applyFont="1" applyAlignment="1">
      <alignment horizontal="center"/>
    </xf>
    <xf numFmtId="0" fontId="23" fillId="0" borderId="0" xfId="0" quotePrefix="1" applyFont="1" applyAlignment="1">
      <alignment horizontal="left" wrapText="1"/>
    </xf>
    <xf numFmtId="2" fontId="48" fillId="0" borderId="0" xfId="0" applyNumberFormat="1" applyFont="1" applyAlignment="1">
      <alignment horizontal="left" indent="3"/>
    </xf>
    <xf numFmtId="2" fontId="33" fillId="2" borderId="0" xfId="0" applyNumberFormat="1" applyFont="1" applyFill="1" applyAlignment="1">
      <alignment horizontal="left"/>
    </xf>
    <xf numFmtId="0" fontId="23" fillId="2" borderId="0" xfId="0" quotePrefix="1" applyFont="1" applyFill="1" applyAlignment="1">
      <alignment horizontal="left" wrapText="1"/>
    </xf>
    <xf numFmtId="7" fontId="29" fillId="0" borderId="1" xfId="0" quotePrefix="1" applyNumberFormat="1" applyFont="1" applyBorder="1" applyAlignment="1">
      <alignment horizontal="center"/>
    </xf>
    <xf numFmtId="43" fontId="40" fillId="0" borderId="0" xfId="7" applyNumberFormat="1" applyFont="1"/>
    <xf numFmtId="49" fontId="26" fillId="0" borderId="0" xfId="0" quotePrefix="1" applyNumberFormat="1" applyFont="1" applyFill="1" applyAlignment="1">
      <alignment horizontal="left" indent="1"/>
    </xf>
    <xf numFmtId="0" fontId="27" fillId="2" borderId="7" xfId="0" quotePrefix="1" applyFont="1" applyFill="1" applyBorder="1" applyAlignment="1">
      <alignment horizontal="left"/>
    </xf>
    <xf numFmtId="0" fontId="23" fillId="0" borderId="1" xfId="0" quotePrefix="1" applyFont="1" applyBorder="1" applyAlignment="1">
      <alignment horizontal="center"/>
    </xf>
    <xf numFmtId="0" fontId="23" fillId="0" borderId="0" xfId="0" applyFont="1" applyAlignment="1">
      <alignment horizontal="left"/>
    </xf>
    <xf numFmtId="0" fontId="23" fillId="0" borderId="1" xfId="0" applyFont="1" applyBorder="1" applyAlignment="1">
      <alignment horizontal="center"/>
    </xf>
    <xf numFmtId="0" fontId="23" fillId="0" borderId="0" xfId="0" quotePrefix="1" applyFont="1" applyAlignment="1">
      <alignment horizontal="left"/>
    </xf>
    <xf numFmtId="0" fontId="23" fillId="0" borderId="0" xfId="0" applyFont="1" applyAlignment="1">
      <alignment horizontal="center"/>
    </xf>
    <xf numFmtId="0" fontId="23" fillId="0" borderId="0" xfId="0" quotePrefix="1" applyFont="1" applyAlignment="1">
      <alignment horizontal="center"/>
    </xf>
    <xf numFmtId="0" fontId="23" fillId="0" borderId="0" xfId="0" applyFont="1" applyAlignment="1">
      <alignment horizontal="right"/>
    </xf>
    <xf numFmtId="0" fontId="23" fillId="2" borderId="0" xfId="0" applyFont="1" applyFill="1" applyAlignment="1">
      <alignment horizontal="left"/>
    </xf>
    <xf numFmtId="166" fontId="28" fillId="2" borderId="0" xfId="0" applyNumberFormat="1" applyFont="1" applyFill="1" applyAlignment="1">
      <alignment horizontal="left"/>
    </xf>
    <xf numFmtId="0" fontId="23" fillId="2" borderId="0" xfId="0" applyFont="1" applyFill="1" applyAlignment="1">
      <alignment horizontal="right"/>
    </xf>
    <xf numFmtId="0" fontId="23" fillId="2" borderId="0" xfId="0" applyFont="1" applyFill="1" applyAlignment="1">
      <alignment horizontal="center"/>
    </xf>
    <xf numFmtId="0" fontId="23" fillId="2" borderId="1" xfId="0" quotePrefix="1" applyFont="1" applyFill="1" applyBorder="1" applyAlignment="1">
      <alignment horizontal="center"/>
    </xf>
    <xf numFmtId="0" fontId="23" fillId="0" borderId="0" xfId="0" quotePrefix="1" applyFont="1" applyAlignment="1">
      <alignment horizontal="left"/>
    </xf>
    <xf numFmtId="0" fontId="23" fillId="2" borderId="0" xfId="0" applyFont="1" applyFill="1" applyAlignment="1">
      <alignment horizontal="left"/>
    </xf>
    <xf numFmtId="0" fontId="23" fillId="2" borderId="0" xfId="0" quotePrefix="1" applyFont="1" applyFill="1" applyAlignment="1">
      <alignment horizontal="left"/>
    </xf>
    <xf numFmtId="0" fontId="55" fillId="0" borderId="0" xfId="0" quotePrefix="1" applyFont="1" applyAlignment="1">
      <alignment horizontal="center"/>
    </xf>
    <xf numFmtId="0" fontId="55" fillId="0" borderId="1" xfId="0" quotePrefix="1" applyFont="1" applyBorder="1" applyAlignment="1">
      <alignment horizontal="center"/>
    </xf>
    <xf numFmtId="7" fontId="23" fillId="0" borderId="0" xfId="0" quotePrefix="1" applyNumberFormat="1" applyFont="1" applyAlignment="1">
      <alignment horizontal="center"/>
    </xf>
    <xf numFmtId="170" fontId="55" fillId="6" borderId="0" xfId="6" applyNumberFormat="1" applyFont="1" applyFill="1" applyBorder="1" applyAlignment="1"/>
    <xf numFmtId="0" fontId="25" fillId="0" borderId="0" xfId="0" applyFont="1" applyFill="1" applyBorder="1"/>
    <xf numFmtId="0" fontId="23" fillId="2" borderId="1" xfId="0" applyFont="1" applyFill="1" applyBorder="1"/>
    <xf numFmtId="170" fontId="55" fillId="2" borderId="1" xfId="6" applyNumberFormat="1" applyFont="1" applyFill="1" applyBorder="1" applyAlignment="1"/>
    <xf numFmtId="0" fontId="26" fillId="2" borderId="0" xfId="0" quotePrefix="1" applyFont="1" applyFill="1" applyAlignment="1">
      <alignment horizontal="left"/>
    </xf>
    <xf numFmtId="0" fontId="25" fillId="2" borderId="0" xfId="0" quotePrefix="1" applyFont="1" applyFill="1" applyAlignment="1">
      <alignment horizontal="center"/>
    </xf>
    <xf numFmtId="166" fontId="28" fillId="2" borderId="0" xfId="0" applyNumberFormat="1" applyFont="1" applyFill="1" applyAlignment="1">
      <alignment horizontal="center"/>
    </xf>
    <xf numFmtId="7" fontId="25" fillId="2" borderId="0" xfId="0" quotePrefix="1" applyNumberFormat="1" applyFont="1" applyFill="1" applyBorder="1" applyAlignment="1">
      <alignment horizontal="center"/>
    </xf>
    <xf numFmtId="17" fontId="25" fillId="2" borderId="0" xfId="0" quotePrefix="1" applyNumberFormat="1" applyFont="1" applyFill="1" applyBorder="1" applyAlignment="1">
      <alignment horizontal="center"/>
    </xf>
    <xf numFmtId="7" fontId="25" fillId="2" borderId="0" xfId="0" applyNumberFormat="1" applyFont="1" applyFill="1" applyBorder="1" applyAlignment="1">
      <alignment horizontal="center"/>
    </xf>
    <xf numFmtId="0" fontId="25" fillId="2" borderId="0" xfId="0" quotePrefix="1" applyFont="1" applyFill="1" applyBorder="1" applyAlignment="1">
      <alignment horizontal="center"/>
    </xf>
    <xf numFmtId="169" fontId="23" fillId="2" borderId="0" xfId="0" quotePrefix="1" applyNumberFormat="1" applyFont="1" applyFill="1" applyBorder="1" applyAlignment="1">
      <alignment horizontal="center"/>
    </xf>
    <xf numFmtId="2" fontId="23" fillId="2" borderId="0" xfId="0" quotePrefix="1" applyNumberFormat="1" applyFont="1" applyFill="1" applyBorder="1" applyAlignment="1">
      <alignment horizontal="center"/>
    </xf>
    <xf numFmtId="0" fontId="55" fillId="2" borderId="1" xfId="0" quotePrefix="1" applyFont="1" applyFill="1" applyBorder="1" applyAlignment="1">
      <alignment horizontal="center"/>
    </xf>
    <xf numFmtId="44" fontId="23" fillId="2" borderId="8" xfId="0" applyNumberFormat="1" applyFont="1" applyFill="1" applyBorder="1"/>
    <xf numFmtId="164" fontId="23" fillId="2" borderId="5" xfId="6" applyNumberFormat="1" applyFont="1" applyFill="1" applyBorder="1" applyAlignment="1"/>
    <xf numFmtId="164" fontId="23" fillId="2" borderId="1" xfId="6" applyNumberFormat="1" applyFont="1" applyFill="1" applyBorder="1" applyAlignment="1"/>
    <xf numFmtId="164" fontId="23" fillId="2" borderId="1" xfId="0" applyNumberFormat="1" applyFont="1" applyFill="1" applyBorder="1"/>
    <xf numFmtId="164" fontId="23" fillId="2" borderId="6" xfId="6" applyNumberFormat="1" applyFont="1" applyFill="1" applyBorder="1" applyAlignment="1"/>
    <xf numFmtId="164" fontId="23" fillId="2" borderId="3" xfId="6" applyNumberFormat="1" applyFont="1" applyFill="1" applyBorder="1" applyAlignment="1"/>
    <xf numFmtId="164" fontId="23" fillId="2" borderId="0" xfId="6" applyNumberFormat="1" applyFont="1" applyFill="1" applyBorder="1" applyAlignment="1"/>
    <xf numFmtId="164" fontId="23" fillId="2" borderId="0" xfId="0" applyNumberFormat="1" applyFont="1" applyFill="1"/>
    <xf numFmtId="4" fontId="23" fillId="2" borderId="1" xfId="0" applyNumberFormat="1" applyFont="1" applyFill="1" applyBorder="1"/>
    <xf numFmtId="164" fontId="23" fillId="2" borderId="8" xfId="0" applyNumberFormat="1" applyFont="1" applyFill="1" applyBorder="1"/>
    <xf numFmtId="0" fontId="56" fillId="0" borderId="0" xfId="0" quotePrefix="1" applyFont="1" applyAlignment="1">
      <alignment horizontal="left" vertical="center" indent="2"/>
    </xf>
    <xf numFmtId="0" fontId="56" fillId="0" borderId="0" xfId="0" applyFont="1" applyAlignment="1">
      <alignment horizontal="left" vertical="top" indent="2"/>
    </xf>
    <xf numFmtId="0" fontId="56" fillId="0" borderId="0" xfId="0" quotePrefix="1" applyFont="1" applyAlignment="1">
      <alignment horizontal="left" vertical="top" indent="2"/>
    </xf>
    <xf numFmtId="0" fontId="23" fillId="0" borderId="1" xfId="0" quotePrefix="1" applyFont="1" applyBorder="1" applyAlignment="1">
      <alignment horizontal="center"/>
    </xf>
    <xf numFmtId="0" fontId="23" fillId="0" borderId="0" xfId="0" applyFont="1" applyAlignment="1">
      <alignment horizontal="left"/>
    </xf>
    <xf numFmtId="2" fontId="23" fillId="0" borderId="0" xfId="0" applyNumberFormat="1" applyFont="1" applyAlignment="1">
      <alignment horizontal="center"/>
    </xf>
    <xf numFmtId="0" fontId="23" fillId="0" borderId="1" xfId="0" applyFont="1" applyBorder="1" applyAlignment="1">
      <alignment horizontal="center"/>
    </xf>
    <xf numFmtId="0" fontId="23" fillId="0" borderId="0" xfId="0" quotePrefix="1" applyFont="1" applyAlignment="1">
      <alignment horizontal="left"/>
    </xf>
    <xf numFmtId="0" fontId="23" fillId="0" borderId="0" xfId="0" applyFont="1" applyAlignment="1">
      <alignment horizontal="center"/>
    </xf>
    <xf numFmtId="0" fontId="23" fillId="0" borderId="0" xfId="0" quotePrefix="1" applyFont="1" applyAlignment="1">
      <alignment horizontal="center"/>
    </xf>
    <xf numFmtId="0" fontId="23" fillId="0" borderId="0" xfId="0" applyFont="1" applyAlignment="1">
      <alignment horizontal="right"/>
    </xf>
    <xf numFmtId="0" fontId="57" fillId="0" borderId="0" xfId="0" applyFont="1" applyAlignment="1">
      <alignment horizontal="left" vertical="center"/>
    </xf>
    <xf numFmtId="0" fontId="59" fillId="0" borderId="0" xfId="0" applyFont="1" applyAlignment="1">
      <alignment horizontal="left" vertical="center" wrapText="1"/>
    </xf>
    <xf numFmtId="49" fontId="26" fillId="0" borderId="0" xfId="0" quotePrefix="1" applyNumberFormat="1" applyFont="1" applyFill="1"/>
    <xf numFmtId="49" fontId="42" fillId="2" borderId="0" xfId="0" quotePrefix="1" applyNumberFormat="1" applyFont="1" applyFill="1" applyBorder="1" applyAlignment="1">
      <alignment horizontal="center"/>
    </xf>
    <xf numFmtId="0" fontId="42" fillId="2" borderId="26" xfId="0" applyFont="1" applyFill="1" applyBorder="1"/>
    <xf numFmtId="0" fontId="42" fillId="2" borderId="18" xfId="0" applyFont="1" applyFill="1" applyBorder="1"/>
    <xf numFmtId="0" fontId="27" fillId="2" borderId="19" xfId="0" applyFont="1" applyFill="1" applyBorder="1"/>
    <xf numFmtId="0" fontId="43" fillId="2" borderId="17" xfId="0" quotePrefix="1" applyFont="1" applyFill="1" applyBorder="1" applyAlignment="1">
      <alignment horizontal="left" indent="2"/>
    </xf>
    <xf numFmtId="0" fontId="27" fillId="16" borderId="0" xfId="0" quotePrefix="1" applyFont="1" applyFill="1" applyAlignment="1">
      <alignment horizontal="left"/>
    </xf>
    <xf numFmtId="0" fontId="26" fillId="16" borderId="0" xfId="0" applyFont="1" applyFill="1"/>
    <xf numFmtId="179" fontId="26" fillId="16" borderId="0" xfId="0" applyNumberFormat="1" applyFont="1" applyFill="1" applyAlignment="1">
      <alignment horizontal="center"/>
    </xf>
    <xf numFmtId="0" fontId="26" fillId="0" borderId="0" xfId="0" quotePrefix="1" applyFont="1" applyFill="1" applyAlignment="1">
      <alignment horizontal="left" vertical="center" indent="1"/>
    </xf>
    <xf numFmtId="43" fontId="26" fillId="0" borderId="0" xfId="0" applyNumberFormat="1" applyFont="1" applyBorder="1"/>
    <xf numFmtId="0" fontId="27" fillId="2" borderId="0" xfId="0" quotePrefix="1" applyFont="1" applyFill="1" applyBorder="1" applyAlignment="1">
      <alignment vertical="top" wrapText="1"/>
    </xf>
    <xf numFmtId="0" fontId="27" fillId="2" borderId="18" xfId="0" quotePrefix="1" applyFont="1" applyFill="1" applyBorder="1" applyAlignment="1">
      <alignment vertical="top" wrapText="1"/>
    </xf>
    <xf numFmtId="43" fontId="43" fillId="0" borderId="0" xfId="0" quotePrefix="1" applyNumberFormat="1" applyFont="1" applyAlignment="1">
      <alignment horizontal="left"/>
    </xf>
    <xf numFmtId="0" fontId="11" fillId="0" borderId="0" xfId="12"/>
    <xf numFmtId="0" fontId="11" fillId="0" borderId="0" xfId="12" applyAlignment="1">
      <alignment horizontal="center"/>
    </xf>
    <xf numFmtId="43" fontId="0" fillId="0" borderId="0" xfId="13" applyFont="1"/>
    <xf numFmtId="43" fontId="11" fillId="0" borderId="0" xfId="12" applyNumberFormat="1"/>
    <xf numFmtId="43" fontId="12" fillId="0" borderId="0" xfId="13" applyFont="1"/>
    <xf numFmtId="0" fontId="61" fillId="0" borderId="0" xfId="12" applyFont="1"/>
    <xf numFmtId="43" fontId="61" fillId="0" borderId="0" xfId="12" applyNumberFormat="1" applyFont="1"/>
    <xf numFmtId="43" fontId="61" fillId="0" borderId="1" xfId="12" applyNumberFormat="1" applyFont="1" applyBorder="1"/>
    <xf numFmtId="0" fontId="60" fillId="0" borderId="0" xfId="12" applyFont="1"/>
    <xf numFmtId="0" fontId="60" fillId="0" borderId="0" xfId="12" applyFont="1" applyAlignment="1">
      <alignment horizontal="center"/>
    </xf>
    <xf numFmtId="0" fontId="60" fillId="0" borderId="0" xfId="12" applyFont="1" applyAlignment="1">
      <alignment horizontal="center" wrapText="1"/>
    </xf>
    <xf numFmtId="0" fontId="61" fillId="0" borderId="0" xfId="12" applyFont="1" applyAlignment="1">
      <alignment horizontal="right"/>
    </xf>
    <xf numFmtId="43" fontId="61" fillId="0" borderId="0" xfId="1" applyFont="1"/>
    <xf numFmtId="43" fontId="11" fillId="0" borderId="0" xfId="12" applyNumberFormat="1" applyFill="1"/>
    <xf numFmtId="43" fontId="12" fillId="0" borderId="0" xfId="1" applyFont="1"/>
    <xf numFmtId="43" fontId="64" fillId="0" borderId="0" xfId="1" applyFont="1"/>
    <xf numFmtId="43" fontId="64" fillId="0" borderId="0" xfId="13" applyFont="1"/>
    <xf numFmtId="0" fontId="61" fillId="0" borderId="0" xfId="12" applyFont="1" applyAlignment="1">
      <alignment horizontal="left"/>
    </xf>
    <xf numFmtId="43" fontId="62" fillId="0" borderId="0" xfId="13" applyFont="1" applyAlignment="1">
      <alignment horizontal="center"/>
    </xf>
    <xf numFmtId="43" fontId="63" fillId="0" borderId="0" xfId="1" applyFont="1" applyAlignment="1">
      <alignment horizontal="center"/>
    </xf>
    <xf numFmtId="178" fontId="26" fillId="0" borderId="0" xfId="0" quotePrefix="1" applyNumberFormat="1" applyFont="1" applyAlignment="1">
      <alignment horizontal="center"/>
    </xf>
    <xf numFmtId="4" fontId="23" fillId="0" borderId="0" xfId="0" quotePrefix="1" applyNumberFormat="1" applyFont="1" applyAlignment="1">
      <alignment horizontal="center"/>
    </xf>
    <xf numFmtId="0" fontId="23" fillId="0" borderId="0" xfId="0" applyFont="1" applyAlignment="1">
      <alignment horizontal="center"/>
    </xf>
    <xf numFmtId="0" fontId="23" fillId="0" borderId="0" xfId="0" applyFont="1" applyAlignment="1">
      <alignment horizontal="left"/>
    </xf>
    <xf numFmtId="0" fontId="23" fillId="0" borderId="0" xfId="0" quotePrefix="1" applyFont="1" applyAlignment="1">
      <alignment horizontal="left"/>
    </xf>
    <xf numFmtId="0" fontId="23" fillId="2" borderId="0" xfId="0" applyFont="1" applyFill="1" applyAlignment="1">
      <alignment horizontal="right"/>
    </xf>
    <xf numFmtId="0" fontId="23" fillId="2" borderId="0" xfId="0" applyFont="1" applyFill="1" applyAlignment="1">
      <alignment horizontal="left"/>
    </xf>
    <xf numFmtId="0" fontId="23" fillId="2" borderId="0" xfId="0" quotePrefix="1" applyFont="1" applyFill="1" applyAlignment="1">
      <alignment horizontal="left"/>
    </xf>
    <xf numFmtId="0" fontId="23" fillId="2" borderId="0" xfId="0" applyFont="1" applyFill="1" applyAlignment="1">
      <alignment horizontal="center"/>
    </xf>
    <xf numFmtId="41" fontId="23" fillId="2" borderId="0" xfId="0" applyNumberFormat="1" applyFont="1" applyFill="1" applyBorder="1"/>
    <xf numFmtId="41" fontId="23" fillId="2" borderId="5" xfId="0" applyNumberFormat="1" applyFont="1" applyFill="1" applyBorder="1"/>
    <xf numFmtId="49" fontId="26" fillId="0" borderId="0" xfId="0" quotePrefix="1" applyNumberFormat="1" applyFont="1" applyAlignment="1">
      <alignment horizontal="center"/>
    </xf>
    <xf numFmtId="43" fontId="40" fillId="4" borderId="0" xfId="7" applyNumberFormat="1" applyFont="1" applyFill="1"/>
    <xf numFmtId="43" fontId="11" fillId="0" borderId="0" xfId="1" applyFont="1"/>
    <xf numFmtId="0" fontId="65" fillId="0" borderId="0" xfId="12" applyFont="1"/>
    <xf numFmtId="43" fontId="0" fillId="0" borderId="0" xfId="13" applyFont="1" applyFill="1"/>
    <xf numFmtId="43" fontId="61" fillId="0" borderId="0" xfId="1" applyFont="1" applyFill="1"/>
    <xf numFmtId="43" fontId="11" fillId="0" borderId="0" xfId="1" applyFont="1" applyFill="1"/>
    <xf numFmtId="49" fontId="26" fillId="0" borderId="0" xfId="0" applyNumberFormat="1" applyFont="1" applyAlignment="1">
      <alignment horizontal="center"/>
    </xf>
    <xf numFmtId="43" fontId="23" fillId="0" borderId="0" xfId="0" applyNumberFormat="1" applyFont="1" applyAlignment="1">
      <alignment horizontal="right"/>
    </xf>
    <xf numFmtId="49" fontId="24" fillId="0" borderId="0" xfId="0" applyNumberFormat="1" applyFont="1"/>
    <xf numFmtId="43" fontId="0" fillId="3" borderId="0" xfId="13" applyFont="1" applyFill="1"/>
    <xf numFmtId="0" fontId="11" fillId="3" borderId="0" xfId="12" applyFill="1"/>
    <xf numFmtId="0" fontId="27" fillId="17" borderId="0" xfId="0" quotePrefix="1" applyFont="1" applyFill="1" applyAlignment="1">
      <alignment horizontal="left"/>
    </xf>
    <xf numFmtId="0" fontId="26" fillId="17" borderId="0" xfId="0" applyFont="1" applyFill="1"/>
    <xf numFmtId="179" fontId="26" fillId="17" borderId="0" xfId="0" applyNumberFormat="1" applyFont="1" applyFill="1" applyAlignment="1">
      <alignment horizontal="center"/>
    </xf>
    <xf numFmtId="0" fontId="11" fillId="3" borderId="0" xfId="12" applyFill="1" applyAlignment="1">
      <alignment horizontal="center"/>
    </xf>
    <xf numFmtId="43" fontId="11" fillId="3" borderId="0" xfId="12" applyNumberFormat="1" applyFill="1"/>
    <xf numFmtId="0" fontId="42" fillId="0" borderId="0" xfId="0" applyFont="1" applyAlignment="1">
      <alignment horizontal="center"/>
    </xf>
    <xf numFmtId="49" fontId="26" fillId="0" borderId="0" xfId="7" quotePrefix="1" applyNumberFormat="1" applyFont="1" applyFill="1" applyAlignment="1">
      <alignment horizontal="left" indent="1"/>
    </xf>
    <xf numFmtId="0" fontId="10" fillId="0" borderId="0" xfId="12" applyFont="1" applyFill="1"/>
    <xf numFmtId="0" fontId="11" fillId="0" borderId="0" xfId="12" applyFill="1"/>
    <xf numFmtId="0" fontId="66" fillId="0" borderId="0" xfId="12" applyFont="1"/>
    <xf numFmtId="0" fontId="66" fillId="0" borderId="0" xfId="12" applyFont="1" applyAlignment="1">
      <alignment horizontal="center"/>
    </xf>
    <xf numFmtId="43" fontId="67" fillId="0" borderId="0" xfId="13" applyFont="1"/>
    <xf numFmtId="43" fontId="67" fillId="0" borderId="0" xfId="13" applyFont="1" applyFill="1"/>
    <xf numFmtId="43" fontId="68" fillId="0" borderId="0" xfId="13" applyFont="1"/>
    <xf numFmtId="1" fontId="18" fillId="0" borderId="0" xfId="0" quotePrefix="1" applyNumberFormat="1" applyFont="1" applyAlignment="1">
      <alignment horizontal="left"/>
    </xf>
    <xf numFmtId="43" fontId="64" fillId="0" borderId="0" xfId="13" applyFont="1" applyFill="1"/>
    <xf numFmtId="0" fontId="23" fillId="0" borderId="0" xfId="0" quotePrefix="1" applyFont="1" applyAlignment="1">
      <alignment horizontal="left"/>
    </xf>
    <xf numFmtId="0" fontId="23" fillId="2" borderId="0" xfId="0" quotePrefix="1" applyFont="1" applyFill="1" applyAlignment="1">
      <alignment horizontal="left"/>
    </xf>
    <xf numFmtId="49" fontId="27" fillId="2" borderId="0" xfId="0" quotePrefix="1" applyNumberFormat="1" applyFont="1" applyFill="1" applyBorder="1" applyAlignment="1">
      <alignment wrapText="1"/>
    </xf>
    <xf numFmtId="49" fontId="27" fillId="2" borderId="18" xfId="0" quotePrefix="1" applyNumberFormat="1" applyFont="1" applyFill="1" applyBorder="1" applyAlignment="1">
      <alignment wrapText="1"/>
    </xf>
    <xf numFmtId="49" fontId="27" fillId="2" borderId="7" xfId="0" quotePrefix="1" applyNumberFormat="1" applyFont="1" applyFill="1" applyBorder="1" applyAlignment="1"/>
    <xf numFmtId="2" fontId="48" fillId="0" borderId="0" xfId="0" applyNumberFormat="1" applyFont="1" applyAlignment="1">
      <alignment horizontal="left" indent="3"/>
    </xf>
    <xf numFmtId="4" fontId="23" fillId="0" borderId="0" xfId="0" quotePrefix="1" applyNumberFormat="1" applyFont="1" applyAlignment="1">
      <alignment horizontal="center"/>
    </xf>
    <xf numFmtId="0" fontId="23" fillId="0" borderId="0" xfId="0" applyFont="1" applyAlignment="1">
      <alignment horizontal="center"/>
    </xf>
    <xf numFmtId="0" fontId="23" fillId="0" borderId="1" xfId="0" applyFont="1" applyBorder="1" applyAlignment="1">
      <alignment horizontal="center"/>
    </xf>
    <xf numFmtId="0" fontId="23" fillId="0" borderId="0" xfId="0" quotePrefix="1" applyFont="1" applyAlignment="1">
      <alignment horizontal="center"/>
    </xf>
    <xf numFmtId="4" fontId="23" fillId="0" borderId="0" xfId="0" applyNumberFormat="1" applyFont="1"/>
    <xf numFmtId="4" fontId="24" fillId="0" borderId="0" xfId="0" applyNumberFormat="1" applyFont="1" applyAlignment="1">
      <alignment horizontal="left"/>
    </xf>
    <xf numFmtId="0" fontId="23" fillId="0" borderId="1" xfId="0" quotePrefix="1" applyFont="1" applyBorder="1" applyAlignment="1">
      <alignment horizontal="center"/>
    </xf>
    <xf numFmtId="0" fontId="23" fillId="0" borderId="0" xfId="0" applyFont="1" applyAlignment="1">
      <alignment horizontal="left"/>
    </xf>
    <xf numFmtId="2" fontId="23" fillId="0" borderId="0" xfId="0" applyNumberFormat="1" applyFont="1" applyAlignment="1">
      <alignment horizontal="center"/>
    </xf>
    <xf numFmtId="0" fontId="23" fillId="0" borderId="0" xfId="0" quotePrefix="1" applyFont="1" applyAlignment="1">
      <alignment horizontal="left"/>
    </xf>
    <xf numFmtId="0" fontId="23" fillId="0" borderId="0" xfId="0" quotePrefix="1" applyFont="1" applyAlignment="1">
      <alignment horizontal="left" wrapText="1"/>
    </xf>
    <xf numFmtId="0" fontId="23" fillId="0" borderId="0" xfId="0" applyFont="1" applyAlignment="1">
      <alignment horizontal="right"/>
    </xf>
    <xf numFmtId="3" fontId="23" fillId="0" borderId="0" xfId="0" quotePrefix="1" applyNumberFormat="1" applyFont="1" applyAlignment="1">
      <alignment horizontal="center"/>
    </xf>
    <xf numFmtId="0" fontId="23" fillId="2" borderId="0" xfId="0" quotePrefix="1" applyFont="1" applyFill="1" applyAlignment="1">
      <alignment horizontal="left"/>
    </xf>
    <xf numFmtId="0" fontId="23" fillId="2" borderId="0" xfId="0" applyFont="1" applyFill="1" applyAlignment="1">
      <alignment horizontal="left"/>
    </xf>
    <xf numFmtId="0" fontId="23" fillId="2" borderId="0" xfId="0" applyFont="1" applyFill="1" applyAlignment="1">
      <alignment horizontal="right"/>
    </xf>
    <xf numFmtId="166" fontId="28" fillId="2" borderId="0" xfId="0" applyNumberFormat="1" applyFont="1" applyFill="1" applyAlignment="1">
      <alignment horizontal="left"/>
    </xf>
    <xf numFmtId="0" fontId="23" fillId="2" borderId="1" xfId="0" applyFont="1" applyFill="1" applyBorder="1" applyAlignment="1">
      <alignment horizontal="center"/>
    </xf>
    <xf numFmtId="165" fontId="23" fillId="2" borderId="0" xfId="4" applyFont="1" applyFill="1" applyBorder="1" applyAlignment="1">
      <alignment horizontal="right"/>
    </xf>
    <xf numFmtId="2" fontId="33" fillId="2" borderId="0" xfId="0" applyNumberFormat="1" applyFont="1" applyFill="1" applyAlignment="1">
      <alignment horizontal="left"/>
    </xf>
    <xf numFmtId="4" fontId="23" fillId="2" borderId="0" xfId="0" quotePrefix="1" applyNumberFormat="1" applyFont="1" applyFill="1" applyAlignment="1">
      <alignment horizontal="left"/>
    </xf>
    <xf numFmtId="2" fontId="23" fillId="2" borderId="0" xfId="0" applyNumberFormat="1" applyFont="1" applyFill="1" applyAlignment="1">
      <alignment horizontal="center"/>
    </xf>
    <xf numFmtId="0" fontId="27" fillId="0" borderId="0" xfId="0" applyFont="1" applyAlignment="1">
      <alignment horizontal="left"/>
    </xf>
    <xf numFmtId="0" fontId="23" fillId="2" borderId="0" xfId="0" applyFont="1" applyFill="1" applyAlignment="1">
      <alignment horizontal="center"/>
    </xf>
    <xf numFmtId="0" fontId="29" fillId="2" borderId="0" xfId="0" applyFont="1" applyFill="1" applyAlignment="1">
      <alignment horizontal="right"/>
    </xf>
    <xf numFmtId="0" fontId="23" fillId="2" borderId="0" xfId="0" quotePrefix="1" applyFont="1" applyFill="1" applyAlignment="1">
      <alignment horizontal="left" wrapText="1"/>
    </xf>
    <xf numFmtId="0" fontId="25" fillId="2" borderId="0" xfId="0" applyFont="1" applyFill="1" applyAlignment="1">
      <alignment horizontal="left"/>
    </xf>
    <xf numFmtId="0" fontId="23" fillId="2" borderId="1" xfId="0" quotePrefix="1" applyFont="1" applyFill="1" applyBorder="1" applyAlignment="1">
      <alignment horizontal="center"/>
    </xf>
    <xf numFmtId="4" fontId="23" fillId="2" borderId="0" xfId="0" applyNumberFormat="1" applyFont="1" applyFill="1" applyAlignment="1">
      <alignment horizontal="left"/>
    </xf>
    <xf numFmtId="4" fontId="24" fillId="2" borderId="0" xfId="0" applyNumberFormat="1" applyFont="1" applyFill="1" applyAlignment="1">
      <alignment horizontal="left"/>
    </xf>
    <xf numFmtId="4" fontId="23" fillId="0" borderId="0" xfId="0" applyNumberFormat="1" applyFont="1" applyAlignment="1">
      <alignment horizontal="left"/>
    </xf>
    <xf numFmtId="0" fontId="25" fillId="2" borderId="0" xfId="0" applyFont="1" applyFill="1" applyAlignment="1">
      <alignment horizontal="center"/>
    </xf>
    <xf numFmtId="7" fontId="26" fillId="2" borderId="0" xfId="0" applyNumberFormat="1" applyFont="1" applyFill="1" applyAlignment="1">
      <alignment horizontal="center"/>
    </xf>
    <xf numFmtId="0" fontId="23" fillId="0" borderId="0" xfId="0" quotePrefix="1" applyFont="1" applyAlignment="1">
      <alignment horizontal="left"/>
    </xf>
    <xf numFmtId="0" fontId="23" fillId="0" borderId="0" xfId="0" applyFont="1" applyAlignment="1">
      <alignment horizontal="left"/>
    </xf>
    <xf numFmtId="3" fontId="23" fillId="0" borderId="0" xfId="0" quotePrefix="1" applyNumberFormat="1" applyFont="1" applyAlignment="1">
      <alignment horizontal="center"/>
    </xf>
    <xf numFmtId="0" fontId="23" fillId="0" borderId="0" xfId="0" applyFont="1" applyAlignment="1">
      <alignment horizontal="right"/>
    </xf>
    <xf numFmtId="0" fontId="23" fillId="0" borderId="0" xfId="0" applyFont="1" applyAlignment="1">
      <alignment horizontal="center"/>
    </xf>
    <xf numFmtId="0" fontId="23" fillId="0" borderId="1" xfId="0" applyFont="1" applyBorder="1" applyAlignment="1">
      <alignment horizontal="center"/>
    </xf>
    <xf numFmtId="0" fontId="23" fillId="0" borderId="0" xfId="0" quotePrefix="1" applyFont="1" applyAlignment="1">
      <alignment horizontal="center"/>
    </xf>
    <xf numFmtId="0" fontId="23" fillId="0" borderId="0" xfId="0" quotePrefix="1" applyFont="1" applyAlignment="1">
      <alignment horizontal="left" wrapText="1"/>
    </xf>
    <xf numFmtId="2" fontId="23" fillId="0" borderId="0" xfId="0" applyNumberFormat="1" applyFont="1" applyAlignment="1">
      <alignment horizontal="center"/>
    </xf>
    <xf numFmtId="4" fontId="23" fillId="0" borderId="0" xfId="0" applyNumberFormat="1" applyFont="1"/>
    <xf numFmtId="4" fontId="24" fillId="0" borderId="0" xfId="0" applyNumberFormat="1" applyFont="1" applyAlignment="1">
      <alignment horizontal="left"/>
    </xf>
    <xf numFmtId="0" fontId="23" fillId="0" borderId="1" xfId="0" quotePrefix="1" applyFont="1" applyBorder="1" applyAlignment="1">
      <alignment horizontal="center"/>
    </xf>
    <xf numFmtId="2" fontId="48" fillId="0" borderId="0" xfId="0" applyNumberFormat="1" applyFont="1" applyAlignment="1">
      <alignment horizontal="left" indent="3"/>
    </xf>
    <xf numFmtId="4" fontId="23" fillId="0" borderId="0" xfId="0" quotePrefix="1" applyNumberFormat="1" applyFont="1" applyAlignment="1">
      <alignment horizontal="center"/>
    </xf>
    <xf numFmtId="0" fontId="23" fillId="2" borderId="0" xfId="0" applyFont="1" applyFill="1" applyAlignment="1">
      <alignment horizontal="center"/>
    </xf>
    <xf numFmtId="4" fontId="23" fillId="2" borderId="0" xfId="0" applyNumberFormat="1" applyFont="1" applyFill="1" applyAlignment="1">
      <alignment horizontal="left"/>
    </xf>
    <xf numFmtId="4" fontId="24" fillId="2" borderId="0" xfId="0" applyNumberFormat="1" applyFont="1" applyFill="1" applyAlignment="1">
      <alignment horizontal="left"/>
    </xf>
    <xf numFmtId="4" fontId="23" fillId="0" borderId="0" xfId="0" applyNumberFormat="1" applyFont="1" applyAlignment="1">
      <alignment horizontal="left"/>
    </xf>
    <xf numFmtId="0" fontId="25" fillId="2" borderId="0" xfId="0" applyFont="1" applyFill="1" applyAlignment="1">
      <alignment horizontal="center"/>
    </xf>
    <xf numFmtId="7" fontId="26" fillId="2" borderId="0" xfId="0" applyNumberFormat="1" applyFont="1" applyFill="1" applyAlignment="1">
      <alignment horizontal="center"/>
    </xf>
    <xf numFmtId="0" fontId="23" fillId="2" borderId="0" xfId="0" applyFont="1" applyFill="1" applyAlignment="1">
      <alignment horizontal="left"/>
    </xf>
    <xf numFmtId="0" fontId="23" fillId="2" borderId="1" xfId="0" quotePrefix="1" applyFont="1" applyFill="1" applyBorder="1" applyAlignment="1">
      <alignment horizontal="center"/>
    </xf>
    <xf numFmtId="0" fontId="25" fillId="2" borderId="0" xfId="0" applyFont="1" applyFill="1" applyAlignment="1">
      <alignment horizontal="left"/>
    </xf>
    <xf numFmtId="2" fontId="23" fillId="2" borderId="0" xfId="0" applyNumberFormat="1" applyFont="1" applyFill="1" applyAlignment="1">
      <alignment horizontal="center"/>
    </xf>
    <xf numFmtId="166" fontId="28" fillId="2" borderId="0" xfId="0" applyNumberFormat="1" applyFont="1" applyFill="1" applyAlignment="1">
      <alignment horizontal="left"/>
    </xf>
    <xf numFmtId="0" fontId="23" fillId="2" borderId="0" xfId="0" quotePrefix="1" applyFont="1" applyFill="1" applyAlignment="1">
      <alignment horizontal="left"/>
    </xf>
    <xf numFmtId="0" fontId="23" fillId="2" borderId="0" xfId="0" quotePrefix="1" applyFont="1" applyFill="1" applyAlignment="1">
      <alignment horizontal="left" wrapText="1"/>
    </xf>
    <xf numFmtId="0" fontId="27" fillId="0" borderId="0" xfId="0" applyFont="1" applyAlignment="1">
      <alignment horizontal="left"/>
    </xf>
    <xf numFmtId="0" fontId="23" fillId="2" borderId="1" xfId="0" applyFont="1" applyFill="1" applyBorder="1" applyAlignment="1">
      <alignment horizontal="center"/>
    </xf>
    <xf numFmtId="0" fontId="29" fillId="2" borderId="0" xfId="0" applyFont="1" applyFill="1" applyAlignment="1">
      <alignment horizontal="right"/>
    </xf>
    <xf numFmtId="0" fontId="23" fillId="2" borderId="0" xfId="0" applyFont="1" applyFill="1" applyAlignment="1">
      <alignment horizontal="right"/>
    </xf>
    <xf numFmtId="165" fontId="23" fillId="2" borderId="0" xfId="4" applyFont="1" applyFill="1" applyBorder="1" applyAlignment="1">
      <alignment horizontal="right"/>
    </xf>
    <xf numFmtId="2" fontId="33" fillId="2" borderId="0" xfId="0" applyNumberFormat="1" applyFont="1" applyFill="1" applyAlignment="1">
      <alignment horizontal="left"/>
    </xf>
    <xf numFmtId="4" fontId="23" fillId="2" borderId="0" xfId="0" quotePrefix="1" applyNumberFormat="1" applyFont="1" applyFill="1" applyAlignment="1">
      <alignment horizontal="left"/>
    </xf>
    <xf numFmtId="0" fontId="9" fillId="0" borderId="0" xfId="12" applyFont="1"/>
    <xf numFmtId="49" fontId="9" fillId="0" borderId="0" xfId="12" applyNumberFormat="1" applyFont="1" applyAlignment="1">
      <alignment horizontal="center"/>
    </xf>
    <xf numFmtId="1" fontId="27" fillId="0" borderId="0" xfId="0" applyNumberFormat="1" applyFont="1" applyBorder="1" applyAlignment="1">
      <alignment horizontal="center"/>
    </xf>
    <xf numFmtId="0" fontId="27" fillId="0" borderId="0" xfId="0" applyFont="1" applyBorder="1" applyAlignment="1">
      <alignment horizontal="center"/>
    </xf>
    <xf numFmtId="0" fontId="19" fillId="2" borderId="27" xfId="0" quotePrefix="1" applyFont="1" applyFill="1" applyBorder="1" applyAlignment="1">
      <alignment horizontal="left"/>
    </xf>
    <xf numFmtId="0" fontId="43" fillId="2" borderId="17" xfId="0" quotePrefix="1" applyFont="1" applyFill="1" applyBorder="1" applyAlignment="1">
      <alignment horizontal="left"/>
    </xf>
    <xf numFmtId="0" fontId="19" fillId="0" borderId="0" xfId="0" quotePrefix="1" applyFont="1" applyFill="1" applyBorder="1" applyAlignment="1">
      <alignment horizontal="left" indent="1"/>
    </xf>
    <xf numFmtId="0" fontId="43" fillId="0" borderId="0" xfId="0" quotePrefix="1" applyFont="1" applyFill="1" applyBorder="1" applyAlignment="1">
      <alignment horizontal="left" indent="2"/>
    </xf>
    <xf numFmtId="0" fontId="43" fillId="0" borderId="0" xfId="0" quotePrefix="1" applyFont="1" applyFill="1" applyBorder="1" applyAlignment="1">
      <alignment horizontal="left"/>
    </xf>
    <xf numFmtId="0" fontId="19" fillId="0" borderId="0" xfId="0" quotePrefix="1" applyFont="1" applyFill="1" applyBorder="1" applyAlignment="1">
      <alignment horizontal="left"/>
    </xf>
    <xf numFmtId="0" fontId="40" fillId="0" borderId="0" xfId="0" applyFont="1" applyFill="1" applyBorder="1"/>
    <xf numFmtId="43" fontId="26" fillId="0" borderId="0" xfId="7" applyNumberFormat="1" applyFont="1" applyFill="1"/>
    <xf numFmtId="43" fontId="27" fillId="0" borderId="0" xfId="0" applyNumberFormat="1" applyFont="1" applyBorder="1" applyAlignment="1">
      <alignment horizontal="center"/>
    </xf>
    <xf numFmtId="1" fontId="26" fillId="0" borderId="0" xfId="0" applyNumberFormat="1" applyFont="1" applyBorder="1" applyAlignment="1">
      <alignment horizontal="center"/>
    </xf>
    <xf numFmtId="1" fontId="26" fillId="0" borderId="0" xfId="0" applyNumberFormat="1" applyFont="1" applyBorder="1" applyAlignment="1">
      <alignment horizontal="left"/>
    </xf>
    <xf numFmtId="49" fontId="26" fillId="0" borderId="0" xfId="0" applyNumberFormat="1" applyFont="1" applyBorder="1" applyAlignment="1">
      <alignment horizontal="center"/>
    </xf>
    <xf numFmtId="49" fontId="26" fillId="4" borderId="0" xfId="0" quotePrefix="1" applyNumberFormat="1" applyFont="1" applyFill="1" applyAlignment="1">
      <alignment horizontal="left"/>
    </xf>
    <xf numFmtId="0" fontId="26" fillId="0" borderId="0" xfId="0" applyFont="1" applyBorder="1" applyAlignment="1">
      <alignment horizontal="left"/>
    </xf>
    <xf numFmtId="0" fontId="26" fillId="0" borderId="0" xfId="0" applyFont="1" applyBorder="1" applyAlignment="1">
      <alignment horizontal="center"/>
    </xf>
    <xf numFmtId="43" fontId="0" fillId="0" borderId="0" xfId="1" applyFont="1" applyFill="1"/>
    <xf numFmtId="43" fontId="9" fillId="0" borderId="0" xfId="1" applyFont="1" applyAlignment="1">
      <alignment horizontal="center"/>
    </xf>
    <xf numFmtId="43" fontId="12" fillId="0" borderId="0" xfId="13" applyFont="1" applyAlignment="1">
      <alignment horizontal="center"/>
    </xf>
    <xf numFmtId="0" fontId="23" fillId="0" borderId="0" xfId="0" quotePrefix="1" applyFont="1" applyBorder="1" applyAlignment="1">
      <alignment horizontal="center"/>
    </xf>
    <xf numFmtId="43" fontId="8" fillId="0" borderId="0" xfId="1" applyFont="1" applyAlignment="1">
      <alignment horizontal="center"/>
    </xf>
    <xf numFmtId="43" fontId="8" fillId="0" borderId="0" xfId="12" applyNumberFormat="1" applyFont="1" applyAlignment="1">
      <alignment horizontal="center"/>
    </xf>
    <xf numFmtId="43" fontId="0" fillId="3" borderId="0" xfId="1" applyFont="1" applyFill="1"/>
    <xf numFmtId="43" fontId="7" fillId="0" borderId="0" xfId="1" applyFont="1" applyAlignment="1">
      <alignment horizontal="center"/>
    </xf>
    <xf numFmtId="43" fontId="12" fillId="0" borderId="0" xfId="1" applyFont="1" applyFill="1"/>
    <xf numFmtId="43" fontId="6" fillId="0" borderId="0" xfId="1" applyFont="1" applyAlignment="1">
      <alignment horizontal="center"/>
    </xf>
    <xf numFmtId="43" fontId="6" fillId="0" borderId="0" xfId="1" applyFont="1"/>
    <xf numFmtId="43" fontId="27" fillId="0" borderId="14" xfId="1" applyFont="1" applyBorder="1" applyAlignment="1">
      <alignment horizontal="center"/>
    </xf>
    <xf numFmtId="43" fontId="27" fillId="0" borderId="0" xfId="0" applyNumberFormat="1" applyFont="1"/>
    <xf numFmtId="43" fontId="40" fillId="0" borderId="0" xfId="1" applyNumberFormat="1" applyFont="1"/>
    <xf numFmtId="43" fontId="5" fillId="0" borderId="0" xfId="1" applyFont="1" applyAlignment="1">
      <alignment horizontal="center"/>
    </xf>
    <xf numFmtId="43" fontId="61" fillId="0" borderId="0" xfId="1" applyFont="1" applyAlignment="1">
      <alignment horizontal="center"/>
    </xf>
    <xf numFmtId="43" fontId="0" fillId="0" borderId="0" xfId="1" applyFont="1"/>
    <xf numFmtId="1" fontId="26" fillId="18" borderId="0" xfId="8" applyNumberFormat="1" applyFont="1" applyFill="1" applyAlignment="1">
      <alignment horizontal="center"/>
    </xf>
    <xf numFmtId="49" fontId="26" fillId="0" borderId="0" xfId="8" applyNumberFormat="1" applyFont="1" applyFill="1" applyAlignment="1">
      <alignment horizontal="center"/>
    </xf>
    <xf numFmtId="1" fontId="26" fillId="0" borderId="0" xfId="8" applyNumberFormat="1" applyFont="1" applyFill="1" applyAlignment="1">
      <alignment horizontal="center"/>
    </xf>
    <xf numFmtId="49" fontId="26" fillId="4" borderId="0" xfId="0" applyNumberFormat="1" applyFont="1" applyFill="1" applyBorder="1" applyAlignment="1">
      <alignment horizontal="center"/>
    </xf>
    <xf numFmtId="1" fontId="26" fillId="4" borderId="0" xfId="0" applyNumberFormat="1" applyFont="1" applyFill="1" applyBorder="1" applyAlignment="1">
      <alignment horizontal="left"/>
    </xf>
    <xf numFmtId="0" fontId="26" fillId="4" borderId="0" xfId="0" applyFont="1" applyFill="1" applyBorder="1" applyAlignment="1">
      <alignment horizontal="left"/>
    </xf>
    <xf numFmtId="43" fontId="27" fillId="4" borderId="0" xfId="1" quotePrefix="1" applyFont="1" applyFill="1" applyBorder="1" applyAlignment="1">
      <alignment horizontal="center"/>
    </xf>
    <xf numFmtId="43" fontId="28" fillId="0" borderId="1" xfId="1" applyNumberFormat="1" applyFont="1" applyBorder="1" applyAlignment="1">
      <alignment horizontal="center"/>
    </xf>
    <xf numFmtId="43" fontId="4" fillId="0" borderId="0" xfId="1" applyFont="1" applyAlignment="1">
      <alignment horizontal="center"/>
    </xf>
    <xf numFmtId="43" fontId="3" fillId="0" borderId="0" xfId="1" applyFont="1" applyAlignment="1">
      <alignment horizontal="center"/>
    </xf>
    <xf numFmtId="43" fontId="3" fillId="0" borderId="0" xfId="1" applyFont="1"/>
    <xf numFmtId="4" fontId="23" fillId="0" borderId="0" xfId="0" quotePrefix="1" applyNumberFormat="1" applyFont="1" applyAlignment="1">
      <alignment horizontal="center"/>
    </xf>
    <xf numFmtId="0" fontId="23" fillId="0" borderId="0" xfId="0" applyFont="1" applyAlignment="1">
      <alignment horizontal="center"/>
    </xf>
    <xf numFmtId="0" fontId="23" fillId="0" borderId="0" xfId="0" applyFont="1" applyAlignment="1">
      <alignment horizontal="left"/>
    </xf>
    <xf numFmtId="0" fontId="23" fillId="0" borderId="0" xfId="0" quotePrefix="1" applyFont="1" applyAlignment="1">
      <alignment horizontal="left"/>
    </xf>
    <xf numFmtId="43" fontId="19" fillId="0" borderId="0" xfId="0" quotePrefix="1" applyNumberFormat="1" applyFont="1" applyAlignment="1">
      <alignment horizontal="left" indent="1"/>
    </xf>
    <xf numFmtId="0" fontId="27" fillId="2" borderId="7" xfId="0" quotePrefix="1" applyFont="1" applyFill="1" applyBorder="1" applyAlignment="1"/>
    <xf numFmtId="49" fontId="27" fillId="2" borderId="7" xfId="0" quotePrefix="1" applyNumberFormat="1" applyFont="1" applyFill="1" applyBorder="1" applyAlignment="1">
      <alignment horizontal="left" wrapText="1"/>
    </xf>
    <xf numFmtId="43" fontId="2" fillId="0" borderId="0" xfId="1" applyFont="1" applyAlignment="1">
      <alignment horizontal="center"/>
    </xf>
    <xf numFmtId="43" fontId="23" fillId="3" borderId="0" xfId="0" applyNumberFormat="1" applyFont="1" applyFill="1"/>
    <xf numFmtId="43" fontId="23" fillId="3" borderId="0" xfId="1" applyFont="1" applyFill="1" applyBorder="1" applyAlignment="1"/>
    <xf numFmtId="43" fontId="1" fillId="0" borderId="0" xfId="1" applyFont="1" applyAlignment="1">
      <alignment horizontal="center"/>
    </xf>
    <xf numFmtId="43" fontId="1" fillId="0" borderId="0" xfId="1" applyFont="1"/>
    <xf numFmtId="0" fontId="69" fillId="0" borderId="0" xfId="0" applyFont="1"/>
    <xf numFmtId="43" fontId="69" fillId="0" borderId="0" xfId="1" applyFont="1" applyAlignment="1">
      <alignment horizontal="right"/>
    </xf>
    <xf numFmtId="0" fontId="27" fillId="0" borderId="10" xfId="0" applyFont="1" applyBorder="1" applyAlignment="1">
      <alignment horizontal="center"/>
    </xf>
    <xf numFmtId="0" fontId="27" fillId="0" borderId="5" xfId="0" applyFont="1" applyBorder="1" applyAlignment="1">
      <alignment horizontal="center"/>
    </xf>
    <xf numFmtId="0" fontId="27" fillId="0" borderId="11" xfId="0" applyFont="1" applyBorder="1" applyAlignment="1">
      <alignment horizontal="center"/>
    </xf>
    <xf numFmtId="0" fontId="27" fillId="0" borderId="4" xfId="0" applyFont="1" applyBorder="1" applyAlignment="1">
      <alignment horizontal="center"/>
    </xf>
    <xf numFmtId="0" fontId="27" fillId="0" borderId="0" xfId="0" quotePrefix="1" applyFont="1" applyAlignment="1">
      <alignment horizontal="center"/>
    </xf>
    <xf numFmtId="0" fontId="42" fillId="0" borderId="21" xfId="0" quotePrefix="1" applyFont="1" applyBorder="1" applyAlignment="1">
      <alignment horizontal="center"/>
    </xf>
    <xf numFmtId="0" fontId="42" fillId="0" borderId="22" xfId="0" quotePrefix="1" applyFont="1" applyBorder="1" applyAlignment="1">
      <alignment horizontal="center"/>
    </xf>
    <xf numFmtId="0" fontId="42" fillId="0" borderId="23" xfId="0" quotePrefix="1" applyFont="1" applyBorder="1" applyAlignment="1">
      <alignment horizontal="center"/>
    </xf>
    <xf numFmtId="0" fontId="27" fillId="2" borderId="7" xfId="0" quotePrefix="1" applyFont="1" applyFill="1" applyBorder="1" applyAlignment="1">
      <alignment horizontal="left" vertical="top" wrapText="1"/>
    </xf>
    <xf numFmtId="0" fontId="27" fillId="2" borderId="0" xfId="0" quotePrefix="1" applyFont="1" applyFill="1" applyBorder="1" applyAlignment="1">
      <alignment horizontal="left" vertical="top" wrapText="1"/>
    </xf>
    <xf numFmtId="0" fontId="27" fillId="2" borderId="18" xfId="0" quotePrefix="1" applyFont="1" applyFill="1" applyBorder="1" applyAlignment="1">
      <alignment horizontal="left" vertical="top" wrapText="1"/>
    </xf>
    <xf numFmtId="0" fontId="27" fillId="2" borderId="7" xfId="0" quotePrefix="1" applyFont="1" applyFill="1" applyBorder="1" applyAlignment="1">
      <alignment horizontal="left" wrapText="1"/>
    </xf>
    <xf numFmtId="0" fontId="27" fillId="2" borderId="0" xfId="0" quotePrefix="1" applyFont="1" applyFill="1" applyAlignment="1">
      <alignment horizontal="left" wrapText="1"/>
    </xf>
    <xf numFmtId="0" fontId="27" fillId="2" borderId="18" xfId="0" quotePrefix="1" applyFont="1" applyFill="1" applyBorder="1" applyAlignment="1">
      <alignment horizontal="left" wrapText="1"/>
    </xf>
    <xf numFmtId="43" fontId="27" fillId="0" borderId="4" xfId="1" quotePrefix="1" applyFont="1" applyBorder="1" applyAlignment="1">
      <alignment horizontal="center"/>
    </xf>
    <xf numFmtId="0" fontId="27" fillId="0" borderId="4" xfId="0" quotePrefix="1" applyFont="1" applyBorder="1" applyAlignment="1">
      <alignment horizontal="center"/>
    </xf>
    <xf numFmtId="49" fontId="42" fillId="0" borderId="4" xfId="7" quotePrefix="1" applyNumberFormat="1" applyFont="1" applyBorder="1" applyAlignment="1">
      <alignment horizontal="center"/>
    </xf>
    <xf numFmtId="49" fontId="42" fillId="0" borderId="4" xfId="7" applyNumberFormat="1" applyFont="1" applyBorder="1" applyAlignment="1">
      <alignment horizontal="center"/>
    </xf>
    <xf numFmtId="0" fontId="58" fillId="0" borderId="0" xfId="0" applyFont="1" applyFill="1" applyAlignment="1">
      <alignment horizontal="left" vertical="center" wrapText="1"/>
    </xf>
    <xf numFmtId="0" fontId="57" fillId="0" borderId="0" xfId="0" applyFont="1" applyFill="1" applyAlignment="1">
      <alignment horizontal="left" vertical="center" wrapText="1"/>
    </xf>
    <xf numFmtId="0" fontId="59" fillId="0" borderId="0" xfId="0" applyFont="1" applyAlignment="1">
      <alignment horizontal="left" vertical="center" wrapText="1"/>
    </xf>
    <xf numFmtId="0" fontId="58" fillId="0" borderId="0" xfId="0" applyFont="1" applyAlignment="1">
      <alignment horizontal="left" vertical="center" wrapText="1"/>
    </xf>
    <xf numFmtId="0" fontId="59" fillId="0" borderId="0" xfId="0" applyFont="1" applyAlignment="1">
      <alignment horizontal="left" vertical="center"/>
    </xf>
    <xf numFmtId="174" fontId="23" fillId="0" borderId="0" xfId="0" applyNumberFormat="1" applyFont="1"/>
    <xf numFmtId="0" fontId="23" fillId="0" borderId="0" xfId="0" quotePrefix="1" applyFont="1" applyAlignment="1">
      <alignment horizontal="left"/>
    </xf>
    <xf numFmtId="0" fontId="23" fillId="0" borderId="0" xfId="0" applyFont="1" applyAlignment="1">
      <alignment horizontal="left"/>
    </xf>
    <xf numFmtId="0" fontId="57" fillId="0" borderId="0" xfId="0" applyFont="1" applyAlignment="1">
      <alignment horizontal="left" vertical="center" wrapText="1"/>
    </xf>
    <xf numFmtId="3" fontId="23" fillId="0" borderId="0" xfId="0" quotePrefix="1" applyNumberFormat="1" applyFont="1" applyAlignment="1">
      <alignment horizontal="center"/>
    </xf>
    <xf numFmtId="0" fontId="23" fillId="0" borderId="0" xfId="0" applyFont="1" applyAlignment="1">
      <alignment horizontal="right"/>
    </xf>
    <xf numFmtId="0" fontId="23" fillId="0" borderId="0" xfId="0" applyFont="1" applyAlignment="1">
      <alignment horizontal="left" indent="2"/>
    </xf>
    <xf numFmtId="7" fontId="23" fillId="0" borderId="0" xfId="0" applyNumberFormat="1" applyFont="1" applyAlignment="1">
      <alignment horizontal="right"/>
    </xf>
    <xf numFmtId="0" fontId="23" fillId="15" borderId="1" xfId="0" applyFont="1" applyFill="1" applyBorder="1" applyAlignment="1">
      <alignment horizontal="center"/>
    </xf>
    <xf numFmtId="0" fontId="23" fillId="0" borderId="0" xfId="0" applyFont="1" applyAlignment="1">
      <alignment horizontal="left" wrapText="1"/>
    </xf>
    <xf numFmtId="0" fontId="46" fillId="0" borderId="0" xfId="0" quotePrefix="1" applyFont="1" applyAlignment="1">
      <alignment horizontal="center"/>
    </xf>
    <xf numFmtId="0" fontId="23" fillId="0" borderId="0" xfId="0" applyFont="1" applyAlignment="1">
      <alignment horizontal="center"/>
    </xf>
    <xf numFmtId="0" fontId="23" fillId="0" borderId="1" xfId="0" applyFont="1" applyBorder="1" applyAlignment="1">
      <alignment horizontal="center"/>
    </xf>
    <xf numFmtId="174" fontId="23" fillId="0" borderId="9" xfId="0" applyNumberFormat="1" applyFont="1" applyBorder="1"/>
    <xf numFmtId="0" fontId="46" fillId="0" borderId="0" xfId="0" quotePrefix="1" applyFont="1" applyAlignment="1">
      <alignment horizontal="right"/>
    </xf>
    <xf numFmtId="0" fontId="23" fillId="0" borderId="0" xfId="0" quotePrefix="1" applyFont="1" applyAlignment="1">
      <alignment horizontal="center"/>
    </xf>
    <xf numFmtId="0" fontId="23" fillId="0" borderId="0" xfId="0" quotePrefix="1" applyFont="1" applyAlignment="1">
      <alignment horizontal="left" wrapText="1"/>
    </xf>
    <xf numFmtId="0" fontId="25" fillId="0" borderId="6" xfId="0" applyFont="1" applyBorder="1" applyAlignment="1">
      <alignment horizontal="left" vertical="center" wrapText="1"/>
    </xf>
    <xf numFmtId="0" fontId="25" fillId="0" borderId="0" xfId="0" applyFont="1" applyAlignment="1">
      <alignment horizontal="left" vertical="center" wrapText="1"/>
    </xf>
    <xf numFmtId="168" fontId="23" fillId="0" borderId="0" xfId="0" applyNumberFormat="1" applyFont="1" applyAlignment="1">
      <alignment horizontal="center"/>
    </xf>
    <xf numFmtId="0" fontId="23" fillId="0" borderId="0" xfId="0" quotePrefix="1" applyFont="1" applyAlignment="1">
      <alignment horizontal="left" indent="2"/>
    </xf>
    <xf numFmtId="2" fontId="23" fillId="0" borderId="0" xfId="0" applyNumberFormat="1" applyFont="1" applyAlignment="1">
      <alignment horizontal="center"/>
    </xf>
    <xf numFmtId="0" fontId="23" fillId="0" borderId="1" xfId="0" applyFont="1" applyBorder="1" applyAlignment="1">
      <alignment horizontal="left" wrapText="1"/>
    </xf>
    <xf numFmtId="0" fontId="23" fillId="0" borderId="6" xfId="0" applyFont="1" applyBorder="1" applyAlignment="1">
      <alignment horizontal="left"/>
    </xf>
    <xf numFmtId="168" fontId="23" fillId="0" borderId="6" xfId="0" applyNumberFormat="1" applyFont="1" applyBorder="1" applyAlignment="1">
      <alignment horizontal="center"/>
    </xf>
    <xf numFmtId="0" fontId="24" fillId="0" borderId="7" xfId="0" applyFont="1" applyBorder="1" applyAlignment="1">
      <alignment horizontal="left"/>
    </xf>
    <xf numFmtId="0" fontId="24" fillId="0" borderId="0" xfId="0" applyFont="1" applyAlignment="1">
      <alignment horizontal="left"/>
    </xf>
    <xf numFmtId="4" fontId="23" fillId="0" borderId="0" xfId="0" applyNumberFormat="1" applyFont="1"/>
    <xf numFmtId="4" fontId="24" fillId="0" borderId="0" xfId="0" applyNumberFormat="1" applyFont="1" applyAlignment="1">
      <alignment horizontal="left"/>
    </xf>
    <xf numFmtId="4" fontId="23" fillId="0" borderId="0" xfId="0" quotePrefix="1" applyNumberFormat="1" applyFont="1" applyAlignment="1">
      <alignment horizontal="left"/>
    </xf>
    <xf numFmtId="168" fontId="23" fillId="0" borderId="0" xfId="0" applyNumberFormat="1" applyFont="1" applyAlignment="1">
      <alignment horizontal="center" wrapText="1"/>
    </xf>
    <xf numFmtId="168" fontId="23" fillId="0" borderId="1" xfId="0" applyNumberFormat="1" applyFont="1" applyBorder="1" applyAlignment="1">
      <alignment horizontal="center" wrapText="1"/>
    </xf>
    <xf numFmtId="0" fontId="23" fillId="0" borderId="1" xfId="0" quotePrefix="1" applyFont="1" applyBorder="1" applyAlignment="1">
      <alignment horizontal="center"/>
    </xf>
    <xf numFmtId="168" fontId="23" fillId="0" borderId="1" xfId="0" quotePrefix="1" applyNumberFormat="1" applyFont="1" applyBorder="1" applyAlignment="1">
      <alignment horizontal="center"/>
    </xf>
    <xf numFmtId="0" fontId="57" fillId="0" borderId="0" xfId="0" applyFont="1" applyAlignment="1">
      <alignment horizontal="left" vertical="center"/>
    </xf>
    <xf numFmtId="0" fontId="46" fillId="0" borderId="0" xfId="0" applyFont="1" applyAlignment="1">
      <alignment horizontal="right"/>
    </xf>
    <xf numFmtId="0" fontId="23" fillId="0" borderId="6" xfId="0" applyFont="1" applyBorder="1" applyAlignment="1">
      <alignment horizontal="left" indent="2"/>
    </xf>
    <xf numFmtId="7" fontId="23" fillId="0" borderId="6" xfId="0" applyNumberFormat="1" applyFont="1" applyBorder="1" applyAlignment="1">
      <alignment horizontal="right"/>
    </xf>
    <xf numFmtId="2" fontId="48" fillId="0" borderId="0" xfId="0" applyNumberFormat="1" applyFont="1" applyAlignment="1">
      <alignment horizontal="left" indent="3"/>
    </xf>
    <xf numFmtId="4" fontId="23" fillId="0" borderId="0" xfId="0" quotePrefix="1" applyNumberFormat="1" applyFont="1" applyAlignment="1">
      <alignment horizontal="center"/>
    </xf>
    <xf numFmtId="0" fontId="41" fillId="2" borderId="0" xfId="0" applyFont="1" applyFill="1" applyAlignment="1">
      <alignment horizontal="left"/>
    </xf>
    <xf numFmtId="0" fontId="27" fillId="2" borderId="0" xfId="0" applyFont="1" applyFill="1" applyAlignment="1">
      <alignment horizontal="left"/>
    </xf>
    <xf numFmtId="0" fontId="27" fillId="0" borderId="0" xfId="0" applyFont="1" applyAlignment="1">
      <alignment horizontal="left"/>
    </xf>
    <xf numFmtId="0" fontId="23" fillId="2" borderId="0" xfId="0" quotePrefix="1" applyFont="1" applyFill="1" applyAlignment="1">
      <alignment horizontal="left"/>
    </xf>
    <xf numFmtId="0" fontId="23" fillId="2" borderId="0" xfId="0" applyFont="1" applyFill="1" applyAlignment="1">
      <alignment horizontal="left"/>
    </xf>
    <xf numFmtId="0" fontId="23" fillId="2" borderId="1" xfId="0" applyFont="1" applyFill="1" applyBorder="1" applyAlignment="1">
      <alignment horizontal="left"/>
    </xf>
    <xf numFmtId="0" fontId="29" fillId="2" borderId="5" xfId="0" applyFont="1" applyFill="1" applyBorder="1" applyAlignment="1">
      <alignment horizontal="center"/>
    </xf>
    <xf numFmtId="0" fontId="23" fillId="2" borderId="1" xfId="0" applyFont="1" applyFill="1" applyBorder="1" applyAlignment="1">
      <alignment horizontal="center"/>
    </xf>
    <xf numFmtId="0" fontId="23" fillId="2" borderId="0" xfId="0" applyFont="1" applyFill="1" applyAlignment="1">
      <alignment horizontal="center"/>
    </xf>
    <xf numFmtId="7" fontId="23" fillId="2" borderId="6" xfId="0" applyNumberFormat="1" applyFont="1" applyFill="1" applyBorder="1" applyAlignment="1">
      <alignment horizontal="right"/>
    </xf>
    <xf numFmtId="7" fontId="23" fillId="2" borderId="0" xfId="0" applyNumberFormat="1" applyFont="1" applyFill="1" applyAlignment="1">
      <alignment horizontal="right"/>
    </xf>
    <xf numFmtId="0" fontId="29" fillId="2" borderId="1" xfId="0" applyFont="1" applyFill="1" applyBorder="1" applyAlignment="1">
      <alignment horizontal="center"/>
    </xf>
    <xf numFmtId="0" fontId="29" fillId="2" borderId="0" xfId="0" applyFont="1" applyFill="1" applyAlignment="1">
      <alignment horizontal="right"/>
    </xf>
    <xf numFmtId="165" fontId="23" fillId="2" borderId="7" xfId="4" applyFont="1" applyFill="1" applyBorder="1" applyAlignment="1">
      <alignment horizontal="right"/>
    </xf>
    <xf numFmtId="165" fontId="23" fillId="2" borderId="0" xfId="4" applyFont="1" applyFill="1" applyBorder="1" applyAlignment="1">
      <alignment horizontal="right"/>
    </xf>
    <xf numFmtId="2" fontId="33" fillId="2" borderId="0" xfId="0" applyNumberFormat="1" applyFont="1" applyFill="1" applyAlignment="1">
      <alignment horizontal="left"/>
    </xf>
    <xf numFmtId="4" fontId="23" fillId="2" borderId="0" xfId="0" quotePrefix="1" applyNumberFormat="1" applyFont="1" applyFill="1" applyAlignment="1">
      <alignment horizontal="left"/>
    </xf>
    <xf numFmtId="4" fontId="32" fillId="2" borderId="0" xfId="0" applyNumberFormat="1" applyFont="1" applyFill="1" applyAlignment="1">
      <alignment horizontal="left"/>
    </xf>
    <xf numFmtId="169" fontId="46" fillId="2" borderId="0" xfId="0" applyNumberFormat="1" applyFont="1" applyFill="1" applyAlignment="1">
      <alignment horizontal="center"/>
    </xf>
    <xf numFmtId="0" fontId="32" fillId="2" borderId="0" xfId="0" applyFont="1" applyFill="1" applyAlignment="1">
      <alignment horizontal="right"/>
    </xf>
    <xf numFmtId="0" fontId="32" fillId="2" borderId="0" xfId="0" quotePrefix="1" applyFont="1" applyFill="1" applyAlignment="1">
      <alignment horizontal="center"/>
    </xf>
    <xf numFmtId="0" fontId="32" fillId="2" borderId="0" xfId="0" applyFont="1" applyFill="1" applyAlignment="1">
      <alignment horizontal="center"/>
    </xf>
    <xf numFmtId="166" fontId="28" fillId="2" borderId="0" xfId="0" applyNumberFormat="1" applyFont="1" applyFill="1" applyAlignment="1">
      <alignment horizontal="left"/>
    </xf>
    <xf numFmtId="0" fontId="23" fillId="2" borderId="0" xfId="0" quotePrefix="1" applyFont="1" applyFill="1" applyAlignment="1">
      <alignment horizontal="left" wrapText="1"/>
    </xf>
    <xf numFmtId="168" fontId="52" fillId="2" borderId="0" xfId="0" quotePrefix="1" applyNumberFormat="1" applyFont="1" applyFill="1" applyAlignment="1">
      <alignment horizontal="left"/>
    </xf>
    <xf numFmtId="168" fontId="52" fillId="2" borderId="0" xfId="0" applyNumberFormat="1" applyFont="1" applyFill="1" applyAlignment="1">
      <alignment horizontal="left"/>
    </xf>
    <xf numFmtId="168" fontId="27" fillId="2" borderId="0" xfId="0" quotePrefix="1" applyNumberFormat="1" applyFont="1" applyFill="1" applyAlignment="1">
      <alignment horizontal="left"/>
    </xf>
    <xf numFmtId="168" fontId="27" fillId="2" borderId="0" xfId="0" applyNumberFormat="1" applyFont="1" applyFill="1" applyAlignment="1">
      <alignment horizontal="left"/>
    </xf>
    <xf numFmtId="168" fontId="23" fillId="2" borderId="0" xfId="0" quotePrefix="1" applyNumberFormat="1" applyFont="1" applyFill="1" applyAlignment="1">
      <alignment horizontal="left"/>
    </xf>
    <xf numFmtId="168" fontId="23" fillId="2" borderId="0" xfId="0" applyNumberFormat="1" applyFont="1" applyFill="1" applyAlignment="1">
      <alignment horizontal="left"/>
    </xf>
    <xf numFmtId="4" fontId="29" fillId="2" borderId="5" xfId="0" applyNumberFormat="1" applyFont="1" applyFill="1" applyBorder="1" applyAlignment="1">
      <alignment horizontal="center" wrapText="1"/>
    </xf>
    <xf numFmtId="4" fontId="29" fillId="2" borderId="24" xfId="0" applyNumberFormat="1" applyFont="1" applyFill="1" applyBorder="1" applyAlignment="1">
      <alignment horizontal="center" wrapText="1"/>
    </xf>
    <xf numFmtId="2" fontId="23" fillId="2" borderId="25" xfId="0" applyNumberFormat="1" applyFont="1" applyFill="1" applyBorder="1" applyAlignment="1">
      <alignment horizontal="center"/>
    </xf>
    <xf numFmtId="0" fontId="23" fillId="2" borderId="0" xfId="0" applyFont="1" applyFill="1" applyAlignment="1">
      <alignment horizontal="right"/>
    </xf>
    <xf numFmtId="2" fontId="30" fillId="2" borderId="1" xfId="0" applyNumberFormat="1" applyFont="1" applyFill="1" applyBorder="1" applyAlignment="1">
      <alignment horizontal="center"/>
    </xf>
    <xf numFmtId="0" fontId="25" fillId="2" borderId="6" xfId="0" applyFont="1" applyFill="1" applyBorder="1" applyAlignment="1">
      <alignment horizontal="left" vertical="center" wrapText="1"/>
    </xf>
    <xf numFmtId="0" fontId="25" fillId="2" borderId="0" xfId="0" applyFont="1" applyFill="1" applyAlignment="1">
      <alignment horizontal="left" vertical="center" wrapText="1"/>
    </xf>
    <xf numFmtId="4" fontId="29" fillId="2" borderId="1" xfId="0" applyNumberFormat="1" applyFont="1" applyFill="1" applyBorder="1" applyAlignment="1">
      <alignment horizontal="center" wrapText="1"/>
    </xf>
    <xf numFmtId="2" fontId="23" fillId="2" borderId="0" xfId="0" applyNumberFormat="1" applyFont="1" applyFill="1" applyAlignment="1">
      <alignment horizontal="center"/>
    </xf>
    <xf numFmtId="0" fontId="23" fillId="2" borderId="0" xfId="0" applyFont="1" applyFill="1" applyAlignment="1">
      <alignment horizontal="left" wrapText="1"/>
    </xf>
    <xf numFmtId="2" fontId="49" fillId="0" borderId="0" xfId="0" applyNumberFormat="1" applyFont="1" applyAlignment="1">
      <alignment horizontal="center" wrapText="1"/>
    </xf>
    <xf numFmtId="2" fontId="49" fillId="0" borderId="1" xfId="0" applyNumberFormat="1" applyFont="1" applyBorder="1" applyAlignment="1">
      <alignment horizontal="center" wrapText="1"/>
    </xf>
    <xf numFmtId="0" fontId="23" fillId="2" borderId="1" xfId="0" applyFont="1" applyFill="1" applyBorder="1" applyAlignment="1">
      <alignment horizontal="left" wrapText="1"/>
    </xf>
    <xf numFmtId="2" fontId="29" fillId="2" borderId="1" xfId="0" applyNumberFormat="1" applyFont="1" applyFill="1" applyBorder="1" applyAlignment="1">
      <alignment horizontal="center"/>
    </xf>
    <xf numFmtId="0" fontId="23" fillId="2" borderId="6" xfId="0" applyFont="1" applyFill="1" applyBorder="1" applyAlignment="1">
      <alignment horizontal="left"/>
    </xf>
    <xf numFmtId="168" fontId="23" fillId="6" borderId="0" xfId="0" applyNumberFormat="1" applyFont="1" applyFill="1" applyAlignment="1">
      <alignment horizontal="center"/>
    </xf>
    <xf numFmtId="2" fontId="29" fillId="2" borderId="5" xfId="0" applyNumberFormat="1" applyFont="1" applyFill="1" applyBorder="1" applyAlignment="1">
      <alignment horizontal="center"/>
    </xf>
    <xf numFmtId="168" fontId="23" fillId="2" borderId="1" xfId="0" applyNumberFormat="1" applyFont="1" applyFill="1" applyBorder="1" applyAlignment="1">
      <alignment horizontal="center"/>
    </xf>
    <xf numFmtId="0" fontId="23" fillId="2" borderId="6" xfId="0" applyFont="1" applyFill="1" applyBorder="1" applyAlignment="1">
      <alignment horizontal="right"/>
    </xf>
    <xf numFmtId="2" fontId="28" fillId="2" borderId="1" xfId="0" applyNumberFormat="1" applyFont="1" applyFill="1" applyBorder="1" applyAlignment="1">
      <alignment horizontal="center"/>
    </xf>
    <xf numFmtId="168" fontId="23" fillId="2" borderId="0" xfId="0" applyNumberFormat="1" applyFont="1" applyFill="1" applyAlignment="1">
      <alignment horizontal="center"/>
    </xf>
    <xf numFmtId="0" fontId="23" fillId="2" borderId="1" xfId="0" quotePrefix="1" applyFont="1" applyFill="1" applyBorder="1" applyAlignment="1">
      <alignment horizontal="center"/>
    </xf>
    <xf numFmtId="0" fontId="30" fillId="2" borderId="1" xfId="0" quotePrefix="1" applyFont="1" applyFill="1" applyBorder="1" applyAlignment="1">
      <alignment horizontal="center"/>
    </xf>
    <xf numFmtId="168" fontId="23" fillId="2" borderId="1" xfId="0" quotePrefix="1" applyNumberFormat="1" applyFont="1" applyFill="1" applyBorder="1" applyAlignment="1">
      <alignment horizontal="center"/>
    </xf>
    <xf numFmtId="168" fontId="23" fillId="6" borderId="6" xfId="0" applyNumberFormat="1" applyFont="1" applyFill="1" applyBorder="1" applyAlignment="1">
      <alignment horizontal="center"/>
    </xf>
    <xf numFmtId="168" fontId="23" fillId="2" borderId="6" xfId="0" applyNumberFormat="1" applyFont="1" applyFill="1" applyBorder="1" applyAlignment="1">
      <alignment horizontal="center"/>
    </xf>
    <xf numFmtId="168" fontId="23" fillId="2" borderId="0" xfId="0" applyNumberFormat="1" applyFont="1" applyFill="1" applyAlignment="1">
      <alignment horizontal="center" wrapText="1"/>
    </xf>
    <xf numFmtId="0" fontId="30" fillId="2" borderId="1" xfId="0" applyFont="1" applyFill="1" applyBorder="1" applyAlignment="1">
      <alignment horizontal="center" wrapText="1"/>
    </xf>
    <xf numFmtId="168" fontId="23" fillId="2" borderId="1" xfId="0" applyNumberFormat="1" applyFont="1" applyFill="1" applyBorder="1" applyAlignment="1">
      <alignment horizontal="center" wrapText="1"/>
    </xf>
    <xf numFmtId="4" fontId="23" fillId="0" borderId="0" xfId="0" applyNumberFormat="1" applyFont="1" applyAlignment="1">
      <alignment horizontal="left"/>
    </xf>
    <xf numFmtId="4" fontId="23" fillId="2" borderId="0" xfId="0" applyNumberFormat="1" applyFont="1" applyFill="1" applyAlignment="1">
      <alignment horizontal="left"/>
    </xf>
    <xf numFmtId="0" fontId="25" fillId="2" borderId="0" xfId="0" applyFont="1" applyFill="1" applyAlignment="1">
      <alignment horizontal="center"/>
    </xf>
    <xf numFmtId="7" fontId="26" fillId="2" borderId="0" xfId="0" applyNumberFormat="1" applyFont="1" applyFill="1" applyAlignment="1">
      <alignment horizontal="center"/>
    </xf>
    <xf numFmtId="0" fontId="25" fillId="2" borderId="0" xfId="0" quotePrefix="1" applyFont="1" applyFill="1" applyAlignment="1">
      <alignment horizontal="left"/>
    </xf>
    <xf numFmtId="0" fontId="25" fillId="2" borderId="0" xfId="0" applyFont="1" applyFill="1" applyAlignment="1">
      <alignment horizontal="left"/>
    </xf>
    <xf numFmtId="169" fontId="25" fillId="2" borderId="0" xfId="0" applyNumberFormat="1" applyFont="1" applyFill="1" applyAlignment="1">
      <alignment horizontal="left"/>
    </xf>
    <xf numFmtId="0" fontId="47" fillId="0" borderId="7" xfId="0" applyFont="1" applyBorder="1" applyAlignment="1">
      <alignment horizontal="left"/>
    </xf>
    <xf numFmtId="0" fontId="47" fillId="0" borderId="0" xfId="0" applyFont="1" applyAlignment="1">
      <alignment horizontal="left"/>
    </xf>
    <xf numFmtId="0" fontId="22" fillId="2" borderId="0" xfId="0" applyFont="1" applyFill="1" applyAlignment="1">
      <alignment horizontal="center"/>
    </xf>
    <xf numFmtId="4" fontId="24" fillId="2" borderId="0" xfId="0" applyNumberFormat="1" applyFont="1" applyFill="1" applyAlignment="1">
      <alignment horizontal="left"/>
    </xf>
    <xf numFmtId="0" fontId="14" fillId="2" borderId="0" xfId="0" quotePrefix="1" applyFont="1" applyFill="1" applyAlignment="1">
      <alignment horizontal="center"/>
    </xf>
    <xf numFmtId="2" fontId="50" fillId="0" borderId="0" xfId="0" applyNumberFormat="1" applyFont="1" applyAlignment="1">
      <alignment horizontal="center" wrapText="1"/>
    </xf>
    <xf numFmtId="2" fontId="50" fillId="0" borderId="1" xfId="0" applyNumberFormat="1" applyFont="1" applyBorder="1" applyAlignment="1">
      <alignment horizontal="center" wrapText="1"/>
    </xf>
    <xf numFmtId="0" fontId="23" fillId="2" borderId="0" xfId="0" quotePrefix="1" applyFont="1" applyFill="1" applyAlignment="1"/>
    <xf numFmtId="0" fontId="23" fillId="2" borderId="0" xfId="0" applyFont="1" applyFill="1" applyAlignment="1"/>
    <xf numFmtId="7" fontId="23" fillId="9" borderId="6" xfId="0" applyNumberFormat="1" applyFont="1" applyFill="1" applyBorder="1" applyAlignment="1">
      <alignment horizontal="right"/>
    </xf>
  </cellXfs>
  <cellStyles count="14">
    <cellStyle name="Comma" xfId="1" builtinId="3"/>
    <cellStyle name="Comma 2" xfId="2" xr:uid="{00000000-0005-0000-0000-000001000000}"/>
    <cellStyle name="Comma 3" xfId="13" xr:uid="{00000000-0005-0000-0000-000002000000}"/>
    <cellStyle name="Comma 3 8" xfId="3" xr:uid="{00000000-0005-0000-0000-000003000000}"/>
    <cellStyle name="Comma_charter school revenue frame" xfId="4" xr:uid="{00000000-0005-0000-0000-000004000000}"/>
    <cellStyle name="Currency 2 8" xfId="5" xr:uid="{00000000-0005-0000-0000-000005000000}"/>
    <cellStyle name="Currency_charter school revenue frame" xfId="6" xr:uid="{00000000-0005-0000-0000-000006000000}"/>
    <cellStyle name="Normal" xfId="0" builtinId="0"/>
    <cellStyle name="Normal 2" xfId="7" xr:uid="{00000000-0005-0000-0000-000008000000}"/>
    <cellStyle name="Normal 2 2" xfId="8" xr:uid="{00000000-0005-0000-0000-000009000000}"/>
    <cellStyle name="Normal 3" xfId="12" xr:uid="{00000000-0005-0000-0000-00000A000000}"/>
    <cellStyle name="Normal 3 8" xfId="9" xr:uid="{00000000-0005-0000-0000-00000B000000}"/>
    <cellStyle name="Percent" xfId="10" builtinId="5"/>
    <cellStyle name="Percent 3 8" xfId="11" xr:uid="{00000000-0005-0000-0000-00000D000000}"/>
  </cellStyles>
  <dxfs count="20">
    <dxf>
      <fill>
        <patternFill>
          <bgColor theme="0" tint="-0.14996795556505021"/>
        </patternFill>
      </fill>
    </dxf>
    <dxf>
      <fill>
        <patternFill>
          <bgColor rgb="FFFFFF66"/>
        </patternFill>
      </fill>
    </dxf>
    <dxf>
      <fill>
        <patternFill>
          <bgColor rgb="FFFFFF66"/>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FFFF99"/>
      <color rgb="FFFFFF66"/>
      <color rgb="FFFFFFCC"/>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3"/>
  <sheetViews>
    <sheetView workbookViewId="0"/>
  </sheetViews>
  <sheetFormatPr defaultColWidth="9.109375" defaultRowHeight="13.8" x14ac:dyDescent="0.3"/>
  <cols>
    <col min="1" max="1" width="23.44140625" style="188" customWidth="1"/>
    <col min="2" max="2" width="9.109375" style="188"/>
    <col min="3" max="3" width="14.88671875" style="191" bestFit="1" customWidth="1"/>
    <col min="4" max="5" width="18.44140625" style="191" customWidth="1"/>
    <col min="6" max="6" width="9.109375" style="191"/>
    <col min="7" max="7" width="14.6640625" style="191" bestFit="1" customWidth="1"/>
    <col min="8" max="9" width="18.44140625" style="191" bestFit="1" customWidth="1"/>
    <col min="10" max="10" width="9.109375" style="191"/>
    <col min="11" max="11" width="16.5546875" style="191" bestFit="1" customWidth="1"/>
    <col min="12" max="16384" width="9.109375" style="188"/>
  </cols>
  <sheetData>
    <row r="1" spans="1:17" x14ac:dyDescent="0.3">
      <c r="A1" s="381"/>
    </row>
    <row r="3" spans="1:17" x14ac:dyDescent="0.3">
      <c r="C3" s="751" t="s">
        <v>330</v>
      </c>
      <c r="D3" s="752"/>
      <c r="E3" s="753"/>
      <c r="G3" s="754" t="s">
        <v>331</v>
      </c>
      <c r="H3" s="754"/>
      <c r="I3" s="754"/>
      <c r="K3" s="316" t="s">
        <v>332</v>
      </c>
    </row>
    <row r="4" spans="1:17" x14ac:dyDescent="0.3">
      <c r="C4" s="382" t="s">
        <v>360</v>
      </c>
      <c r="D4" s="382" t="s">
        <v>361</v>
      </c>
      <c r="E4" s="383" t="s">
        <v>362</v>
      </c>
      <c r="F4" s="384"/>
      <c r="G4" s="382" t="s">
        <v>360</v>
      </c>
      <c r="H4" s="382" t="s">
        <v>361</v>
      </c>
      <c r="I4" s="383" t="s">
        <v>362</v>
      </c>
      <c r="J4" s="384"/>
      <c r="K4" s="382" t="s">
        <v>339</v>
      </c>
    </row>
    <row r="5" spans="1:17" x14ac:dyDescent="0.3">
      <c r="C5" s="384"/>
      <c r="D5" s="384"/>
      <c r="E5" s="384"/>
      <c r="F5" s="384"/>
      <c r="G5" s="384"/>
      <c r="H5" s="384"/>
      <c r="I5" s="384"/>
      <c r="J5" s="384"/>
      <c r="K5" s="384"/>
    </row>
    <row r="6" spans="1:17" x14ac:dyDescent="0.3">
      <c r="C6" s="384"/>
      <c r="D6" s="384"/>
      <c r="E6" s="384"/>
      <c r="F6" s="384"/>
      <c r="G6" s="384"/>
      <c r="H6" s="384"/>
      <c r="I6" s="384"/>
      <c r="J6" s="384"/>
      <c r="K6" s="384"/>
    </row>
    <row r="7" spans="1:17" x14ac:dyDescent="0.3">
      <c r="A7" s="385" t="s">
        <v>329</v>
      </c>
      <c r="B7" s="385"/>
      <c r="C7" s="386"/>
      <c r="D7" s="386"/>
      <c r="E7" s="386"/>
      <c r="F7" s="386"/>
      <c r="G7" s="386"/>
      <c r="H7" s="386"/>
      <c r="I7" s="386"/>
      <c r="J7" s="386"/>
      <c r="K7" s="386"/>
    </row>
    <row r="8" spans="1:17" x14ac:dyDescent="0.3">
      <c r="A8" s="387" t="s">
        <v>337</v>
      </c>
      <c r="C8" s="384">
        <v>42342</v>
      </c>
      <c r="D8" s="384"/>
      <c r="E8" s="384"/>
      <c r="F8" s="384"/>
      <c r="G8" s="384">
        <v>42459</v>
      </c>
      <c r="H8" s="384"/>
      <c r="I8" s="384"/>
      <c r="J8" s="384"/>
      <c r="K8" s="384">
        <v>42629</v>
      </c>
    </row>
    <row r="9" spans="1:17" x14ac:dyDescent="0.3">
      <c r="A9" s="387" t="s">
        <v>336</v>
      </c>
      <c r="C9" s="388">
        <v>42339</v>
      </c>
      <c r="D9" s="388"/>
      <c r="E9" s="388"/>
      <c r="F9" s="388"/>
      <c r="G9" s="388">
        <v>42491</v>
      </c>
      <c r="H9" s="388"/>
      <c r="I9" s="388"/>
      <c r="J9" s="388"/>
      <c r="K9" s="388">
        <v>42675</v>
      </c>
    </row>
    <row r="10" spans="1:17" x14ac:dyDescent="0.3">
      <c r="C10" s="384"/>
      <c r="D10" s="384"/>
      <c r="E10" s="384"/>
      <c r="F10" s="384"/>
      <c r="G10" s="384"/>
      <c r="H10" s="384"/>
      <c r="I10" s="384"/>
      <c r="J10" s="384"/>
      <c r="K10" s="384"/>
    </row>
    <row r="11" spans="1:17" x14ac:dyDescent="0.3">
      <c r="C11" s="384"/>
      <c r="D11" s="384"/>
      <c r="E11" s="384"/>
      <c r="F11" s="384"/>
      <c r="G11" s="384"/>
      <c r="H11" s="384"/>
      <c r="I11" s="384"/>
      <c r="J11" s="384"/>
      <c r="K11" s="384"/>
    </row>
    <row r="12" spans="1:17" x14ac:dyDescent="0.3">
      <c r="A12" s="389" t="s">
        <v>333</v>
      </c>
      <c r="B12" s="389"/>
      <c r="C12" s="390"/>
      <c r="D12" s="390"/>
      <c r="E12" s="390"/>
      <c r="F12" s="390"/>
      <c r="G12" s="390"/>
      <c r="H12" s="390"/>
      <c r="I12" s="390"/>
      <c r="J12" s="390"/>
      <c r="K12" s="390"/>
    </row>
    <row r="13" spans="1:17" x14ac:dyDescent="0.3">
      <c r="A13" s="387" t="s">
        <v>337</v>
      </c>
      <c r="C13" s="384">
        <v>42702</v>
      </c>
      <c r="D13" s="384"/>
      <c r="E13" s="384"/>
      <c r="F13" s="384"/>
      <c r="G13" s="384">
        <v>42817</v>
      </c>
      <c r="H13" s="384"/>
      <c r="I13" s="384"/>
      <c r="J13" s="384"/>
      <c r="K13" s="384">
        <v>42997</v>
      </c>
    </row>
    <row r="14" spans="1:17" x14ac:dyDescent="0.3">
      <c r="A14" s="387" t="s">
        <v>336</v>
      </c>
      <c r="C14" s="388">
        <v>42705</v>
      </c>
      <c r="D14" s="388"/>
      <c r="E14" s="388"/>
      <c r="F14" s="388"/>
      <c r="G14" s="388">
        <v>42826</v>
      </c>
      <c r="H14" s="388"/>
      <c r="I14" s="388"/>
      <c r="J14" s="388"/>
      <c r="K14" s="388">
        <v>43040</v>
      </c>
    </row>
    <row r="15" spans="1:17" x14ac:dyDescent="0.3">
      <c r="C15" s="384"/>
      <c r="D15" s="384"/>
      <c r="E15" s="384"/>
      <c r="F15" s="384"/>
      <c r="G15" s="384"/>
      <c r="H15" s="384"/>
      <c r="I15" s="384"/>
      <c r="J15" s="384"/>
      <c r="K15" s="384"/>
    </row>
    <row r="16" spans="1:17" x14ac:dyDescent="0.3">
      <c r="C16" s="384"/>
      <c r="D16" s="384"/>
      <c r="E16" s="384"/>
      <c r="F16" s="384"/>
      <c r="G16" s="384"/>
      <c r="H16" s="384"/>
      <c r="I16" s="384"/>
      <c r="J16" s="384"/>
      <c r="K16" s="384"/>
      <c r="Q16" s="295"/>
    </row>
    <row r="17" spans="1:18" x14ac:dyDescent="0.3">
      <c r="A17" s="391" t="s">
        <v>334</v>
      </c>
      <c r="B17" s="391"/>
      <c r="C17" s="392"/>
      <c r="D17" s="392"/>
      <c r="E17" s="392"/>
      <c r="F17" s="392"/>
      <c r="G17" s="392"/>
      <c r="H17" s="392"/>
      <c r="I17" s="392"/>
      <c r="J17" s="392"/>
      <c r="K17" s="392"/>
      <c r="Q17" s="295"/>
    </row>
    <row r="18" spans="1:18" x14ac:dyDescent="0.3">
      <c r="A18" s="387" t="s">
        <v>337</v>
      </c>
      <c r="C18" s="384">
        <v>43046</v>
      </c>
      <c r="D18" s="384"/>
      <c r="E18" s="384"/>
      <c r="F18" s="384"/>
      <c r="G18" s="384">
        <v>43218</v>
      </c>
      <c r="H18" s="384"/>
      <c r="I18" s="384"/>
      <c r="J18" s="384"/>
      <c r="K18" s="384">
        <v>43343</v>
      </c>
      <c r="R18" s="295"/>
    </row>
    <row r="19" spans="1:18" x14ac:dyDescent="0.3">
      <c r="A19" s="387" t="s">
        <v>340</v>
      </c>
      <c r="C19" s="384"/>
      <c r="D19" s="384"/>
      <c r="E19" s="384"/>
      <c r="F19" s="384"/>
      <c r="G19" s="384"/>
      <c r="H19" s="384"/>
      <c r="I19" s="384"/>
      <c r="J19" s="384"/>
      <c r="K19" s="393">
        <v>43647</v>
      </c>
      <c r="R19" s="295"/>
    </row>
    <row r="20" spans="1:18" x14ac:dyDescent="0.3">
      <c r="A20" s="387" t="s">
        <v>336</v>
      </c>
      <c r="C20" s="388">
        <v>43070</v>
      </c>
      <c r="D20" s="388"/>
      <c r="E20" s="388"/>
      <c r="F20" s="388"/>
      <c r="G20" s="388">
        <v>43221</v>
      </c>
      <c r="H20" s="388"/>
      <c r="I20" s="388"/>
      <c r="J20" s="388"/>
      <c r="K20" s="394">
        <v>43708</v>
      </c>
      <c r="R20" s="295"/>
    </row>
    <row r="21" spans="1:18" x14ac:dyDescent="0.3">
      <c r="C21" s="395" t="s">
        <v>338</v>
      </c>
      <c r="D21" s="395"/>
      <c r="E21" s="395"/>
      <c r="F21" s="384"/>
      <c r="G21" s="384"/>
      <c r="H21" s="384"/>
      <c r="I21" s="384"/>
      <c r="J21" s="384"/>
      <c r="K21" s="384"/>
    </row>
    <row r="22" spans="1:18" x14ac:dyDescent="0.3">
      <c r="C22" s="384"/>
      <c r="D22" s="384"/>
      <c r="E22" s="384"/>
      <c r="F22" s="384"/>
      <c r="G22" s="384"/>
      <c r="H22" s="384"/>
      <c r="I22" s="384"/>
      <c r="J22" s="384"/>
      <c r="K22" s="384"/>
    </row>
    <row r="23" spans="1:18" x14ac:dyDescent="0.3">
      <c r="A23" s="387" t="s">
        <v>337</v>
      </c>
      <c r="C23" s="384">
        <v>43102</v>
      </c>
      <c r="D23" s="384"/>
      <c r="E23" s="384"/>
      <c r="F23" s="384"/>
      <c r="G23" s="396" t="s">
        <v>344</v>
      </c>
      <c r="H23" s="396"/>
      <c r="I23" s="396"/>
      <c r="J23" s="384"/>
      <c r="K23" s="396" t="s">
        <v>344</v>
      </c>
    </row>
    <row r="24" spans="1:18" x14ac:dyDescent="0.3">
      <c r="A24" s="387" t="s">
        <v>336</v>
      </c>
      <c r="C24" s="388">
        <v>43132</v>
      </c>
      <c r="D24" s="388"/>
      <c r="E24" s="388"/>
      <c r="F24" s="388"/>
      <c r="G24" s="396" t="s">
        <v>344</v>
      </c>
      <c r="H24" s="396"/>
      <c r="I24" s="396"/>
      <c r="J24" s="388"/>
      <c r="K24" s="396" t="s">
        <v>344</v>
      </c>
    </row>
    <row r="25" spans="1:18" x14ac:dyDescent="0.3">
      <c r="C25" s="395" t="s">
        <v>332</v>
      </c>
      <c r="D25" s="395"/>
      <c r="E25" s="395"/>
      <c r="F25" s="384"/>
      <c r="G25" s="396" t="s">
        <v>344</v>
      </c>
      <c r="H25" s="396"/>
      <c r="I25" s="396"/>
      <c r="J25" s="384"/>
      <c r="K25" s="396" t="s">
        <v>344</v>
      </c>
    </row>
    <row r="26" spans="1:18" x14ac:dyDescent="0.3">
      <c r="C26" s="384"/>
      <c r="D26" s="384"/>
      <c r="E26" s="384"/>
      <c r="F26" s="384"/>
      <c r="G26" s="384"/>
      <c r="H26" s="384"/>
      <c r="I26" s="384"/>
      <c r="J26" s="384"/>
      <c r="K26" s="384"/>
    </row>
    <row r="27" spans="1:18" x14ac:dyDescent="0.3">
      <c r="C27" s="384"/>
      <c r="D27" s="384"/>
      <c r="E27" s="384"/>
      <c r="F27" s="384"/>
      <c r="G27" s="384"/>
      <c r="H27" s="384"/>
      <c r="I27" s="384"/>
      <c r="J27" s="384"/>
      <c r="K27" s="384"/>
    </row>
    <row r="28" spans="1:18" x14ac:dyDescent="0.3">
      <c r="A28" s="397" t="s">
        <v>335</v>
      </c>
      <c r="B28" s="398"/>
      <c r="C28" s="399"/>
      <c r="D28" s="399"/>
      <c r="E28" s="399"/>
      <c r="F28" s="399"/>
      <c r="G28" s="399"/>
      <c r="H28" s="399"/>
      <c r="I28" s="399"/>
      <c r="J28" s="399"/>
      <c r="K28" s="399"/>
    </row>
    <row r="29" spans="1:18" x14ac:dyDescent="0.3">
      <c r="A29" s="387" t="s">
        <v>337</v>
      </c>
      <c r="C29" s="384">
        <v>43468</v>
      </c>
      <c r="D29" s="396" t="s">
        <v>344</v>
      </c>
      <c r="E29" s="396"/>
      <c r="F29" s="384"/>
      <c r="G29" s="384">
        <v>43538</v>
      </c>
      <c r="H29" s="396" t="s">
        <v>344</v>
      </c>
      <c r="I29" s="396"/>
      <c r="J29" s="384"/>
      <c r="K29" s="384">
        <v>43713</v>
      </c>
    </row>
    <row r="30" spans="1:18" x14ac:dyDescent="0.3">
      <c r="A30" s="387" t="s">
        <v>340</v>
      </c>
      <c r="C30" s="384">
        <v>43476</v>
      </c>
      <c r="D30" s="384"/>
      <c r="E30" s="384"/>
      <c r="F30" s="384"/>
      <c r="G30" s="384">
        <v>43595</v>
      </c>
      <c r="H30" s="384">
        <v>43726</v>
      </c>
      <c r="I30" s="384">
        <v>43648</v>
      </c>
      <c r="J30" s="384"/>
      <c r="K30" s="384">
        <v>43773</v>
      </c>
    </row>
    <row r="31" spans="1:18" x14ac:dyDescent="0.3">
      <c r="A31" s="387" t="s">
        <v>336</v>
      </c>
      <c r="C31" s="388">
        <v>43497</v>
      </c>
      <c r="D31" s="388">
        <v>43525</v>
      </c>
      <c r="E31" s="388"/>
      <c r="F31" s="388"/>
      <c r="G31" s="388">
        <v>43617</v>
      </c>
      <c r="H31" s="388">
        <v>43770</v>
      </c>
      <c r="I31" s="388">
        <v>43656</v>
      </c>
      <c r="J31" s="388"/>
      <c r="K31" s="388">
        <v>43770</v>
      </c>
    </row>
    <row r="32" spans="1:18" x14ac:dyDescent="0.3">
      <c r="C32" s="384"/>
      <c r="D32" s="384"/>
      <c r="E32" s="384"/>
      <c r="F32" s="384"/>
      <c r="G32" s="384"/>
      <c r="H32" s="384" t="s">
        <v>369</v>
      </c>
      <c r="I32" s="384" t="s">
        <v>370</v>
      </c>
      <c r="J32" s="384"/>
      <c r="K32" s="384"/>
    </row>
    <row r="33" spans="1:11" x14ac:dyDescent="0.3">
      <c r="C33" s="384"/>
      <c r="D33" s="384"/>
      <c r="E33" s="384"/>
      <c r="F33" s="384"/>
      <c r="G33" s="384"/>
      <c r="H33" s="384"/>
      <c r="I33" s="384"/>
      <c r="J33" s="384"/>
      <c r="K33" s="384"/>
    </row>
    <row r="34" spans="1:11" x14ac:dyDescent="0.3">
      <c r="A34" s="400" t="s">
        <v>357</v>
      </c>
      <c r="B34" s="401"/>
      <c r="C34" s="402"/>
      <c r="D34" s="402"/>
      <c r="E34" s="402"/>
      <c r="F34" s="402"/>
      <c r="G34" s="402"/>
      <c r="H34" s="402"/>
      <c r="I34" s="402"/>
      <c r="J34" s="402"/>
      <c r="K34" s="402"/>
    </row>
    <row r="35" spans="1:11" x14ac:dyDescent="0.3">
      <c r="A35" s="231" t="s">
        <v>368</v>
      </c>
      <c r="C35" s="384">
        <v>43775</v>
      </c>
      <c r="D35" s="384"/>
      <c r="E35" s="384"/>
      <c r="F35" s="384"/>
      <c r="G35" s="384"/>
      <c r="H35" s="384"/>
      <c r="I35" s="384"/>
      <c r="J35" s="384"/>
      <c r="K35" s="384"/>
    </row>
    <row r="36" spans="1:11" x14ac:dyDescent="0.3">
      <c r="A36" s="387" t="s">
        <v>340</v>
      </c>
      <c r="C36" s="384">
        <v>43788</v>
      </c>
      <c r="D36" s="384"/>
      <c r="E36" s="384"/>
      <c r="F36" s="384"/>
      <c r="G36" s="384"/>
      <c r="H36" s="384"/>
      <c r="I36" s="384"/>
      <c r="J36" s="384"/>
      <c r="K36" s="384"/>
    </row>
    <row r="37" spans="1:11" x14ac:dyDescent="0.3">
      <c r="A37" s="387" t="s">
        <v>336</v>
      </c>
      <c r="C37" s="388">
        <v>43830</v>
      </c>
      <c r="D37" s="388"/>
      <c r="E37" s="388"/>
      <c r="F37" s="388"/>
      <c r="G37" s="388"/>
      <c r="H37" s="388"/>
      <c r="I37" s="388"/>
      <c r="J37" s="388"/>
      <c r="K37" s="388"/>
    </row>
    <row r="38" spans="1:11" x14ac:dyDescent="0.3">
      <c r="C38" s="395" t="s">
        <v>338</v>
      </c>
      <c r="D38" s="384"/>
      <c r="E38" s="384"/>
      <c r="F38" s="384"/>
      <c r="G38" s="384"/>
      <c r="H38" s="384"/>
      <c r="I38" s="384"/>
      <c r="J38" s="384"/>
      <c r="K38" s="384"/>
    </row>
    <row r="39" spans="1:11" x14ac:dyDescent="0.3">
      <c r="C39" s="384"/>
      <c r="D39" s="384"/>
      <c r="E39" s="384"/>
      <c r="F39" s="384"/>
      <c r="G39" s="384"/>
      <c r="H39" s="384"/>
      <c r="I39" s="384"/>
      <c r="J39" s="384"/>
      <c r="K39" s="384"/>
    </row>
    <row r="40" spans="1:11" x14ac:dyDescent="0.3">
      <c r="A40" s="231" t="s">
        <v>368</v>
      </c>
      <c r="C40" s="384">
        <v>43833</v>
      </c>
      <c r="D40" s="384">
        <v>43853</v>
      </c>
      <c r="E40" s="384">
        <v>43853</v>
      </c>
      <c r="F40" s="384"/>
      <c r="G40" s="384">
        <v>43895</v>
      </c>
      <c r="H40" s="384">
        <v>43906</v>
      </c>
      <c r="I40" s="384">
        <v>43906</v>
      </c>
      <c r="J40" s="384"/>
      <c r="K40" s="384">
        <v>44028</v>
      </c>
    </row>
    <row r="41" spans="1:11" x14ac:dyDescent="0.3">
      <c r="A41" s="387" t="s">
        <v>340</v>
      </c>
      <c r="C41" s="384">
        <v>43859</v>
      </c>
      <c r="D41" s="384">
        <v>43858</v>
      </c>
      <c r="E41" s="384">
        <v>43858</v>
      </c>
      <c r="F41" s="384"/>
      <c r="G41" s="384">
        <v>43906</v>
      </c>
      <c r="H41" s="384">
        <v>43950</v>
      </c>
      <c r="I41" s="384">
        <v>43950</v>
      </c>
      <c r="J41" s="384"/>
      <c r="K41" s="384">
        <v>44075</v>
      </c>
    </row>
    <row r="42" spans="1:11" x14ac:dyDescent="0.3">
      <c r="A42" s="387" t="s">
        <v>336</v>
      </c>
      <c r="C42" s="388">
        <v>43889</v>
      </c>
      <c r="D42" s="388">
        <v>43889</v>
      </c>
      <c r="E42" s="388">
        <v>43889</v>
      </c>
      <c r="F42" s="384"/>
      <c r="G42" s="388">
        <v>43951</v>
      </c>
      <c r="H42" s="388">
        <v>43982</v>
      </c>
      <c r="I42" s="388">
        <v>43982</v>
      </c>
      <c r="J42" s="384"/>
      <c r="K42" s="388">
        <v>44166</v>
      </c>
    </row>
    <row r="43" spans="1:11" x14ac:dyDescent="0.3">
      <c r="A43" s="387" t="s">
        <v>381</v>
      </c>
      <c r="C43" s="395" t="s">
        <v>332</v>
      </c>
      <c r="D43" s="384" t="s">
        <v>371</v>
      </c>
      <c r="E43" s="384" t="s">
        <v>372</v>
      </c>
      <c r="F43" s="384"/>
      <c r="G43" s="384"/>
      <c r="H43" s="384" t="s">
        <v>373</v>
      </c>
      <c r="I43" s="384" t="s">
        <v>374</v>
      </c>
      <c r="J43" s="384"/>
      <c r="K43" s="384"/>
    </row>
    <row r="44" spans="1:11" x14ac:dyDescent="0.3">
      <c r="C44" s="384"/>
      <c r="D44" s="384"/>
      <c r="E44" s="384"/>
      <c r="F44" s="384"/>
      <c r="G44" s="384"/>
      <c r="H44" s="384"/>
      <c r="I44" s="384"/>
      <c r="J44" s="384"/>
      <c r="K44" s="384"/>
    </row>
    <row r="45" spans="1:11" x14ac:dyDescent="0.3">
      <c r="C45" s="384"/>
      <c r="D45" s="384"/>
      <c r="E45" s="384"/>
      <c r="F45" s="384"/>
      <c r="G45" s="384"/>
      <c r="H45" s="384"/>
      <c r="I45" s="384"/>
      <c r="J45" s="384"/>
      <c r="K45" s="384"/>
    </row>
    <row r="46" spans="1:11" x14ac:dyDescent="0.3">
      <c r="A46" s="403" t="s">
        <v>379</v>
      </c>
      <c r="B46" s="404"/>
      <c r="C46" s="405"/>
      <c r="D46" s="405"/>
      <c r="E46" s="405"/>
      <c r="F46" s="405"/>
      <c r="G46" s="405"/>
      <c r="H46" s="405"/>
      <c r="I46" s="405"/>
      <c r="J46" s="405"/>
      <c r="K46" s="405"/>
    </row>
    <row r="47" spans="1:11" x14ac:dyDescent="0.3">
      <c r="C47" s="384"/>
      <c r="D47" s="384"/>
      <c r="E47" s="384"/>
      <c r="F47" s="384"/>
      <c r="G47" s="384"/>
      <c r="H47" s="384"/>
      <c r="I47" s="384"/>
      <c r="J47" s="384"/>
      <c r="K47" s="384"/>
    </row>
    <row r="48" spans="1:11" x14ac:dyDescent="0.3">
      <c r="A48" s="231" t="s">
        <v>368</v>
      </c>
      <c r="C48" s="384">
        <v>44147</v>
      </c>
      <c r="D48" s="384">
        <v>44314</v>
      </c>
      <c r="E48" s="384">
        <v>44314</v>
      </c>
      <c r="F48" s="384"/>
      <c r="G48" s="384">
        <v>44307</v>
      </c>
      <c r="H48" s="384">
        <v>44314</v>
      </c>
      <c r="I48" s="384">
        <v>44314</v>
      </c>
      <c r="J48" s="384"/>
      <c r="K48" s="384">
        <v>44875</v>
      </c>
    </row>
    <row r="49" spans="1:11" x14ac:dyDescent="0.3">
      <c r="A49" s="387" t="s">
        <v>340</v>
      </c>
      <c r="C49" s="384">
        <v>44151</v>
      </c>
      <c r="D49" s="384">
        <v>44316</v>
      </c>
      <c r="E49" s="384">
        <v>44316</v>
      </c>
      <c r="F49" s="384"/>
      <c r="G49" s="384">
        <v>44314</v>
      </c>
      <c r="H49" s="384">
        <v>44319</v>
      </c>
      <c r="I49" s="384">
        <v>44319</v>
      </c>
      <c r="J49" s="384"/>
      <c r="K49" s="384">
        <v>44565</v>
      </c>
    </row>
    <row r="50" spans="1:11" x14ac:dyDescent="0.3">
      <c r="A50" s="387" t="s">
        <v>336</v>
      </c>
      <c r="C50" s="388">
        <v>44317</v>
      </c>
      <c r="D50" s="388">
        <v>44347</v>
      </c>
      <c r="E50" s="388">
        <v>44347</v>
      </c>
      <c r="F50" s="384"/>
      <c r="G50" s="388">
        <v>44347</v>
      </c>
      <c r="H50" s="388">
        <v>44347</v>
      </c>
      <c r="I50" s="388">
        <v>44347</v>
      </c>
      <c r="J50" s="384"/>
      <c r="K50" s="388">
        <v>44613</v>
      </c>
    </row>
    <row r="51" spans="1:11" x14ac:dyDescent="0.3">
      <c r="A51" s="387" t="s">
        <v>381</v>
      </c>
      <c r="C51" s="388"/>
      <c r="D51" s="388" t="s">
        <v>385</v>
      </c>
      <c r="E51" s="388" t="s">
        <v>386</v>
      </c>
      <c r="F51" s="384"/>
      <c r="G51" s="388"/>
      <c r="H51" s="388" t="s">
        <v>383</v>
      </c>
      <c r="I51" s="388" t="s">
        <v>384</v>
      </c>
      <c r="J51" s="384"/>
      <c r="K51" s="384"/>
    </row>
    <row r="52" spans="1:11" x14ac:dyDescent="0.3">
      <c r="C52" s="384"/>
      <c r="D52" s="384"/>
      <c r="E52" s="384"/>
      <c r="F52" s="384"/>
      <c r="G52" s="384"/>
      <c r="H52" s="384"/>
      <c r="I52" s="384"/>
      <c r="J52" s="384"/>
      <c r="K52" s="384"/>
    </row>
    <row r="53" spans="1:11" x14ac:dyDescent="0.3">
      <c r="C53" s="384"/>
      <c r="D53" s="384"/>
      <c r="E53" s="384"/>
      <c r="F53" s="384"/>
      <c r="G53" s="384"/>
      <c r="H53" s="384"/>
      <c r="I53" s="384"/>
      <c r="J53" s="384"/>
      <c r="K53" s="384"/>
    </row>
    <row r="54" spans="1:11" x14ac:dyDescent="0.3">
      <c r="A54" s="415" t="s">
        <v>390</v>
      </c>
      <c r="B54" s="416"/>
      <c r="C54" s="417"/>
      <c r="D54" s="417"/>
      <c r="E54" s="417"/>
      <c r="F54" s="417"/>
      <c r="G54" s="417"/>
      <c r="H54" s="417"/>
      <c r="I54" s="417"/>
      <c r="J54" s="417"/>
      <c r="K54" s="417"/>
    </row>
    <row r="55" spans="1:11" x14ac:dyDescent="0.3">
      <c r="C55" s="384"/>
      <c r="D55" s="384"/>
      <c r="E55" s="384"/>
      <c r="F55" s="384"/>
      <c r="G55" s="384"/>
      <c r="H55" s="384"/>
      <c r="I55" s="384"/>
      <c r="J55" s="384"/>
      <c r="K55" s="384"/>
    </row>
    <row r="56" spans="1:11" x14ac:dyDescent="0.3">
      <c r="A56" s="231" t="s">
        <v>368</v>
      </c>
      <c r="C56" s="384">
        <v>44518</v>
      </c>
      <c r="D56" s="396" t="s">
        <v>394</v>
      </c>
      <c r="E56" s="384" t="s">
        <v>393</v>
      </c>
      <c r="F56" s="384"/>
      <c r="G56" s="384">
        <v>44630</v>
      </c>
      <c r="H56" s="396" t="s">
        <v>402</v>
      </c>
      <c r="I56" s="396" t="s">
        <v>403</v>
      </c>
      <c r="J56" s="384"/>
      <c r="K56" s="384">
        <v>44834</v>
      </c>
    </row>
    <row r="57" spans="1:11" x14ac:dyDescent="0.3">
      <c r="A57" s="387" t="s">
        <v>340</v>
      </c>
      <c r="C57" s="384">
        <v>44565</v>
      </c>
      <c r="D57" s="384">
        <v>44580</v>
      </c>
      <c r="E57" s="384">
        <v>44580</v>
      </c>
      <c r="F57" s="384"/>
      <c r="G57" s="384">
        <v>44684</v>
      </c>
      <c r="H57" s="384">
        <v>44691</v>
      </c>
      <c r="I57" s="384">
        <v>44691</v>
      </c>
      <c r="J57" s="384"/>
      <c r="K57" s="384">
        <v>44893</v>
      </c>
    </row>
    <row r="58" spans="1:11" x14ac:dyDescent="0.3">
      <c r="A58" s="387" t="s">
        <v>336</v>
      </c>
      <c r="C58" s="388">
        <v>44562</v>
      </c>
      <c r="D58" s="388">
        <v>44620</v>
      </c>
      <c r="E58" s="388">
        <v>44620</v>
      </c>
      <c r="F58" s="384"/>
      <c r="G58" s="388">
        <v>44712</v>
      </c>
      <c r="H58" s="388">
        <v>44742</v>
      </c>
      <c r="I58" s="388">
        <v>44742</v>
      </c>
      <c r="J58" s="384"/>
      <c r="K58" s="388">
        <v>44926</v>
      </c>
    </row>
    <row r="59" spans="1:11" x14ac:dyDescent="0.3">
      <c r="A59" s="387" t="s">
        <v>381</v>
      </c>
      <c r="C59" s="396" t="s">
        <v>344</v>
      </c>
      <c r="D59" s="418" t="s">
        <v>392</v>
      </c>
      <c r="E59" s="418" t="s">
        <v>386</v>
      </c>
      <c r="F59" s="384"/>
      <c r="G59" s="396" t="s">
        <v>344</v>
      </c>
      <c r="H59" s="418" t="s">
        <v>400</v>
      </c>
      <c r="I59" s="418" t="s">
        <v>401</v>
      </c>
      <c r="J59" s="384"/>
      <c r="K59" s="396" t="s">
        <v>344</v>
      </c>
    </row>
    <row r="60" spans="1:11" x14ac:dyDescent="0.3">
      <c r="A60" s="387"/>
      <c r="C60" s="395" t="s">
        <v>338</v>
      </c>
      <c r="D60" s="388"/>
      <c r="E60" s="388"/>
      <c r="F60" s="384"/>
      <c r="G60" s="388"/>
      <c r="H60" s="388"/>
      <c r="I60" s="388"/>
      <c r="J60" s="384"/>
      <c r="K60" s="384"/>
    </row>
    <row r="61" spans="1:11" x14ac:dyDescent="0.3">
      <c r="A61" s="387"/>
      <c r="C61" s="388"/>
      <c r="D61" s="388"/>
      <c r="E61" s="388"/>
      <c r="F61" s="384"/>
      <c r="G61" s="388"/>
      <c r="H61" s="388"/>
      <c r="I61" s="388"/>
      <c r="J61" s="384"/>
      <c r="K61" s="384"/>
    </row>
    <row r="62" spans="1:11" x14ac:dyDescent="0.3">
      <c r="A62" s="231" t="s">
        <v>337</v>
      </c>
      <c r="C62" s="384">
        <v>44574</v>
      </c>
      <c r="D62" s="388"/>
      <c r="E62" s="388"/>
      <c r="F62" s="384"/>
      <c r="G62" s="384"/>
      <c r="H62" s="388"/>
      <c r="I62" s="388"/>
      <c r="J62" s="384"/>
      <c r="K62" s="384"/>
    </row>
    <row r="63" spans="1:11" x14ac:dyDescent="0.3">
      <c r="A63" s="387" t="s">
        <v>340</v>
      </c>
      <c r="C63" s="384">
        <v>44579</v>
      </c>
      <c r="D63" s="388"/>
      <c r="E63" s="388"/>
      <c r="F63" s="384"/>
      <c r="G63" s="384"/>
      <c r="H63" s="388"/>
      <c r="I63" s="388"/>
      <c r="J63" s="384"/>
      <c r="K63" s="384"/>
    </row>
    <row r="64" spans="1:11" x14ac:dyDescent="0.3">
      <c r="A64" s="387" t="s">
        <v>336</v>
      </c>
      <c r="C64" s="388">
        <v>44620</v>
      </c>
      <c r="D64" s="388"/>
      <c r="E64" s="388"/>
      <c r="F64" s="384"/>
      <c r="G64" s="388"/>
      <c r="H64" s="388"/>
      <c r="I64" s="388"/>
      <c r="J64" s="384"/>
      <c r="K64" s="384"/>
    </row>
    <row r="65" spans="1:11" x14ac:dyDescent="0.3">
      <c r="A65" s="387"/>
      <c r="C65" s="395" t="s">
        <v>332</v>
      </c>
      <c r="D65" s="388"/>
      <c r="E65" s="388"/>
      <c r="F65" s="384"/>
      <c r="G65" s="388"/>
      <c r="H65" s="388"/>
      <c r="I65" s="388"/>
      <c r="J65" s="384"/>
      <c r="K65" s="384"/>
    </row>
    <row r="66" spans="1:11" x14ac:dyDescent="0.3">
      <c r="A66" s="387"/>
      <c r="C66" s="395"/>
      <c r="D66" s="388"/>
      <c r="E66" s="388"/>
      <c r="F66" s="384"/>
      <c r="G66" s="388"/>
      <c r="H66" s="388"/>
      <c r="I66" s="388"/>
      <c r="J66" s="384"/>
      <c r="K66" s="384"/>
    </row>
    <row r="67" spans="1:11" x14ac:dyDescent="0.3">
      <c r="A67" s="428" t="s">
        <v>416</v>
      </c>
      <c r="B67" s="429"/>
      <c r="C67" s="430"/>
      <c r="D67" s="430"/>
      <c r="E67" s="430"/>
      <c r="F67" s="430"/>
      <c r="G67" s="430"/>
      <c r="H67" s="430"/>
      <c r="I67" s="430"/>
      <c r="J67" s="430"/>
      <c r="K67" s="430"/>
    </row>
    <row r="68" spans="1:11" x14ac:dyDescent="0.3">
      <c r="C68" s="384"/>
      <c r="D68" s="384"/>
      <c r="E68" s="384"/>
      <c r="F68" s="384"/>
      <c r="G68" s="384"/>
      <c r="H68" s="384"/>
      <c r="I68" s="384"/>
      <c r="J68" s="384"/>
      <c r="K68" s="384"/>
    </row>
    <row r="69" spans="1:11" x14ac:dyDescent="0.3">
      <c r="A69" s="231" t="s">
        <v>368</v>
      </c>
      <c r="C69" s="384">
        <v>44874</v>
      </c>
      <c r="D69" s="396" t="s">
        <v>417</v>
      </c>
      <c r="E69" s="384" t="s">
        <v>418</v>
      </c>
      <c r="F69" s="384"/>
      <c r="G69" s="384">
        <v>45008</v>
      </c>
      <c r="H69" s="396" t="s">
        <v>430</v>
      </c>
      <c r="I69" s="396" t="s">
        <v>429</v>
      </c>
      <c r="J69" s="384"/>
      <c r="K69" s="384">
        <v>45199</v>
      </c>
    </row>
    <row r="70" spans="1:11" x14ac:dyDescent="0.3">
      <c r="A70" s="387" t="s">
        <v>340</v>
      </c>
      <c r="C70" s="384">
        <v>44896</v>
      </c>
      <c r="D70" s="384">
        <v>44938</v>
      </c>
      <c r="E70" s="384">
        <v>44938</v>
      </c>
      <c r="F70" s="384"/>
      <c r="G70" s="384">
        <v>45020</v>
      </c>
      <c r="H70" s="384">
        <v>45027</v>
      </c>
      <c r="I70" s="384">
        <v>45027</v>
      </c>
      <c r="J70" s="384"/>
      <c r="K70" s="384">
        <v>45258</v>
      </c>
    </row>
    <row r="71" spans="1:11" x14ac:dyDescent="0.3">
      <c r="A71" s="387" t="s">
        <v>336</v>
      </c>
      <c r="C71" s="388">
        <v>44957</v>
      </c>
      <c r="D71" s="388">
        <v>44980</v>
      </c>
      <c r="E71" s="388">
        <v>44980</v>
      </c>
      <c r="F71" s="384"/>
      <c r="G71" s="388">
        <v>45039</v>
      </c>
      <c r="H71" s="388">
        <v>45077</v>
      </c>
      <c r="I71" s="388">
        <v>45077</v>
      </c>
      <c r="J71" s="384"/>
      <c r="K71" s="388">
        <v>45261</v>
      </c>
    </row>
    <row r="72" spans="1:11" x14ac:dyDescent="0.3">
      <c r="A72" s="387" t="s">
        <v>381</v>
      </c>
      <c r="C72" s="396" t="s">
        <v>344</v>
      </c>
      <c r="D72" s="418" t="s">
        <v>419</v>
      </c>
      <c r="E72" s="418" t="s">
        <v>420</v>
      </c>
      <c r="F72" s="384"/>
      <c r="G72" s="396" t="s">
        <v>344</v>
      </c>
      <c r="H72" s="418" t="s">
        <v>431</v>
      </c>
      <c r="I72" s="418" t="s">
        <v>432</v>
      </c>
      <c r="J72" s="384"/>
    </row>
    <row r="73" spans="1:11" x14ac:dyDescent="0.3">
      <c r="C73" s="406"/>
      <c r="D73" s="406"/>
      <c r="E73" s="406"/>
      <c r="F73" s="406"/>
      <c r="G73" s="406"/>
      <c r="H73" s="406"/>
      <c r="I73" s="406"/>
      <c r="J73" s="406"/>
      <c r="K73" s="406"/>
    </row>
    <row r="74" spans="1:11" x14ac:dyDescent="0.3">
      <c r="C74" s="406"/>
      <c r="D74" s="406"/>
      <c r="E74" s="406"/>
      <c r="F74" s="406"/>
      <c r="G74" s="406"/>
      <c r="H74" s="406"/>
      <c r="I74" s="406"/>
      <c r="J74" s="406"/>
      <c r="K74" s="406"/>
    </row>
    <row r="75" spans="1:11" x14ac:dyDescent="0.3">
      <c r="A75" s="550" t="s">
        <v>533</v>
      </c>
      <c r="B75" s="551"/>
      <c r="C75" s="552"/>
      <c r="D75" s="552"/>
      <c r="E75" s="552"/>
      <c r="F75" s="552"/>
      <c r="G75" s="552"/>
      <c r="H75" s="552"/>
      <c r="I75" s="552"/>
      <c r="J75" s="552"/>
      <c r="K75" s="552"/>
    </row>
    <row r="76" spans="1:11" x14ac:dyDescent="0.3">
      <c r="C76" s="406"/>
      <c r="D76" s="406"/>
      <c r="E76" s="406"/>
      <c r="F76" s="406"/>
      <c r="G76" s="406"/>
      <c r="H76" s="406"/>
      <c r="I76" s="406"/>
      <c r="J76" s="406"/>
      <c r="K76" s="406"/>
    </row>
    <row r="77" spans="1:11" x14ac:dyDescent="0.3">
      <c r="A77" s="231" t="s">
        <v>368</v>
      </c>
      <c r="C77" s="384">
        <v>45239</v>
      </c>
      <c r="D77" s="396">
        <v>45295</v>
      </c>
      <c r="E77" s="396">
        <v>45295</v>
      </c>
      <c r="F77" s="406"/>
      <c r="G77" s="406" t="s">
        <v>565</v>
      </c>
      <c r="H77" s="406">
        <v>45384</v>
      </c>
      <c r="I77" s="406">
        <v>45384</v>
      </c>
      <c r="J77" s="406"/>
      <c r="K77" s="406">
        <v>45586</v>
      </c>
    </row>
    <row r="78" spans="1:11" x14ac:dyDescent="0.3">
      <c r="A78" s="387" t="s">
        <v>340</v>
      </c>
      <c r="C78" s="384">
        <v>45261</v>
      </c>
      <c r="D78" s="406">
        <v>45302</v>
      </c>
      <c r="E78" s="406">
        <v>45302</v>
      </c>
      <c r="F78" s="406"/>
      <c r="G78" s="406" t="s">
        <v>566</v>
      </c>
      <c r="H78" s="406">
        <v>45435</v>
      </c>
      <c r="I78" s="406">
        <v>45435</v>
      </c>
      <c r="J78" s="406"/>
      <c r="K78" s="406">
        <v>45589</v>
      </c>
    </row>
    <row r="79" spans="1:11" x14ac:dyDescent="0.3">
      <c r="A79" s="387" t="s">
        <v>336</v>
      </c>
      <c r="C79" s="388">
        <v>45292</v>
      </c>
      <c r="D79" s="578" t="s">
        <v>607</v>
      </c>
      <c r="E79" s="578" t="s">
        <v>607</v>
      </c>
      <c r="F79" s="406"/>
      <c r="G79" s="589" t="s">
        <v>567</v>
      </c>
      <c r="H79" s="596" t="s">
        <v>573</v>
      </c>
      <c r="I79" s="596" t="s">
        <v>573</v>
      </c>
      <c r="J79" s="406"/>
      <c r="K79" s="406">
        <v>45597</v>
      </c>
    </row>
    <row r="80" spans="1:11" x14ac:dyDescent="0.3">
      <c r="A80" s="387" t="s">
        <v>381</v>
      </c>
      <c r="C80" s="396" t="s">
        <v>344</v>
      </c>
      <c r="D80" s="406" t="s">
        <v>555</v>
      </c>
      <c r="E80" s="406" t="s">
        <v>568</v>
      </c>
      <c r="F80" s="406"/>
      <c r="G80" s="396" t="s">
        <v>344</v>
      </c>
      <c r="H80" s="406" t="s">
        <v>569</v>
      </c>
      <c r="I80" s="406" t="s">
        <v>570</v>
      </c>
      <c r="J80" s="406"/>
      <c r="K80" s="406"/>
    </row>
    <row r="81" spans="1:11" x14ac:dyDescent="0.3">
      <c r="C81" s="406"/>
      <c r="D81" s="406"/>
      <c r="E81" s="406"/>
      <c r="F81" s="406"/>
      <c r="G81" s="406"/>
      <c r="H81" s="406"/>
      <c r="I81" s="406"/>
      <c r="J81" s="406"/>
      <c r="K81" s="406"/>
    </row>
    <row r="82" spans="1:11" x14ac:dyDescent="0.3">
      <c r="C82" s="406"/>
      <c r="D82" s="406"/>
      <c r="E82" s="406"/>
      <c r="F82" s="406"/>
      <c r="G82" s="406"/>
      <c r="H82" s="406"/>
      <c r="I82" s="406"/>
      <c r="J82" s="406"/>
      <c r="K82" s="406"/>
    </row>
    <row r="83" spans="1:11" x14ac:dyDescent="0.3">
      <c r="A83" s="601" t="s">
        <v>575</v>
      </c>
      <c r="B83" s="602"/>
      <c r="C83" s="603"/>
      <c r="D83" s="603"/>
      <c r="E83" s="603"/>
      <c r="F83" s="603"/>
      <c r="G83" s="603"/>
      <c r="H83" s="603"/>
      <c r="I83" s="603"/>
      <c r="J83" s="603"/>
      <c r="K83" s="603"/>
    </row>
    <row r="84" spans="1:11" x14ac:dyDescent="0.3">
      <c r="C84" s="406"/>
      <c r="D84" s="406"/>
      <c r="E84" s="406"/>
      <c r="F84" s="406"/>
      <c r="G84" s="406"/>
      <c r="H84" s="406"/>
      <c r="I84" s="406"/>
      <c r="J84" s="406"/>
      <c r="K84" s="406"/>
    </row>
    <row r="85" spans="1:11" x14ac:dyDescent="0.3">
      <c r="A85" s="231" t="s">
        <v>368</v>
      </c>
      <c r="C85" s="406">
        <v>45602</v>
      </c>
      <c r="D85" s="406" t="s">
        <v>601</v>
      </c>
      <c r="E85" s="406" t="s">
        <v>601</v>
      </c>
      <c r="F85" s="406"/>
      <c r="G85" s="406"/>
      <c r="H85" s="406"/>
      <c r="I85" s="406"/>
      <c r="J85" s="406"/>
      <c r="K85" s="406"/>
    </row>
    <row r="86" spans="1:11" x14ac:dyDescent="0.3">
      <c r="A86" s="387" t="s">
        <v>340</v>
      </c>
      <c r="C86" s="406">
        <v>45614</v>
      </c>
      <c r="D86" s="406">
        <v>45674</v>
      </c>
      <c r="E86" s="406">
        <v>45674</v>
      </c>
      <c r="F86" s="406"/>
      <c r="G86" s="406"/>
      <c r="H86" s="406"/>
      <c r="I86" s="406"/>
      <c r="J86" s="406"/>
      <c r="K86" s="406"/>
    </row>
    <row r="87" spans="1:11" x14ac:dyDescent="0.3">
      <c r="A87" s="387" t="s">
        <v>336</v>
      </c>
      <c r="C87" s="406" t="s">
        <v>599</v>
      </c>
      <c r="D87" s="406" t="s">
        <v>610</v>
      </c>
      <c r="E87" s="406" t="s">
        <v>610</v>
      </c>
      <c r="F87" s="406"/>
      <c r="G87" s="406"/>
      <c r="H87" s="406"/>
      <c r="I87" s="406"/>
      <c r="J87" s="406"/>
      <c r="K87" s="406"/>
    </row>
    <row r="88" spans="1:11" x14ac:dyDescent="0.3">
      <c r="A88" s="387" t="s">
        <v>381</v>
      </c>
      <c r="C88" s="396" t="s">
        <v>344</v>
      </c>
      <c r="D88" s="406" t="s">
        <v>602</v>
      </c>
      <c r="E88" s="406" t="s">
        <v>600</v>
      </c>
      <c r="F88" s="406"/>
      <c r="G88" s="406"/>
      <c r="H88" s="406"/>
      <c r="I88" s="406"/>
      <c r="J88" s="406"/>
      <c r="K88" s="406"/>
    </row>
    <row r="89" spans="1:11" x14ac:dyDescent="0.3">
      <c r="C89" s="406"/>
      <c r="D89" s="406"/>
      <c r="E89" s="406"/>
      <c r="F89" s="406"/>
      <c r="G89" s="406"/>
      <c r="H89" s="406"/>
      <c r="I89" s="406"/>
      <c r="J89" s="406"/>
      <c r="K89" s="406"/>
    </row>
    <row r="90" spans="1:11" x14ac:dyDescent="0.3">
      <c r="C90" s="406"/>
      <c r="D90" s="406"/>
      <c r="E90" s="406"/>
      <c r="F90" s="406"/>
      <c r="G90" s="406"/>
      <c r="H90" s="406"/>
      <c r="I90" s="406"/>
      <c r="J90" s="406"/>
      <c r="K90" s="406"/>
    </row>
    <row r="91" spans="1:11" x14ac:dyDescent="0.3">
      <c r="C91" s="406"/>
      <c r="D91" s="406"/>
      <c r="E91" s="406"/>
      <c r="F91" s="406"/>
      <c r="G91" s="406"/>
      <c r="H91" s="406"/>
      <c r="I91" s="406"/>
      <c r="J91" s="406"/>
      <c r="K91" s="406"/>
    </row>
    <row r="92" spans="1:11" x14ac:dyDescent="0.3">
      <c r="C92" s="406"/>
      <c r="D92" s="406"/>
      <c r="E92" s="406"/>
      <c r="F92" s="406"/>
      <c r="G92" s="406"/>
      <c r="H92" s="406"/>
      <c r="I92" s="406"/>
      <c r="J92" s="406"/>
      <c r="K92" s="406"/>
    </row>
    <row r="93" spans="1:11" x14ac:dyDescent="0.3">
      <c r="C93" s="406"/>
      <c r="D93" s="406"/>
      <c r="E93" s="406"/>
      <c r="F93" s="406"/>
      <c r="G93" s="406"/>
      <c r="H93" s="406"/>
      <c r="I93" s="406"/>
      <c r="J93" s="406"/>
      <c r="K93" s="406"/>
    </row>
    <row r="94" spans="1:11" x14ac:dyDescent="0.3">
      <c r="C94" s="406"/>
      <c r="D94" s="406"/>
      <c r="E94" s="406"/>
      <c r="F94" s="406"/>
      <c r="G94" s="406"/>
      <c r="H94" s="406"/>
      <c r="I94" s="406"/>
      <c r="J94" s="406"/>
      <c r="K94" s="406"/>
    </row>
    <row r="95" spans="1:11" x14ac:dyDescent="0.3">
      <c r="C95" s="406"/>
      <c r="D95" s="406"/>
      <c r="E95" s="406"/>
      <c r="F95" s="406"/>
      <c r="G95" s="406"/>
      <c r="H95" s="406"/>
      <c r="I95" s="406"/>
      <c r="J95" s="406"/>
      <c r="K95" s="406"/>
    </row>
    <row r="96" spans="1:11" x14ac:dyDescent="0.3">
      <c r="C96" s="406"/>
      <c r="D96" s="406"/>
      <c r="E96" s="406"/>
      <c r="F96" s="406"/>
      <c r="G96" s="406"/>
      <c r="H96" s="406"/>
      <c r="I96" s="406"/>
      <c r="J96" s="406"/>
      <c r="K96" s="406"/>
    </row>
    <row r="97" spans="3:11" x14ac:dyDescent="0.3">
      <c r="C97" s="406"/>
      <c r="D97" s="406"/>
      <c r="E97" s="406"/>
      <c r="F97" s="406"/>
      <c r="G97" s="406"/>
      <c r="H97" s="406"/>
      <c r="I97" s="406"/>
      <c r="J97" s="406"/>
      <c r="K97" s="406"/>
    </row>
    <row r="98" spans="3:11" x14ac:dyDescent="0.3">
      <c r="C98" s="406"/>
      <c r="D98" s="406"/>
      <c r="E98" s="406"/>
      <c r="F98" s="406"/>
      <c r="G98" s="406"/>
      <c r="H98" s="406"/>
      <c r="I98" s="406"/>
      <c r="J98" s="406"/>
      <c r="K98" s="406"/>
    </row>
    <row r="99" spans="3:11" x14ac:dyDescent="0.3">
      <c r="C99" s="406"/>
      <c r="D99" s="406"/>
      <c r="E99" s="406"/>
      <c r="F99" s="406"/>
      <c r="G99" s="406"/>
      <c r="H99" s="406"/>
      <c r="I99" s="406"/>
      <c r="J99" s="406"/>
      <c r="K99" s="406"/>
    </row>
    <row r="100" spans="3:11" x14ac:dyDescent="0.3">
      <c r="C100" s="406"/>
      <c r="D100" s="406"/>
      <c r="E100" s="406"/>
      <c r="F100" s="406"/>
      <c r="G100" s="406"/>
      <c r="H100" s="406"/>
      <c r="I100" s="406"/>
      <c r="J100" s="406"/>
      <c r="K100" s="406"/>
    </row>
    <row r="101" spans="3:11" x14ac:dyDescent="0.3">
      <c r="C101" s="406"/>
      <c r="D101" s="406"/>
      <c r="E101" s="406"/>
      <c r="F101" s="406"/>
      <c r="G101" s="406"/>
      <c r="H101" s="406"/>
      <c r="I101" s="406"/>
      <c r="J101" s="406"/>
      <c r="K101" s="406"/>
    </row>
    <row r="102" spans="3:11" x14ac:dyDescent="0.3">
      <c r="C102" s="406"/>
      <c r="D102" s="406"/>
      <c r="E102" s="406"/>
      <c r="F102" s="406"/>
      <c r="G102" s="406"/>
      <c r="H102" s="406"/>
      <c r="I102" s="406"/>
      <c r="J102" s="406"/>
      <c r="K102" s="406"/>
    </row>
    <row r="103" spans="3:11" x14ac:dyDescent="0.3">
      <c r="C103" s="406"/>
      <c r="D103" s="406"/>
      <c r="E103" s="406"/>
      <c r="F103" s="406"/>
      <c r="G103" s="406"/>
      <c r="H103" s="406"/>
      <c r="I103" s="406"/>
      <c r="J103" s="406"/>
      <c r="K103" s="406"/>
    </row>
    <row r="104" spans="3:11" x14ac:dyDescent="0.3">
      <c r="C104" s="406"/>
      <c r="D104" s="406"/>
      <c r="E104" s="406"/>
      <c r="F104" s="406"/>
      <c r="G104" s="406"/>
      <c r="H104" s="406"/>
      <c r="I104" s="406"/>
      <c r="J104" s="406"/>
      <c r="K104" s="406"/>
    </row>
    <row r="105" spans="3:11" x14ac:dyDescent="0.3">
      <c r="C105" s="406"/>
      <c r="D105" s="406"/>
      <c r="E105" s="406"/>
      <c r="F105" s="406"/>
      <c r="G105" s="406"/>
      <c r="H105" s="406"/>
      <c r="I105" s="406"/>
      <c r="J105" s="406"/>
      <c r="K105" s="406"/>
    </row>
    <row r="106" spans="3:11" x14ac:dyDescent="0.3">
      <c r="C106" s="406"/>
      <c r="D106" s="406"/>
      <c r="E106" s="406"/>
      <c r="F106" s="406"/>
      <c r="G106" s="406"/>
      <c r="H106" s="406"/>
      <c r="I106" s="406"/>
      <c r="J106" s="406"/>
      <c r="K106" s="406"/>
    </row>
    <row r="107" spans="3:11" x14ac:dyDescent="0.3">
      <c r="C107" s="406"/>
      <c r="D107" s="406"/>
      <c r="E107" s="406"/>
      <c r="F107" s="406"/>
      <c r="G107" s="406"/>
      <c r="H107" s="406"/>
      <c r="I107" s="406"/>
      <c r="J107" s="406"/>
      <c r="K107" s="406"/>
    </row>
    <row r="108" spans="3:11" x14ac:dyDescent="0.3">
      <c r="C108" s="406"/>
      <c r="D108" s="406"/>
      <c r="E108" s="406"/>
      <c r="F108" s="406"/>
      <c r="G108" s="406"/>
      <c r="H108" s="406"/>
      <c r="I108" s="406"/>
      <c r="J108" s="406"/>
      <c r="K108" s="406"/>
    </row>
    <row r="109" spans="3:11" x14ac:dyDescent="0.3">
      <c r="C109" s="406"/>
      <c r="D109" s="406"/>
      <c r="E109" s="406"/>
      <c r="F109" s="406"/>
      <c r="G109" s="406"/>
      <c r="H109" s="406"/>
      <c r="I109" s="406"/>
      <c r="J109" s="406"/>
      <c r="K109" s="406"/>
    </row>
    <row r="110" spans="3:11" x14ac:dyDescent="0.3">
      <c r="C110" s="406"/>
      <c r="D110" s="406"/>
      <c r="E110" s="406"/>
      <c r="F110" s="406"/>
      <c r="G110" s="406"/>
      <c r="H110" s="406"/>
      <c r="I110" s="406"/>
      <c r="J110" s="406"/>
      <c r="K110" s="406"/>
    </row>
    <row r="111" spans="3:11" x14ac:dyDescent="0.3">
      <c r="C111" s="406"/>
      <c r="D111" s="406"/>
      <c r="E111" s="406"/>
      <c r="F111" s="406"/>
      <c r="G111" s="406"/>
      <c r="H111" s="406"/>
      <c r="I111" s="406"/>
      <c r="J111" s="406"/>
      <c r="K111" s="406"/>
    </row>
    <row r="112" spans="3:11" x14ac:dyDescent="0.3">
      <c r="C112" s="406"/>
      <c r="D112" s="406"/>
      <c r="E112" s="406"/>
      <c r="F112" s="406"/>
      <c r="G112" s="406"/>
      <c r="H112" s="406"/>
      <c r="I112" s="406"/>
      <c r="J112" s="406"/>
      <c r="K112" s="406"/>
    </row>
    <row r="113" spans="3:11" x14ac:dyDescent="0.3">
      <c r="C113" s="406"/>
      <c r="D113" s="406"/>
      <c r="E113" s="406"/>
      <c r="F113" s="406"/>
      <c r="G113" s="406"/>
      <c r="H113" s="406"/>
      <c r="I113" s="406"/>
      <c r="J113" s="406"/>
      <c r="K113" s="406"/>
    </row>
    <row r="114" spans="3:11" x14ac:dyDescent="0.3">
      <c r="C114" s="406"/>
      <c r="D114" s="406"/>
      <c r="E114" s="406"/>
      <c r="F114" s="406"/>
      <c r="G114" s="406"/>
      <c r="H114" s="406"/>
      <c r="I114" s="406"/>
      <c r="J114" s="406"/>
      <c r="K114" s="406"/>
    </row>
    <row r="115" spans="3:11" x14ac:dyDescent="0.3">
      <c r="C115" s="406"/>
      <c r="D115" s="406"/>
      <c r="E115" s="406"/>
      <c r="F115" s="406"/>
      <c r="G115" s="406"/>
      <c r="H115" s="406"/>
      <c r="I115" s="406"/>
      <c r="J115" s="406"/>
      <c r="K115" s="406"/>
    </row>
    <row r="116" spans="3:11" x14ac:dyDescent="0.3">
      <c r="C116" s="406"/>
      <c r="D116" s="406"/>
      <c r="E116" s="406"/>
      <c r="F116" s="406"/>
      <c r="G116" s="406"/>
      <c r="H116" s="406"/>
      <c r="I116" s="406"/>
      <c r="J116" s="406"/>
      <c r="K116" s="406"/>
    </row>
    <row r="117" spans="3:11" x14ac:dyDescent="0.3">
      <c r="C117" s="406"/>
      <c r="D117" s="406"/>
      <c r="E117" s="406"/>
      <c r="F117" s="406"/>
      <c r="G117" s="406"/>
      <c r="H117" s="406"/>
      <c r="I117" s="406"/>
      <c r="J117" s="406"/>
      <c r="K117" s="406"/>
    </row>
    <row r="118" spans="3:11" x14ac:dyDescent="0.3">
      <c r="C118" s="406"/>
      <c r="D118" s="406"/>
      <c r="E118" s="406"/>
      <c r="F118" s="406"/>
      <c r="G118" s="406"/>
      <c r="H118" s="406"/>
      <c r="I118" s="406"/>
      <c r="J118" s="406"/>
      <c r="K118" s="406"/>
    </row>
    <row r="119" spans="3:11" x14ac:dyDescent="0.3">
      <c r="C119" s="406"/>
      <c r="D119" s="406"/>
      <c r="E119" s="406"/>
      <c r="F119" s="406"/>
      <c r="G119" s="406"/>
      <c r="H119" s="406"/>
      <c r="I119" s="406"/>
      <c r="J119" s="406"/>
      <c r="K119" s="406"/>
    </row>
    <row r="120" spans="3:11" x14ac:dyDescent="0.3">
      <c r="C120" s="406"/>
      <c r="D120" s="406"/>
      <c r="E120" s="406"/>
      <c r="F120" s="406"/>
      <c r="G120" s="406"/>
      <c r="H120" s="406"/>
      <c r="I120" s="406"/>
      <c r="J120" s="406"/>
      <c r="K120" s="406"/>
    </row>
    <row r="121" spans="3:11" x14ac:dyDescent="0.3">
      <c r="C121" s="406"/>
      <c r="D121" s="406"/>
      <c r="E121" s="406"/>
      <c r="F121" s="406"/>
      <c r="G121" s="406"/>
      <c r="H121" s="406"/>
      <c r="I121" s="406"/>
      <c r="J121" s="406"/>
      <c r="K121" s="406"/>
    </row>
    <row r="122" spans="3:11" x14ac:dyDescent="0.3">
      <c r="C122" s="406"/>
      <c r="D122" s="406"/>
      <c r="E122" s="406"/>
      <c r="F122" s="406"/>
      <c r="G122" s="406"/>
      <c r="H122" s="406"/>
      <c r="I122" s="406"/>
      <c r="J122" s="406"/>
      <c r="K122" s="406"/>
    </row>
    <row r="123" spans="3:11" x14ac:dyDescent="0.3">
      <c r="C123" s="406"/>
      <c r="D123" s="406"/>
      <c r="E123" s="406"/>
      <c r="F123" s="406"/>
      <c r="G123" s="406"/>
      <c r="H123" s="406"/>
      <c r="I123" s="406"/>
      <c r="J123" s="406"/>
      <c r="K123" s="406"/>
    </row>
    <row r="124" spans="3:11" x14ac:dyDescent="0.3">
      <c r="C124" s="406"/>
      <c r="D124" s="406"/>
      <c r="E124" s="406"/>
      <c r="F124" s="406"/>
      <c r="G124" s="406"/>
      <c r="H124" s="406"/>
      <c r="I124" s="406"/>
      <c r="J124" s="406"/>
      <c r="K124" s="406"/>
    </row>
    <row r="125" spans="3:11" x14ac:dyDescent="0.3">
      <c r="C125" s="406"/>
      <c r="D125" s="406"/>
      <c r="E125" s="406"/>
      <c r="F125" s="406"/>
      <c r="G125" s="406"/>
      <c r="H125" s="406"/>
      <c r="I125" s="406"/>
      <c r="J125" s="406"/>
      <c r="K125" s="406"/>
    </row>
    <row r="126" spans="3:11" x14ac:dyDescent="0.3">
      <c r="C126" s="406"/>
      <c r="D126" s="406"/>
      <c r="E126" s="406"/>
      <c r="F126" s="406"/>
      <c r="G126" s="406"/>
      <c r="H126" s="406"/>
      <c r="I126" s="406"/>
      <c r="J126" s="406"/>
      <c r="K126" s="406"/>
    </row>
    <row r="127" spans="3:11" x14ac:dyDescent="0.3">
      <c r="C127" s="406"/>
      <c r="D127" s="406"/>
      <c r="E127" s="406"/>
      <c r="F127" s="406"/>
      <c r="G127" s="406"/>
      <c r="H127" s="406"/>
      <c r="I127" s="406"/>
      <c r="J127" s="406"/>
      <c r="K127" s="406"/>
    </row>
    <row r="128" spans="3:11" x14ac:dyDescent="0.3">
      <c r="C128" s="406"/>
      <c r="D128" s="406"/>
      <c r="E128" s="406"/>
      <c r="F128" s="406"/>
      <c r="G128" s="406"/>
      <c r="H128" s="406"/>
      <c r="I128" s="406"/>
      <c r="J128" s="406"/>
      <c r="K128" s="406"/>
    </row>
    <row r="129" spans="3:11" x14ac:dyDescent="0.3">
      <c r="C129" s="406"/>
      <c r="D129" s="406"/>
      <c r="E129" s="406"/>
      <c r="F129" s="406"/>
      <c r="G129" s="406"/>
      <c r="H129" s="406"/>
      <c r="I129" s="406"/>
      <c r="J129" s="406"/>
      <c r="K129" s="406"/>
    </row>
    <row r="130" spans="3:11" x14ac:dyDescent="0.3">
      <c r="C130" s="406"/>
      <c r="D130" s="406"/>
      <c r="E130" s="406"/>
      <c r="F130" s="406"/>
      <c r="G130" s="406"/>
      <c r="H130" s="406"/>
      <c r="I130" s="406"/>
      <c r="J130" s="406"/>
      <c r="K130" s="406"/>
    </row>
    <row r="131" spans="3:11" x14ac:dyDescent="0.3">
      <c r="C131" s="406"/>
      <c r="D131" s="406"/>
      <c r="E131" s="406"/>
      <c r="F131" s="406"/>
      <c r="G131" s="406"/>
      <c r="H131" s="406"/>
      <c r="I131" s="406"/>
      <c r="J131" s="406"/>
      <c r="K131" s="406"/>
    </row>
    <row r="132" spans="3:11" x14ac:dyDescent="0.3">
      <c r="C132" s="406"/>
      <c r="D132" s="406"/>
      <c r="E132" s="406"/>
      <c r="F132" s="406"/>
      <c r="G132" s="406"/>
      <c r="H132" s="406"/>
      <c r="I132" s="406"/>
      <c r="J132" s="406"/>
      <c r="K132" s="406"/>
    </row>
    <row r="133" spans="3:11" x14ac:dyDescent="0.3">
      <c r="C133" s="406"/>
      <c r="D133" s="406"/>
      <c r="E133" s="406"/>
      <c r="F133" s="406"/>
      <c r="G133" s="406"/>
      <c r="H133" s="406"/>
      <c r="I133" s="406"/>
      <c r="J133" s="406"/>
      <c r="K133" s="406"/>
    </row>
    <row r="134" spans="3:11" x14ac:dyDescent="0.3">
      <c r="C134" s="406"/>
      <c r="D134" s="406"/>
      <c r="E134" s="406"/>
      <c r="F134" s="406"/>
      <c r="G134" s="406"/>
      <c r="H134" s="406"/>
      <c r="I134" s="406"/>
      <c r="J134" s="406"/>
      <c r="K134" s="406"/>
    </row>
    <row r="135" spans="3:11" x14ac:dyDescent="0.3">
      <c r="C135" s="406"/>
      <c r="D135" s="406"/>
      <c r="E135" s="406"/>
      <c r="F135" s="406"/>
      <c r="G135" s="406"/>
      <c r="H135" s="406"/>
      <c r="I135" s="406"/>
      <c r="J135" s="406"/>
      <c r="K135" s="406"/>
    </row>
    <row r="136" spans="3:11" x14ac:dyDescent="0.3">
      <c r="C136" s="406"/>
      <c r="D136" s="406"/>
      <c r="E136" s="406"/>
      <c r="F136" s="406"/>
      <c r="G136" s="406"/>
      <c r="H136" s="406"/>
      <c r="I136" s="406"/>
      <c r="J136" s="406"/>
      <c r="K136" s="406"/>
    </row>
    <row r="137" spans="3:11" x14ac:dyDescent="0.3">
      <c r="C137" s="406"/>
      <c r="D137" s="406"/>
      <c r="E137" s="406"/>
      <c r="F137" s="406"/>
      <c r="G137" s="406"/>
      <c r="H137" s="406"/>
      <c r="I137" s="406"/>
      <c r="J137" s="406"/>
      <c r="K137" s="406"/>
    </row>
    <row r="138" spans="3:11" x14ac:dyDescent="0.3">
      <c r="C138" s="406"/>
      <c r="D138" s="406"/>
      <c r="E138" s="406"/>
      <c r="F138" s="406"/>
      <c r="G138" s="406"/>
      <c r="H138" s="406"/>
      <c r="I138" s="406"/>
      <c r="J138" s="406"/>
      <c r="K138" s="406"/>
    </row>
    <row r="139" spans="3:11" x14ac:dyDescent="0.3">
      <c r="C139" s="406"/>
      <c r="D139" s="406"/>
      <c r="E139" s="406"/>
      <c r="F139" s="406"/>
      <c r="G139" s="406"/>
      <c r="H139" s="406"/>
      <c r="I139" s="406"/>
      <c r="J139" s="406"/>
      <c r="K139" s="406"/>
    </row>
    <row r="140" spans="3:11" x14ac:dyDescent="0.3">
      <c r="C140" s="406"/>
      <c r="D140" s="406"/>
      <c r="E140" s="406"/>
      <c r="F140" s="406"/>
      <c r="G140" s="406"/>
      <c r="H140" s="406"/>
      <c r="I140" s="406"/>
      <c r="J140" s="406"/>
      <c r="K140" s="406"/>
    </row>
    <row r="141" spans="3:11" x14ac:dyDescent="0.3">
      <c r="C141" s="406"/>
      <c r="D141" s="406"/>
      <c r="E141" s="406"/>
      <c r="F141" s="406"/>
      <c r="G141" s="406"/>
      <c r="H141" s="406"/>
      <c r="I141" s="406"/>
      <c r="J141" s="406"/>
      <c r="K141" s="406"/>
    </row>
    <row r="142" spans="3:11" x14ac:dyDescent="0.3">
      <c r="C142" s="406"/>
      <c r="D142" s="406"/>
      <c r="E142" s="406"/>
      <c r="F142" s="406"/>
      <c r="G142" s="406"/>
      <c r="H142" s="406"/>
      <c r="I142" s="406"/>
      <c r="J142" s="406"/>
      <c r="K142" s="406"/>
    </row>
    <row r="143" spans="3:11" x14ac:dyDescent="0.3">
      <c r="C143" s="406"/>
      <c r="D143" s="406"/>
      <c r="E143" s="406"/>
      <c r="F143" s="406"/>
      <c r="G143" s="406"/>
      <c r="H143" s="406"/>
      <c r="I143" s="406"/>
      <c r="J143" s="406"/>
      <c r="K143" s="406"/>
    </row>
    <row r="144" spans="3:11" x14ac:dyDescent="0.3">
      <c r="C144" s="406"/>
      <c r="D144" s="406"/>
      <c r="E144" s="406"/>
      <c r="F144" s="406"/>
      <c r="G144" s="406"/>
      <c r="H144" s="406"/>
      <c r="I144" s="406"/>
      <c r="J144" s="406"/>
      <c r="K144" s="406"/>
    </row>
    <row r="145" spans="3:11" x14ac:dyDescent="0.3">
      <c r="C145" s="406"/>
      <c r="D145" s="406"/>
      <c r="E145" s="406"/>
      <c r="F145" s="406"/>
      <c r="G145" s="406"/>
      <c r="H145" s="406"/>
      <c r="I145" s="406"/>
      <c r="J145" s="406"/>
      <c r="K145" s="406"/>
    </row>
    <row r="146" spans="3:11" x14ac:dyDescent="0.3">
      <c r="C146" s="406"/>
      <c r="D146" s="406"/>
      <c r="E146" s="406"/>
      <c r="F146" s="406"/>
      <c r="G146" s="406"/>
      <c r="H146" s="406"/>
      <c r="I146" s="406"/>
      <c r="J146" s="406"/>
      <c r="K146" s="406"/>
    </row>
    <row r="147" spans="3:11" x14ac:dyDescent="0.3">
      <c r="C147" s="406"/>
      <c r="D147" s="406"/>
      <c r="E147" s="406"/>
      <c r="F147" s="406"/>
      <c r="G147" s="406"/>
      <c r="H147" s="406"/>
      <c r="I147" s="406"/>
      <c r="J147" s="406"/>
      <c r="K147" s="406"/>
    </row>
    <row r="148" spans="3:11" x14ac:dyDescent="0.3">
      <c r="C148" s="406"/>
      <c r="D148" s="406"/>
      <c r="E148" s="406"/>
      <c r="F148" s="406"/>
      <c r="G148" s="406"/>
      <c r="H148" s="406"/>
      <c r="I148" s="406"/>
      <c r="J148" s="406"/>
      <c r="K148" s="406"/>
    </row>
    <row r="149" spans="3:11" x14ac:dyDescent="0.3">
      <c r="C149" s="406"/>
      <c r="D149" s="406"/>
      <c r="E149" s="406"/>
      <c r="F149" s="406"/>
      <c r="G149" s="406"/>
      <c r="H149" s="406"/>
      <c r="I149" s="406"/>
      <c r="J149" s="406"/>
      <c r="K149" s="406"/>
    </row>
    <row r="150" spans="3:11" x14ac:dyDescent="0.3">
      <c r="C150" s="406"/>
      <c r="D150" s="406"/>
      <c r="E150" s="406"/>
      <c r="F150" s="406"/>
      <c r="G150" s="406"/>
      <c r="H150" s="406"/>
      <c r="I150" s="406"/>
      <c r="J150" s="406"/>
      <c r="K150" s="406"/>
    </row>
    <row r="151" spans="3:11" x14ac:dyDescent="0.3">
      <c r="C151" s="406"/>
      <c r="D151" s="406"/>
      <c r="E151" s="406"/>
      <c r="F151" s="406"/>
      <c r="G151" s="406"/>
      <c r="H151" s="406"/>
      <c r="I151" s="406"/>
      <c r="J151" s="406"/>
      <c r="K151" s="406"/>
    </row>
    <row r="152" spans="3:11" x14ac:dyDescent="0.3">
      <c r="C152" s="406"/>
      <c r="D152" s="406"/>
      <c r="E152" s="406"/>
      <c r="F152" s="406"/>
      <c r="G152" s="406"/>
      <c r="H152" s="406"/>
      <c r="I152" s="406"/>
      <c r="J152" s="406"/>
      <c r="K152" s="406"/>
    </row>
    <row r="153" spans="3:11" x14ac:dyDescent="0.3">
      <c r="C153" s="406"/>
      <c r="D153" s="406"/>
      <c r="E153" s="406"/>
      <c r="F153" s="406"/>
      <c r="G153" s="406"/>
      <c r="H153" s="406"/>
      <c r="I153" s="406"/>
      <c r="J153" s="406"/>
      <c r="K153" s="406"/>
    </row>
    <row r="154" spans="3:11" x14ac:dyDescent="0.3">
      <c r="C154" s="406"/>
      <c r="D154" s="406"/>
      <c r="E154" s="406"/>
      <c r="F154" s="406"/>
      <c r="G154" s="406"/>
      <c r="H154" s="406"/>
      <c r="I154" s="406"/>
      <c r="J154" s="406"/>
      <c r="K154" s="406"/>
    </row>
    <row r="155" spans="3:11" x14ac:dyDescent="0.3">
      <c r="C155" s="406"/>
      <c r="D155" s="406"/>
      <c r="E155" s="406"/>
      <c r="F155" s="406"/>
      <c r="G155" s="406"/>
      <c r="H155" s="406"/>
      <c r="I155" s="406"/>
      <c r="J155" s="406"/>
      <c r="K155" s="406"/>
    </row>
    <row r="156" spans="3:11" x14ac:dyDescent="0.3">
      <c r="C156" s="406"/>
      <c r="D156" s="406"/>
      <c r="E156" s="406"/>
      <c r="F156" s="406"/>
      <c r="G156" s="406"/>
      <c r="H156" s="406"/>
      <c r="I156" s="406"/>
      <c r="J156" s="406"/>
      <c r="K156" s="406"/>
    </row>
    <row r="157" spans="3:11" x14ac:dyDescent="0.3">
      <c r="C157" s="406"/>
      <c r="D157" s="406"/>
      <c r="E157" s="406"/>
      <c r="F157" s="406"/>
      <c r="G157" s="406"/>
      <c r="H157" s="406"/>
      <c r="I157" s="406"/>
      <c r="J157" s="406"/>
      <c r="K157" s="406"/>
    </row>
    <row r="158" spans="3:11" x14ac:dyDescent="0.3">
      <c r="C158" s="406"/>
      <c r="D158" s="406"/>
      <c r="E158" s="406"/>
      <c r="F158" s="406"/>
      <c r="G158" s="406"/>
      <c r="H158" s="406"/>
      <c r="I158" s="406"/>
      <c r="J158" s="406"/>
      <c r="K158" s="406"/>
    </row>
    <row r="159" spans="3:11" x14ac:dyDescent="0.3">
      <c r="C159" s="406"/>
      <c r="D159" s="406"/>
      <c r="E159" s="406"/>
      <c r="F159" s="406"/>
      <c r="G159" s="406"/>
      <c r="H159" s="406"/>
      <c r="I159" s="406"/>
      <c r="J159" s="406"/>
      <c r="K159" s="406"/>
    </row>
    <row r="160" spans="3:11" x14ac:dyDescent="0.3">
      <c r="C160" s="406"/>
      <c r="D160" s="406"/>
      <c r="E160" s="406"/>
      <c r="F160" s="406"/>
      <c r="G160" s="406"/>
      <c r="H160" s="406"/>
      <c r="I160" s="406"/>
      <c r="J160" s="406"/>
      <c r="K160" s="406"/>
    </row>
    <row r="161" spans="3:11" x14ac:dyDescent="0.3">
      <c r="C161" s="406"/>
      <c r="D161" s="406"/>
      <c r="E161" s="406"/>
      <c r="F161" s="406"/>
      <c r="G161" s="406"/>
      <c r="H161" s="406"/>
      <c r="I161" s="406"/>
      <c r="J161" s="406"/>
      <c r="K161" s="406"/>
    </row>
    <row r="162" spans="3:11" x14ac:dyDescent="0.3">
      <c r="C162" s="406"/>
      <c r="D162" s="406"/>
      <c r="E162" s="406"/>
      <c r="F162" s="406"/>
      <c r="G162" s="406"/>
      <c r="H162" s="406"/>
      <c r="I162" s="406"/>
      <c r="J162" s="406"/>
      <c r="K162" s="406"/>
    </row>
    <row r="163" spans="3:11" x14ac:dyDescent="0.3">
      <c r="C163" s="406"/>
      <c r="D163" s="406"/>
      <c r="E163" s="406"/>
      <c r="F163" s="406"/>
      <c r="G163" s="406"/>
      <c r="H163" s="406"/>
      <c r="I163" s="406"/>
      <c r="J163" s="406"/>
      <c r="K163" s="406"/>
    </row>
    <row r="164" spans="3:11" x14ac:dyDescent="0.3">
      <c r="C164" s="406"/>
      <c r="D164" s="406"/>
      <c r="E164" s="406"/>
      <c r="F164" s="406"/>
      <c r="G164" s="406"/>
      <c r="H164" s="406"/>
      <c r="I164" s="406"/>
      <c r="J164" s="406"/>
      <c r="K164" s="406"/>
    </row>
    <row r="165" spans="3:11" x14ac:dyDescent="0.3">
      <c r="C165" s="406"/>
      <c r="D165" s="406"/>
      <c r="E165" s="406"/>
      <c r="F165" s="406"/>
      <c r="G165" s="406"/>
      <c r="H165" s="406"/>
      <c r="I165" s="406"/>
      <c r="J165" s="406"/>
      <c r="K165" s="406"/>
    </row>
    <row r="166" spans="3:11" x14ac:dyDescent="0.3">
      <c r="C166" s="406"/>
      <c r="D166" s="406"/>
      <c r="E166" s="406"/>
      <c r="F166" s="406"/>
      <c r="G166" s="406"/>
      <c r="H166" s="406"/>
      <c r="I166" s="406"/>
      <c r="J166" s="406"/>
      <c r="K166" s="406"/>
    </row>
    <row r="167" spans="3:11" x14ac:dyDescent="0.3">
      <c r="C167" s="406"/>
      <c r="D167" s="406"/>
      <c r="E167" s="406"/>
      <c r="F167" s="406"/>
      <c r="G167" s="406"/>
      <c r="H167" s="406"/>
      <c r="I167" s="406"/>
      <c r="J167" s="406"/>
      <c r="K167" s="406"/>
    </row>
    <row r="168" spans="3:11" x14ac:dyDescent="0.3">
      <c r="C168" s="406"/>
      <c r="D168" s="406"/>
      <c r="E168" s="406"/>
      <c r="F168" s="406"/>
      <c r="G168" s="406"/>
      <c r="H168" s="406"/>
      <c r="I168" s="406"/>
      <c r="J168" s="406"/>
      <c r="K168" s="406"/>
    </row>
    <row r="169" spans="3:11" x14ac:dyDescent="0.3">
      <c r="C169" s="406"/>
      <c r="D169" s="406"/>
      <c r="E169" s="406"/>
      <c r="F169" s="406"/>
      <c r="G169" s="406"/>
      <c r="H169" s="406"/>
      <c r="I169" s="406"/>
      <c r="J169" s="406"/>
      <c r="K169" s="406"/>
    </row>
    <row r="170" spans="3:11" x14ac:dyDescent="0.3">
      <c r="C170" s="406"/>
      <c r="D170" s="406"/>
      <c r="E170" s="406"/>
      <c r="F170" s="406"/>
      <c r="G170" s="406"/>
      <c r="H170" s="406"/>
      <c r="I170" s="406"/>
      <c r="J170" s="406"/>
      <c r="K170" s="406"/>
    </row>
    <row r="171" spans="3:11" x14ac:dyDescent="0.3">
      <c r="C171" s="406"/>
      <c r="D171" s="406"/>
      <c r="E171" s="406"/>
      <c r="F171" s="406"/>
      <c r="G171" s="406"/>
      <c r="H171" s="406"/>
      <c r="I171" s="406"/>
      <c r="J171" s="406"/>
      <c r="K171" s="406"/>
    </row>
    <row r="172" spans="3:11" x14ac:dyDescent="0.3">
      <c r="C172" s="406"/>
      <c r="D172" s="406"/>
      <c r="E172" s="406"/>
      <c r="F172" s="406"/>
      <c r="G172" s="406"/>
      <c r="H172" s="406"/>
      <c r="I172" s="406"/>
      <c r="J172" s="406"/>
      <c r="K172" s="406"/>
    </row>
    <row r="173" spans="3:11" x14ac:dyDescent="0.3">
      <c r="C173" s="406"/>
      <c r="D173" s="406"/>
      <c r="E173" s="406"/>
      <c r="F173" s="406"/>
      <c r="G173" s="406"/>
      <c r="H173" s="406"/>
      <c r="I173" s="406"/>
      <c r="J173" s="406"/>
      <c r="K173" s="406"/>
    </row>
    <row r="174" spans="3:11" x14ac:dyDescent="0.3">
      <c r="C174" s="406"/>
      <c r="D174" s="406"/>
      <c r="E174" s="406"/>
      <c r="F174" s="406"/>
      <c r="G174" s="406"/>
      <c r="H174" s="406"/>
      <c r="I174" s="406"/>
      <c r="J174" s="406"/>
      <c r="K174" s="406"/>
    </row>
    <row r="175" spans="3:11" x14ac:dyDescent="0.3">
      <c r="C175" s="406"/>
      <c r="D175" s="406"/>
      <c r="E175" s="406"/>
      <c r="F175" s="406"/>
      <c r="G175" s="406"/>
      <c r="H175" s="406"/>
      <c r="I175" s="406"/>
      <c r="J175" s="406"/>
      <c r="K175" s="406"/>
    </row>
    <row r="176" spans="3:11" x14ac:dyDescent="0.3">
      <c r="C176" s="406"/>
      <c r="D176" s="406"/>
      <c r="E176" s="406"/>
      <c r="F176" s="406"/>
      <c r="G176" s="406"/>
      <c r="H176" s="406"/>
      <c r="I176" s="406"/>
      <c r="J176" s="406"/>
      <c r="K176" s="406"/>
    </row>
    <row r="177" spans="3:11" x14ac:dyDescent="0.3">
      <c r="C177" s="406"/>
      <c r="D177" s="406"/>
      <c r="E177" s="406"/>
      <c r="F177" s="406"/>
      <c r="G177" s="406"/>
      <c r="H177" s="406"/>
      <c r="I177" s="406"/>
      <c r="J177" s="406"/>
      <c r="K177" s="406"/>
    </row>
    <row r="178" spans="3:11" x14ac:dyDescent="0.3">
      <c r="C178" s="406"/>
      <c r="D178" s="406"/>
      <c r="E178" s="406"/>
      <c r="F178" s="406"/>
      <c r="G178" s="406"/>
      <c r="H178" s="406"/>
      <c r="I178" s="406"/>
      <c r="J178" s="406"/>
      <c r="K178" s="406"/>
    </row>
    <row r="179" spans="3:11" x14ac:dyDescent="0.3">
      <c r="C179" s="406"/>
      <c r="D179" s="406"/>
      <c r="E179" s="406"/>
      <c r="F179" s="406"/>
      <c r="G179" s="406"/>
      <c r="H179" s="406"/>
      <c r="I179" s="406"/>
      <c r="J179" s="406"/>
      <c r="K179" s="406"/>
    </row>
    <row r="180" spans="3:11" x14ac:dyDescent="0.3">
      <c r="C180" s="406"/>
      <c r="D180" s="406"/>
      <c r="E180" s="406"/>
      <c r="F180" s="406"/>
      <c r="G180" s="406"/>
      <c r="H180" s="406"/>
      <c r="I180" s="406"/>
      <c r="J180" s="406"/>
      <c r="K180" s="406"/>
    </row>
    <row r="181" spans="3:11" x14ac:dyDescent="0.3">
      <c r="C181" s="406"/>
      <c r="D181" s="406"/>
      <c r="E181" s="406"/>
      <c r="F181" s="406"/>
      <c r="G181" s="406"/>
      <c r="H181" s="406"/>
      <c r="I181" s="406"/>
      <c r="J181" s="406"/>
      <c r="K181" s="406"/>
    </row>
    <row r="182" spans="3:11" x14ac:dyDescent="0.3">
      <c r="C182" s="406"/>
      <c r="D182" s="406"/>
      <c r="E182" s="406"/>
      <c r="F182" s="406"/>
      <c r="G182" s="406"/>
      <c r="H182" s="406"/>
      <c r="I182" s="406"/>
      <c r="J182" s="406"/>
      <c r="K182" s="406"/>
    </row>
    <row r="183" spans="3:11" x14ac:dyDescent="0.3">
      <c r="C183" s="406"/>
      <c r="D183" s="406"/>
      <c r="E183" s="406"/>
      <c r="F183" s="406"/>
      <c r="G183" s="406"/>
      <c r="H183" s="406"/>
      <c r="I183" s="406"/>
      <c r="J183" s="406"/>
      <c r="K183" s="406"/>
    </row>
    <row r="184" spans="3:11" x14ac:dyDescent="0.3">
      <c r="C184" s="406"/>
      <c r="D184" s="406"/>
      <c r="E184" s="406"/>
      <c r="F184" s="406"/>
      <c r="G184" s="406"/>
      <c r="H184" s="406"/>
      <c r="I184" s="406"/>
      <c r="J184" s="406"/>
      <c r="K184" s="406"/>
    </row>
    <row r="185" spans="3:11" x14ac:dyDescent="0.3">
      <c r="C185" s="406"/>
      <c r="D185" s="406"/>
      <c r="E185" s="406"/>
      <c r="F185" s="406"/>
      <c r="G185" s="406"/>
      <c r="H185" s="406"/>
      <c r="I185" s="406"/>
      <c r="J185" s="406"/>
      <c r="K185" s="406"/>
    </row>
    <row r="186" spans="3:11" x14ac:dyDescent="0.3">
      <c r="C186" s="406"/>
      <c r="D186" s="406"/>
      <c r="E186" s="406"/>
      <c r="F186" s="406"/>
      <c r="G186" s="406"/>
      <c r="H186" s="406"/>
      <c r="I186" s="406"/>
      <c r="J186" s="406"/>
      <c r="K186" s="406"/>
    </row>
    <row r="187" spans="3:11" x14ac:dyDescent="0.3">
      <c r="C187" s="406"/>
      <c r="D187" s="406"/>
      <c r="E187" s="406"/>
      <c r="F187" s="406"/>
      <c r="G187" s="406"/>
      <c r="H187" s="406"/>
      <c r="I187" s="406"/>
      <c r="J187" s="406"/>
      <c r="K187" s="406"/>
    </row>
    <row r="188" spans="3:11" x14ac:dyDescent="0.3">
      <c r="C188" s="406"/>
      <c r="D188" s="406"/>
      <c r="E188" s="406"/>
      <c r="F188" s="406"/>
      <c r="G188" s="406"/>
      <c r="H188" s="406"/>
      <c r="I188" s="406"/>
      <c r="J188" s="406"/>
      <c r="K188" s="406"/>
    </row>
    <row r="189" spans="3:11" x14ac:dyDescent="0.3">
      <c r="C189" s="406"/>
      <c r="D189" s="406"/>
      <c r="E189" s="406"/>
      <c r="F189" s="406"/>
      <c r="G189" s="406"/>
      <c r="H189" s="406"/>
      <c r="I189" s="406"/>
      <c r="J189" s="406"/>
      <c r="K189" s="406"/>
    </row>
    <row r="190" spans="3:11" x14ac:dyDescent="0.3">
      <c r="C190" s="406"/>
      <c r="D190" s="406"/>
      <c r="E190" s="406"/>
      <c r="F190" s="406"/>
      <c r="G190" s="406"/>
      <c r="H190" s="406"/>
      <c r="I190" s="406"/>
      <c r="J190" s="406"/>
      <c r="K190" s="406"/>
    </row>
    <row r="191" spans="3:11" x14ac:dyDescent="0.3">
      <c r="C191" s="406"/>
      <c r="D191" s="406"/>
      <c r="E191" s="406"/>
      <c r="F191" s="406"/>
      <c r="G191" s="406"/>
      <c r="H191" s="406"/>
      <c r="I191" s="406"/>
      <c r="J191" s="406"/>
      <c r="K191" s="406"/>
    </row>
    <row r="192" spans="3:11" x14ac:dyDescent="0.3">
      <c r="C192" s="406"/>
      <c r="D192" s="406"/>
      <c r="E192" s="406"/>
      <c r="F192" s="406"/>
      <c r="G192" s="406"/>
      <c r="H192" s="406"/>
      <c r="I192" s="406"/>
      <c r="J192" s="406"/>
      <c r="K192" s="406"/>
    </row>
    <row r="193" spans="3:11" x14ac:dyDescent="0.3">
      <c r="C193" s="406"/>
      <c r="D193" s="406"/>
      <c r="E193" s="406"/>
      <c r="F193" s="406"/>
      <c r="G193" s="406"/>
      <c r="H193" s="406"/>
      <c r="I193" s="406"/>
      <c r="J193" s="406"/>
      <c r="K193" s="406"/>
    </row>
    <row r="194" spans="3:11" x14ac:dyDescent="0.3">
      <c r="C194" s="406"/>
      <c r="D194" s="406"/>
      <c r="E194" s="406"/>
      <c r="F194" s="406"/>
      <c r="G194" s="406"/>
      <c r="H194" s="406"/>
      <c r="I194" s="406"/>
      <c r="J194" s="406"/>
      <c r="K194" s="406"/>
    </row>
    <row r="195" spans="3:11" x14ac:dyDescent="0.3">
      <c r="C195" s="406"/>
      <c r="D195" s="406"/>
      <c r="E195" s="406"/>
      <c r="F195" s="406"/>
      <c r="G195" s="406"/>
      <c r="H195" s="406"/>
      <c r="I195" s="406"/>
      <c r="J195" s="406"/>
      <c r="K195" s="406"/>
    </row>
    <row r="196" spans="3:11" x14ac:dyDescent="0.3">
      <c r="C196" s="406"/>
      <c r="D196" s="406"/>
      <c r="E196" s="406"/>
      <c r="F196" s="406"/>
      <c r="G196" s="406"/>
      <c r="H196" s="406"/>
      <c r="I196" s="406"/>
      <c r="J196" s="406"/>
      <c r="K196" s="406"/>
    </row>
    <row r="197" spans="3:11" x14ac:dyDescent="0.3">
      <c r="C197" s="406"/>
      <c r="D197" s="406"/>
      <c r="E197" s="406"/>
      <c r="F197" s="406"/>
      <c r="G197" s="406"/>
      <c r="H197" s="406"/>
      <c r="I197" s="406"/>
      <c r="J197" s="406"/>
      <c r="K197" s="406"/>
    </row>
    <row r="198" spans="3:11" x14ac:dyDescent="0.3">
      <c r="C198" s="406"/>
      <c r="D198" s="406"/>
      <c r="E198" s="406"/>
      <c r="F198" s="406"/>
      <c r="G198" s="406"/>
      <c r="H198" s="406"/>
      <c r="I198" s="406"/>
      <c r="J198" s="406"/>
      <c r="K198" s="406"/>
    </row>
    <row r="199" spans="3:11" x14ac:dyDescent="0.3">
      <c r="C199" s="406"/>
      <c r="D199" s="406"/>
      <c r="E199" s="406"/>
      <c r="F199" s="406"/>
      <c r="G199" s="406"/>
      <c r="H199" s="406"/>
      <c r="I199" s="406"/>
      <c r="J199" s="406"/>
      <c r="K199" s="406"/>
    </row>
    <row r="200" spans="3:11" x14ac:dyDescent="0.3">
      <c r="C200" s="406"/>
      <c r="D200" s="406"/>
      <c r="E200" s="406"/>
      <c r="F200" s="406"/>
      <c r="G200" s="406"/>
      <c r="H200" s="406"/>
      <c r="I200" s="406"/>
      <c r="J200" s="406"/>
      <c r="K200" s="406"/>
    </row>
    <row r="201" spans="3:11" x14ac:dyDescent="0.3">
      <c r="C201" s="406"/>
      <c r="D201" s="406"/>
      <c r="E201" s="406"/>
      <c r="F201" s="406"/>
      <c r="G201" s="406"/>
      <c r="H201" s="406"/>
      <c r="I201" s="406"/>
      <c r="J201" s="406"/>
      <c r="K201" s="406"/>
    </row>
    <row r="202" spans="3:11" x14ac:dyDescent="0.3">
      <c r="C202" s="406"/>
      <c r="D202" s="406"/>
      <c r="E202" s="406"/>
      <c r="F202" s="406"/>
      <c r="G202" s="406"/>
      <c r="H202" s="406"/>
      <c r="I202" s="406"/>
      <c r="J202" s="406"/>
      <c r="K202" s="406"/>
    </row>
    <row r="203" spans="3:11" x14ac:dyDescent="0.3">
      <c r="C203" s="406"/>
      <c r="D203" s="406"/>
      <c r="E203" s="406"/>
      <c r="F203" s="406"/>
      <c r="G203" s="406"/>
      <c r="H203" s="406"/>
      <c r="I203" s="406"/>
      <c r="J203" s="406"/>
      <c r="K203" s="406"/>
    </row>
    <row r="204" spans="3:11" x14ac:dyDescent="0.3">
      <c r="C204" s="406"/>
      <c r="D204" s="406"/>
      <c r="E204" s="406"/>
      <c r="F204" s="406"/>
      <c r="G204" s="406"/>
      <c r="H204" s="406"/>
      <c r="I204" s="406"/>
      <c r="J204" s="406"/>
      <c r="K204" s="406"/>
    </row>
    <row r="205" spans="3:11" x14ac:dyDescent="0.3">
      <c r="C205" s="406"/>
      <c r="D205" s="406"/>
      <c r="E205" s="406"/>
      <c r="F205" s="406"/>
      <c r="G205" s="406"/>
      <c r="H205" s="406"/>
      <c r="I205" s="406"/>
      <c r="J205" s="406"/>
      <c r="K205" s="406"/>
    </row>
    <row r="206" spans="3:11" x14ac:dyDescent="0.3">
      <c r="C206" s="406"/>
      <c r="D206" s="406"/>
      <c r="E206" s="406"/>
      <c r="F206" s="406"/>
      <c r="G206" s="406"/>
      <c r="H206" s="406"/>
      <c r="I206" s="406"/>
      <c r="J206" s="406"/>
      <c r="K206" s="406"/>
    </row>
    <row r="207" spans="3:11" x14ac:dyDescent="0.3">
      <c r="C207" s="406"/>
      <c r="D207" s="406"/>
      <c r="E207" s="406"/>
      <c r="F207" s="406"/>
      <c r="G207" s="406"/>
      <c r="H207" s="406"/>
      <c r="I207" s="406"/>
      <c r="J207" s="406"/>
      <c r="K207" s="406"/>
    </row>
    <row r="208" spans="3:11" x14ac:dyDescent="0.3">
      <c r="C208" s="406"/>
      <c r="D208" s="406"/>
      <c r="E208" s="406"/>
      <c r="F208" s="406"/>
      <c r="G208" s="406"/>
      <c r="H208" s="406"/>
      <c r="I208" s="406"/>
      <c r="J208" s="406"/>
      <c r="K208" s="406"/>
    </row>
    <row r="209" spans="3:11" x14ac:dyDescent="0.3">
      <c r="C209" s="406"/>
      <c r="D209" s="406"/>
      <c r="E209" s="406"/>
      <c r="F209" s="406"/>
      <c r="G209" s="406"/>
      <c r="H209" s="406"/>
      <c r="I209" s="406"/>
      <c r="J209" s="406"/>
      <c r="K209" s="406"/>
    </row>
    <row r="210" spans="3:11" x14ac:dyDescent="0.3">
      <c r="C210" s="406"/>
      <c r="D210" s="406"/>
      <c r="E210" s="406"/>
      <c r="F210" s="406"/>
      <c r="G210" s="406"/>
      <c r="H210" s="406"/>
      <c r="I210" s="406"/>
      <c r="J210" s="406"/>
      <c r="K210" s="406"/>
    </row>
    <row r="211" spans="3:11" x14ac:dyDescent="0.3">
      <c r="C211" s="406"/>
      <c r="D211" s="406"/>
      <c r="E211" s="406"/>
      <c r="F211" s="406"/>
      <c r="G211" s="406"/>
      <c r="H211" s="406"/>
      <c r="I211" s="406"/>
      <c r="J211" s="406"/>
      <c r="K211" s="406"/>
    </row>
    <row r="212" spans="3:11" x14ac:dyDescent="0.3">
      <c r="C212" s="406"/>
      <c r="D212" s="406"/>
      <c r="E212" s="406"/>
      <c r="F212" s="406"/>
      <c r="G212" s="406"/>
      <c r="H212" s="406"/>
      <c r="I212" s="406"/>
      <c r="J212" s="406"/>
      <c r="K212" s="406"/>
    </row>
    <row r="213" spans="3:11" x14ac:dyDescent="0.3">
      <c r="C213" s="406"/>
      <c r="D213" s="406"/>
      <c r="E213" s="406"/>
      <c r="F213" s="406"/>
      <c r="G213" s="406"/>
      <c r="H213" s="406"/>
      <c r="I213" s="406"/>
      <c r="J213" s="406"/>
      <c r="K213" s="406"/>
    </row>
    <row r="214" spans="3:11" x14ac:dyDescent="0.3">
      <c r="C214" s="406"/>
      <c r="D214" s="406"/>
      <c r="E214" s="406"/>
      <c r="F214" s="406"/>
      <c r="G214" s="406"/>
      <c r="H214" s="406"/>
      <c r="I214" s="406"/>
      <c r="J214" s="406"/>
      <c r="K214" s="406"/>
    </row>
    <row r="215" spans="3:11" x14ac:dyDescent="0.3">
      <c r="C215" s="406"/>
      <c r="D215" s="406"/>
      <c r="E215" s="406"/>
      <c r="F215" s="406"/>
      <c r="G215" s="406"/>
      <c r="H215" s="406"/>
      <c r="I215" s="406"/>
      <c r="J215" s="406"/>
      <c r="K215" s="406"/>
    </row>
    <row r="216" spans="3:11" x14ac:dyDescent="0.3">
      <c r="C216" s="406"/>
      <c r="D216" s="406"/>
      <c r="E216" s="406"/>
      <c r="F216" s="406"/>
      <c r="G216" s="406"/>
      <c r="H216" s="406"/>
      <c r="I216" s="406"/>
      <c r="J216" s="406"/>
      <c r="K216" s="406"/>
    </row>
    <row r="217" spans="3:11" x14ac:dyDescent="0.3">
      <c r="C217" s="406"/>
      <c r="D217" s="406"/>
      <c r="E217" s="406"/>
      <c r="F217" s="406"/>
      <c r="G217" s="406"/>
      <c r="H217" s="406"/>
      <c r="I217" s="406"/>
      <c r="J217" s="406"/>
      <c r="K217" s="406"/>
    </row>
    <row r="218" spans="3:11" x14ac:dyDescent="0.3">
      <c r="C218" s="406"/>
      <c r="D218" s="406"/>
      <c r="E218" s="406"/>
      <c r="F218" s="406"/>
      <c r="G218" s="406"/>
      <c r="H218" s="406"/>
      <c r="I218" s="406"/>
      <c r="J218" s="406"/>
      <c r="K218" s="406"/>
    </row>
    <row r="219" spans="3:11" x14ac:dyDescent="0.3">
      <c r="C219" s="406"/>
      <c r="D219" s="406"/>
      <c r="E219" s="406"/>
      <c r="F219" s="406"/>
      <c r="G219" s="406"/>
      <c r="H219" s="406"/>
      <c r="I219" s="406"/>
      <c r="J219" s="406"/>
      <c r="K219" s="406"/>
    </row>
    <row r="220" spans="3:11" x14ac:dyDescent="0.3">
      <c r="C220" s="406"/>
      <c r="D220" s="406"/>
      <c r="E220" s="406"/>
      <c r="F220" s="406"/>
      <c r="G220" s="406"/>
      <c r="H220" s="406"/>
      <c r="I220" s="406"/>
      <c r="J220" s="406"/>
      <c r="K220" s="406"/>
    </row>
    <row r="221" spans="3:11" x14ac:dyDescent="0.3">
      <c r="C221" s="406"/>
      <c r="D221" s="406"/>
      <c r="E221" s="406"/>
      <c r="F221" s="406"/>
      <c r="G221" s="406"/>
      <c r="H221" s="406"/>
      <c r="I221" s="406"/>
      <c r="J221" s="406"/>
      <c r="K221" s="406"/>
    </row>
    <row r="222" spans="3:11" x14ac:dyDescent="0.3">
      <c r="C222" s="406"/>
      <c r="D222" s="406"/>
      <c r="E222" s="406"/>
      <c r="F222" s="406"/>
      <c r="G222" s="406"/>
      <c r="H222" s="406"/>
      <c r="I222" s="406"/>
      <c r="J222" s="406"/>
      <c r="K222" s="406"/>
    </row>
    <row r="223" spans="3:11" x14ac:dyDescent="0.3">
      <c r="C223" s="406"/>
      <c r="D223" s="406"/>
      <c r="E223" s="406"/>
      <c r="F223" s="406"/>
      <c r="G223" s="406"/>
      <c r="H223" s="406"/>
      <c r="I223" s="406"/>
      <c r="J223" s="406"/>
      <c r="K223" s="406"/>
    </row>
    <row r="224" spans="3:11" x14ac:dyDescent="0.3">
      <c r="C224" s="406"/>
      <c r="D224" s="406"/>
      <c r="E224" s="406"/>
      <c r="F224" s="406"/>
      <c r="G224" s="406"/>
      <c r="H224" s="406"/>
      <c r="I224" s="406"/>
      <c r="J224" s="406"/>
      <c r="K224" s="406"/>
    </row>
    <row r="225" spans="3:11" x14ac:dyDescent="0.3">
      <c r="C225" s="406"/>
      <c r="D225" s="406"/>
      <c r="E225" s="406"/>
      <c r="F225" s="406"/>
      <c r="G225" s="406"/>
      <c r="H225" s="406"/>
      <c r="I225" s="406"/>
      <c r="J225" s="406"/>
      <c r="K225" s="406"/>
    </row>
    <row r="226" spans="3:11" x14ac:dyDescent="0.3">
      <c r="C226" s="406"/>
      <c r="D226" s="406"/>
      <c r="E226" s="406"/>
      <c r="F226" s="406"/>
      <c r="G226" s="406"/>
      <c r="H226" s="406"/>
      <c r="I226" s="406"/>
      <c r="J226" s="406"/>
      <c r="K226" s="406"/>
    </row>
    <row r="227" spans="3:11" x14ac:dyDescent="0.3">
      <c r="C227" s="406"/>
      <c r="D227" s="406"/>
      <c r="E227" s="406"/>
      <c r="F227" s="406"/>
      <c r="G227" s="406"/>
      <c r="H227" s="406"/>
      <c r="I227" s="406"/>
      <c r="J227" s="406"/>
      <c r="K227" s="406"/>
    </row>
    <row r="228" spans="3:11" x14ac:dyDescent="0.3">
      <c r="C228" s="406"/>
      <c r="D228" s="406"/>
      <c r="E228" s="406"/>
      <c r="F228" s="406"/>
      <c r="G228" s="406"/>
      <c r="H228" s="406"/>
      <c r="I228" s="406"/>
      <c r="J228" s="406"/>
      <c r="K228" s="406"/>
    </row>
    <row r="229" spans="3:11" x14ac:dyDescent="0.3">
      <c r="C229" s="406"/>
      <c r="D229" s="406"/>
      <c r="E229" s="406"/>
      <c r="F229" s="406"/>
      <c r="G229" s="406"/>
      <c r="H229" s="406"/>
      <c r="I229" s="406"/>
      <c r="J229" s="406"/>
      <c r="K229" s="406"/>
    </row>
    <row r="230" spans="3:11" x14ac:dyDescent="0.3">
      <c r="C230" s="406"/>
      <c r="D230" s="406"/>
      <c r="E230" s="406"/>
      <c r="F230" s="406"/>
      <c r="G230" s="406"/>
      <c r="H230" s="406"/>
      <c r="I230" s="406"/>
      <c r="J230" s="406"/>
      <c r="K230" s="406"/>
    </row>
    <row r="231" spans="3:11" x14ac:dyDescent="0.3">
      <c r="C231" s="406"/>
      <c r="D231" s="406"/>
      <c r="E231" s="406"/>
      <c r="F231" s="406"/>
      <c r="G231" s="406"/>
      <c r="H231" s="406"/>
      <c r="I231" s="406"/>
      <c r="J231" s="406"/>
      <c r="K231" s="406"/>
    </row>
    <row r="232" spans="3:11" x14ac:dyDescent="0.3">
      <c r="C232" s="406"/>
      <c r="D232" s="406"/>
      <c r="E232" s="406"/>
      <c r="F232" s="406"/>
      <c r="G232" s="406"/>
      <c r="H232" s="406"/>
      <c r="I232" s="406"/>
      <c r="J232" s="406"/>
      <c r="K232" s="406"/>
    </row>
    <row r="233" spans="3:11" x14ac:dyDescent="0.3">
      <c r="C233" s="406"/>
      <c r="D233" s="406"/>
      <c r="E233" s="406"/>
      <c r="F233" s="406"/>
      <c r="G233" s="406"/>
      <c r="H233" s="406"/>
      <c r="I233" s="406"/>
      <c r="J233" s="406"/>
      <c r="K233" s="406"/>
    </row>
    <row r="234" spans="3:11" x14ac:dyDescent="0.3">
      <c r="C234" s="406"/>
      <c r="D234" s="406"/>
      <c r="E234" s="406"/>
      <c r="F234" s="406"/>
      <c r="G234" s="406"/>
      <c r="H234" s="406"/>
      <c r="I234" s="406"/>
      <c r="J234" s="406"/>
      <c r="K234" s="406"/>
    </row>
    <row r="235" spans="3:11" x14ac:dyDescent="0.3">
      <c r="C235" s="406"/>
      <c r="D235" s="406"/>
      <c r="E235" s="406"/>
      <c r="F235" s="406"/>
      <c r="G235" s="406"/>
      <c r="H235" s="406"/>
      <c r="I235" s="406"/>
      <c r="J235" s="406"/>
      <c r="K235" s="406"/>
    </row>
    <row r="236" spans="3:11" x14ac:dyDescent="0.3">
      <c r="C236" s="406"/>
      <c r="D236" s="406"/>
      <c r="E236" s="406"/>
      <c r="F236" s="406"/>
      <c r="G236" s="406"/>
      <c r="H236" s="406"/>
      <c r="I236" s="406"/>
      <c r="J236" s="406"/>
      <c r="K236" s="406"/>
    </row>
    <row r="237" spans="3:11" x14ac:dyDescent="0.3">
      <c r="C237" s="406"/>
      <c r="D237" s="406"/>
      <c r="E237" s="406"/>
      <c r="F237" s="406"/>
      <c r="G237" s="406"/>
      <c r="H237" s="406"/>
      <c r="I237" s="406"/>
      <c r="J237" s="406"/>
      <c r="K237" s="406"/>
    </row>
    <row r="238" spans="3:11" x14ac:dyDescent="0.3">
      <c r="C238" s="406"/>
      <c r="D238" s="406"/>
      <c r="E238" s="406"/>
      <c r="F238" s="406"/>
      <c r="G238" s="406"/>
      <c r="H238" s="406"/>
      <c r="I238" s="406"/>
      <c r="J238" s="406"/>
      <c r="K238" s="406"/>
    </row>
    <row r="239" spans="3:11" x14ac:dyDescent="0.3">
      <c r="C239" s="406"/>
      <c r="D239" s="406"/>
      <c r="E239" s="406"/>
      <c r="F239" s="406"/>
      <c r="G239" s="406"/>
      <c r="H239" s="406"/>
      <c r="I239" s="406"/>
      <c r="J239" s="406"/>
      <c r="K239" s="406"/>
    </row>
    <row r="240" spans="3:11" x14ac:dyDescent="0.3">
      <c r="C240" s="406"/>
      <c r="D240" s="406"/>
      <c r="E240" s="406"/>
      <c r="F240" s="406"/>
      <c r="G240" s="406"/>
      <c r="H240" s="406"/>
      <c r="I240" s="406"/>
      <c r="J240" s="406"/>
      <c r="K240" s="406"/>
    </row>
    <row r="241" spans="3:11" x14ac:dyDescent="0.3">
      <c r="C241" s="406"/>
      <c r="D241" s="406"/>
      <c r="E241" s="406"/>
      <c r="F241" s="406"/>
      <c r="G241" s="406"/>
      <c r="H241" s="406"/>
      <c r="I241" s="406"/>
      <c r="J241" s="406"/>
      <c r="K241" s="406"/>
    </row>
    <row r="242" spans="3:11" x14ac:dyDescent="0.3">
      <c r="C242" s="406"/>
      <c r="D242" s="406"/>
      <c r="E242" s="406"/>
      <c r="F242" s="406"/>
      <c r="G242" s="406"/>
      <c r="H242" s="406"/>
      <c r="I242" s="406"/>
      <c r="J242" s="406"/>
      <c r="K242" s="406"/>
    </row>
    <row r="243" spans="3:11" x14ac:dyDescent="0.3">
      <c r="C243" s="406"/>
      <c r="D243" s="406"/>
      <c r="E243" s="406"/>
      <c r="F243" s="406"/>
      <c r="G243" s="406"/>
      <c r="H243" s="406"/>
      <c r="I243" s="406"/>
      <c r="J243" s="406"/>
      <c r="K243" s="406"/>
    </row>
  </sheetData>
  <mergeCells count="2">
    <mergeCell ref="C3:E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535"/>
  <sheetViews>
    <sheetView tabSelected="1" workbookViewId="0">
      <selection activeCell="I344" sqref="I344"/>
    </sheetView>
  </sheetViews>
  <sheetFormatPr defaultColWidth="9.109375" defaultRowHeight="12.75" customHeight="1" x14ac:dyDescent="0.3"/>
  <cols>
    <col min="1" max="1" width="3" style="188" bestFit="1" customWidth="1"/>
    <col min="2" max="2" width="7.33203125" style="188" customWidth="1"/>
    <col min="3" max="3" width="41" style="188" customWidth="1"/>
    <col min="4" max="4" width="21.88671875" style="188" customWidth="1"/>
    <col min="5" max="5" width="14.44140625" style="188" customWidth="1"/>
    <col min="6" max="6" width="12.109375" style="238" bestFit="1" customWidth="1"/>
    <col min="7" max="7" width="13.5546875" style="188" customWidth="1"/>
    <col min="8" max="8" width="4.33203125" style="238" customWidth="1"/>
    <col min="9" max="9" width="75.6640625" style="188" bestFit="1" customWidth="1"/>
    <col min="10" max="10" width="9.5546875" style="188" bestFit="1" customWidth="1"/>
    <col min="11" max="16384" width="9.109375" style="188"/>
  </cols>
  <sheetData>
    <row r="1" spans="1:9" ht="12.75" customHeight="1" x14ac:dyDescent="0.3">
      <c r="A1" s="189"/>
      <c r="B1" s="615" t="s">
        <v>618</v>
      </c>
      <c r="C1" s="216"/>
      <c r="I1" s="243"/>
    </row>
    <row r="2" spans="1:9" ht="12.75" customHeight="1" x14ac:dyDescent="0.3">
      <c r="B2" s="237" t="str">
        <f>'1461'!A3</f>
        <v>Based on the FLDOE 2024-25 Final Revenue Calculation Worksheet</v>
      </c>
      <c r="C2" s="217"/>
      <c r="E2" s="229"/>
      <c r="F2" s="239"/>
      <c r="G2" s="229"/>
      <c r="I2" s="252"/>
    </row>
    <row r="3" spans="1:9" ht="12.75" customHeight="1" thickBot="1" x14ac:dyDescent="0.35">
      <c r="B3" s="190"/>
      <c r="C3" s="217"/>
      <c r="E3" s="229"/>
      <c r="F3" s="755"/>
      <c r="G3" s="755"/>
      <c r="I3" s="252"/>
    </row>
    <row r="4" spans="1:9" ht="12.75" customHeight="1" thickBot="1" x14ac:dyDescent="0.35">
      <c r="A4" s="191"/>
      <c r="B4" s="192" t="s">
        <v>156</v>
      </c>
      <c r="C4" s="220" t="s">
        <v>226</v>
      </c>
      <c r="D4" s="193" t="s">
        <v>157</v>
      </c>
      <c r="E4" s="233" t="s">
        <v>2</v>
      </c>
      <c r="F4" s="270" t="s">
        <v>250</v>
      </c>
      <c r="G4" s="233" t="s">
        <v>231</v>
      </c>
      <c r="I4" s="331" t="s">
        <v>277</v>
      </c>
    </row>
    <row r="5" spans="1:9" ht="12.75" customHeight="1" x14ac:dyDescent="0.3">
      <c r="A5" s="198">
        <v>1</v>
      </c>
      <c r="B5" s="729" t="s">
        <v>584</v>
      </c>
      <c r="C5" s="730" t="s">
        <v>587</v>
      </c>
      <c r="D5" s="731" t="s">
        <v>616</v>
      </c>
      <c r="E5" s="200">
        <f>'0040'!I$145</f>
        <v>-4114.0200000000004</v>
      </c>
      <c r="F5" s="732"/>
      <c r="G5" s="200">
        <f>SUBTOTAL(109,E5:F7)</f>
        <v>-4114.0200000000004</v>
      </c>
      <c r="I5" s="694"/>
    </row>
    <row r="6" spans="1:9" ht="12.75" hidden="1" customHeight="1" x14ac:dyDescent="0.3">
      <c r="A6" s="191"/>
      <c r="B6" s="703"/>
      <c r="C6" s="692"/>
      <c r="D6" s="708"/>
      <c r="E6" s="693"/>
      <c r="F6" s="239"/>
      <c r="G6" s="693"/>
      <c r="I6" s="350"/>
    </row>
    <row r="7" spans="1:9" ht="12.75" hidden="1" customHeight="1" x14ac:dyDescent="0.3">
      <c r="A7" s="191"/>
      <c r="B7" s="703"/>
      <c r="C7" s="692"/>
      <c r="D7" s="708"/>
      <c r="E7" s="693"/>
      <c r="F7" s="239"/>
      <c r="G7" s="693"/>
      <c r="I7" s="351" t="s">
        <v>342</v>
      </c>
    </row>
    <row r="8" spans="1:9" ht="12.75" customHeight="1" x14ac:dyDescent="0.3">
      <c r="A8" s="194">
        <v>2</v>
      </c>
      <c r="B8" s="705" t="s">
        <v>585</v>
      </c>
      <c r="C8" s="704" t="s">
        <v>591</v>
      </c>
      <c r="D8" s="707" t="str">
        <f>D5</f>
        <v>FTE June 2025</v>
      </c>
      <c r="E8" s="701">
        <f>'0100'!I$145</f>
        <v>49096.51</v>
      </c>
      <c r="F8" s="239"/>
      <c r="G8" s="701">
        <f>SUBTOTAL(109,E8:F10)</f>
        <v>49096.51</v>
      </c>
      <c r="I8" s="421"/>
    </row>
    <row r="9" spans="1:9" ht="12.75" hidden="1" customHeight="1" x14ac:dyDescent="0.3">
      <c r="A9" s="191"/>
      <c r="B9" s="703"/>
      <c r="C9" s="692"/>
      <c r="D9" s="708"/>
      <c r="E9" s="693"/>
      <c r="F9" s="239"/>
      <c r="G9" s="693"/>
      <c r="I9" s="421"/>
    </row>
    <row r="10" spans="1:9" ht="12.75" hidden="1" customHeight="1" x14ac:dyDescent="0.3">
      <c r="A10" s="191"/>
      <c r="B10" s="692"/>
      <c r="C10" s="692"/>
      <c r="D10" s="693"/>
      <c r="E10" s="693"/>
      <c r="F10" s="239"/>
      <c r="G10" s="693"/>
      <c r="I10" s="350"/>
    </row>
    <row r="11" spans="1:9" ht="12.75" hidden="1" customHeight="1" x14ac:dyDescent="0.3">
      <c r="A11" s="191"/>
      <c r="B11" s="692"/>
      <c r="C11" s="692"/>
      <c r="D11" s="693"/>
      <c r="E11" s="693"/>
      <c r="F11" s="239"/>
      <c r="G11" s="693"/>
      <c r="I11" s="352"/>
    </row>
    <row r="12" spans="1:9" s="260" customFormat="1" ht="13.5" customHeight="1" x14ac:dyDescent="0.3">
      <c r="A12" s="198">
        <v>3</v>
      </c>
      <c r="B12" s="199" t="s">
        <v>158</v>
      </c>
      <c r="C12" s="219" t="s">
        <v>190</v>
      </c>
      <c r="D12" s="706" t="s">
        <v>616</v>
      </c>
      <c r="E12" s="200">
        <f>'1461'!I$145</f>
        <v>-43892.07</v>
      </c>
      <c r="F12" s="342"/>
      <c r="G12" s="200">
        <f>SUBTOTAL(109,E12:F36)</f>
        <v>-43892.07</v>
      </c>
      <c r="H12" s="259"/>
      <c r="I12" s="352"/>
    </row>
    <row r="13" spans="1:9" s="260" customFormat="1" ht="12.75" hidden="1" customHeight="1" x14ac:dyDescent="0.3">
      <c r="A13" s="198"/>
      <c r="B13" s="199"/>
      <c r="C13" s="219"/>
      <c r="D13" s="232" t="s">
        <v>278</v>
      </c>
      <c r="E13" s="200"/>
      <c r="F13" s="342"/>
      <c r="G13" s="200"/>
      <c r="H13" s="259"/>
      <c r="I13" s="351" t="s">
        <v>342</v>
      </c>
    </row>
    <row r="14" spans="1:9" s="260" customFormat="1" ht="12.75" hidden="1" customHeight="1" x14ac:dyDescent="0.3">
      <c r="A14" s="198"/>
      <c r="B14" s="199"/>
      <c r="C14" s="219"/>
      <c r="D14" s="420" t="s">
        <v>535</v>
      </c>
      <c r="E14" s="200"/>
      <c r="F14" s="342"/>
      <c r="G14" s="200"/>
      <c r="H14" s="259"/>
      <c r="I14" s="351"/>
    </row>
    <row r="15" spans="1:9" s="260" customFormat="1" ht="12.75" hidden="1" customHeight="1" x14ac:dyDescent="0.3">
      <c r="A15" s="198"/>
      <c r="B15" s="199"/>
      <c r="C15" s="219"/>
      <c r="D15" s="232" t="s">
        <v>280</v>
      </c>
      <c r="E15" s="200"/>
      <c r="F15" s="342"/>
      <c r="G15" s="200"/>
      <c r="H15" s="259"/>
      <c r="I15" s="351"/>
    </row>
    <row r="16" spans="1:9" s="260" customFormat="1" ht="12.75" hidden="1" customHeight="1" thickBot="1" x14ac:dyDescent="0.35">
      <c r="A16" s="198"/>
      <c r="B16" s="199"/>
      <c r="C16" s="219"/>
      <c r="D16" s="232" t="s">
        <v>279</v>
      </c>
      <c r="E16" s="200"/>
      <c r="F16" s="342"/>
      <c r="G16" s="200"/>
      <c r="H16" s="259"/>
      <c r="I16" s="549"/>
    </row>
    <row r="17" spans="1:9" s="260" customFormat="1" ht="12.75" hidden="1" customHeight="1" x14ac:dyDescent="0.3">
      <c r="A17" s="198"/>
      <c r="B17" s="199"/>
      <c r="C17" s="219"/>
      <c r="D17" s="232" t="s">
        <v>288</v>
      </c>
      <c r="E17" s="200"/>
      <c r="F17" s="342"/>
      <c r="G17" s="200"/>
      <c r="H17" s="259"/>
      <c r="I17" s="350"/>
    </row>
    <row r="18" spans="1:9" s="260" customFormat="1" ht="12.75" hidden="1" customHeight="1" x14ac:dyDescent="0.3">
      <c r="A18" s="198"/>
      <c r="B18" s="199"/>
      <c r="C18" s="219"/>
      <c r="D18" s="232" t="s">
        <v>257</v>
      </c>
      <c r="E18" s="200"/>
      <c r="F18" s="342"/>
      <c r="G18" s="200"/>
      <c r="H18" s="259"/>
      <c r="I18" s="352"/>
    </row>
    <row r="19" spans="1:9" s="260" customFormat="1" ht="12.75" hidden="1" customHeight="1" thickBot="1" x14ac:dyDescent="0.35">
      <c r="A19" s="198"/>
      <c r="B19" s="199"/>
      <c r="C19" s="228"/>
      <c r="D19" s="279" t="s">
        <v>284</v>
      </c>
      <c r="E19" s="200"/>
      <c r="F19" s="342"/>
      <c r="G19" s="200"/>
      <c r="H19" s="259"/>
      <c r="I19" s="695"/>
    </row>
    <row r="20" spans="1:9" s="260" customFormat="1" ht="12.75" hidden="1" customHeight="1" x14ac:dyDescent="0.3">
      <c r="A20" s="198"/>
      <c r="B20" s="199"/>
      <c r="C20" s="228"/>
      <c r="D20" s="279" t="s">
        <v>229</v>
      </c>
      <c r="E20" s="200"/>
      <c r="F20" s="342"/>
      <c r="G20" s="200"/>
      <c r="H20" s="259"/>
    </row>
    <row r="21" spans="1:9" s="260" customFormat="1" ht="12.75" hidden="1" customHeight="1" x14ac:dyDescent="0.3">
      <c r="A21" s="198"/>
      <c r="B21" s="199"/>
      <c r="C21" s="228"/>
      <c r="D21" s="279" t="s">
        <v>230</v>
      </c>
      <c r="E21" s="200"/>
      <c r="F21" s="342"/>
      <c r="G21" s="200"/>
      <c r="H21" s="259"/>
      <c r="I21" s="696"/>
    </row>
    <row r="22" spans="1:9" s="260" customFormat="1" ht="12.75" hidden="1" customHeight="1" x14ac:dyDescent="0.3">
      <c r="A22" s="198"/>
      <c r="B22" s="199"/>
      <c r="C22" s="228"/>
      <c r="D22" s="315" t="s">
        <v>496</v>
      </c>
      <c r="E22" s="200"/>
      <c r="F22" s="342"/>
      <c r="G22" s="200"/>
      <c r="H22" s="259"/>
      <c r="I22" s="696"/>
    </row>
    <row r="23" spans="1:9" s="260" customFormat="1" ht="12.75" hidden="1" customHeight="1" x14ac:dyDescent="0.3">
      <c r="A23" s="198"/>
      <c r="B23" s="199"/>
      <c r="C23" s="228"/>
      <c r="D23" s="279" t="s">
        <v>350</v>
      </c>
      <c r="E23" s="200"/>
      <c r="F23" s="342"/>
      <c r="G23" s="200"/>
      <c r="H23" s="259"/>
      <c r="I23" s="697"/>
    </row>
    <row r="24" spans="1:9" s="260" customFormat="1" ht="12.75" hidden="1" customHeight="1" x14ac:dyDescent="0.3">
      <c r="A24" s="198"/>
      <c r="B24" s="199"/>
      <c r="C24" s="422" t="s">
        <v>407</v>
      </c>
      <c r="D24" s="315" t="s">
        <v>382</v>
      </c>
      <c r="E24" s="200"/>
      <c r="F24" s="342"/>
      <c r="G24" s="200"/>
      <c r="H24" s="259"/>
      <c r="I24" s="697"/>
    </row>
    <row r="25" spans="1:9" s="260" customFormat="1" ht="12.75" hidden="1" customHeight="1" x14ac:dyDescent="0.3">
      <c r="A25" s="198"/>
      <c r="B25" s="199"/>
      <c r="C25" s="228"/>
      <c r="D25" s="315" t="s">
        <v>388</v>
      </c>
      <c r="E25" s="200"/>
      <c r="F25" s="342"/>
      <c r="G25" s="200"/>
      <c r="H25" s="259"/>
      <c r="I25" s="698"/>
    </row>
    <row r="26" spans="1:9" s="260" customFormat="1" ht="12.75" hidden="1" customHeight="1" x14ac:dyDescent="0.3">
      <c r="A26" s="198"/>
      <c r="B26" s="199"/>
      <c r="C26" s="228"/>
      <c r="D26" s="315"/>
      <c r="E26" s="200"/>
      <c r="F26" s="342"/>
      <c r="G26" s="200"/>
      <c r="H26" s="259"/>
      <c r="I26" s="698"/>
    </row>
    <row r="27" spans="1:9" s="260" customFormat="1" ht="12.75" hidden="1" customHeight="1" x14ac:dyDescent="0.3">
      <c r="A27" s="198"/>
      <c r="B27" s="199"/>
      <c r="C27" s="228"/>
      <c r="D27" s="315"/>
      <c r="E27" s="200"/>
      <c r="F27" s="342"/>
      <c r="G27" s="200"/>
      <c r="H27" s="259"/>
      <c r="I27" s="698"/>
    </row>
    <row r="28" spans="1:9" s="260" customFormat="1" ht="12.75" hidden="1" customHeight="1" x14ac:dyDescent="0.3">
      <c r="A28" s="198"/>
      <c r="B28" s="199"/>
      <c r="C28" s="228"/>
      <c r="D28" s="315" t="s">
        <v>404</v>
      </c>
      <c r="E28" s="200"/>
      <c r="F28" s="342"/>
      <c r="G28" s="200"/>
      <c r="H28" s="259"/>
      <c r="I28" s="699"/>
    </row>
    <row r="29" spans="1:9" s="260" customFormat="1" ht="12.75" hidden="1" customHeight="1" x14ac:dyDescent="0.3">
      <c r="A29" s="198"/>
      <c r="B29" s="199"/>
      <c r="C29" s="228"/>
      <c r="D29" s="315" t="s">
        <v>405</v>
      </c>
      <c r="E29" s="200"/>
      <c r="F29" s="342"/>
      <c r="G29" s="200"/>
      <c r="H29" s="259"/>
      <c r="I29" s="696"/>
    </row>
    <row r="30" spans="1:9" s="260" customFormat="1" ht="12.75" hidden="1" customHeight="1" x14ac:dyDescent="0.3">
      <c r="A30" s="198"/>
      <c r="B30" s="199"/>
      <c r="C30" s="228"/>
      <c r="D30" s="315" t="s">
        <v>406</v>
      </c>
      <c r="E30" s="200"/>
      <c r="F30" s="342"/>
      <c r="G30" s="200"/>
      <c r="H30" s="259"/>
      <c r="I30" s="699"/>
    </row>
    <row r="31" spans="1:9" s="260" customFormat="1" ht="12.75" hidden="1" customHeight="1" x14ac:dyDescent="0.3">
      <c r="A31" s="198"/>
      <c r="B31" s="199"/>
      <c r="C31" s="228"/>
      <c r="D31" s="315" t="s">
        <v>408</v>
      </c>
      <c r="E31" s="200"/>
      <c r="F31" s="342"/>
      <c r="G31" s="200"/>
      <c r="H31" s="259"/>
      <c r="I31" s="696"/>
    </row>
    <row r="32" spans="1:9" s="260" customFormat="1" ht="12.75" hidden="1" customHeight="1" x14ac:dyDescent="0.3">
      <c r="A32" s="198"/>
      <c r="B32" s="199"/>
      <c r="C32" s="228"/>
      <c r="D32" s="315"/>
      <c r="E32" s="200"/>
      <c r="F32" s="342"/>
      <c r="G32" s="200"/>
      <c r="H32" s="259"/>
      <c r="I32" s="700"/>
    </row>
    <row r="33" spans="1:12" s="260" customFormat="1" ht="12.75" hidden="1" customHeight="1" x14ac:dyDescent="0.3">
      <c r="A33" s="198"/>
      <c r="B33" s="199"/>
      <c r="C33" s="228"/>
      <c r="D33" s="315"/>
      <c r="E33" s="200"/>
      <c r="F33" s="342"/>
      <c r="G33" s="200"/>
      <c r="H33" s="259"/>
      <c r="I33" s="334"/>
    </row>
    <row r="34" spans="1:12" s="260" customFormat="1" ht="12.75" hidden="1" customHeight="1" x14ac:dyDescent="0.3">
      <c r="A34" s="198"/>
      <c r="B34" s="199"/>
      <c r="C34" s="228"/>
      <c r="D34" s="315" t="s">
        <v>611</v>
      </c>
      <c r="E34" s="200"/>
      <c r="F34" s="342"/>
      <c r="G34" s="200"/>
      <c r="H34" s="259"/>
      <c r="I34" s="334"/>
    </row>
    <row r="35" spans="1:12" s="260" customFormat="1" ht="12.75" hidden="1" customHeight="1" x14ac:dyDescent="0.3">
      <c r="A35" s="198"/>
      <c r="B35" s="199"/>
      <c r="C35" s="228"/>
      <c r="D35" s="315" t="s">
        <v>612</v>
      </c>
      <c r="E35" s="200"/>
      <c r="F35" s="342"/>
      <c r="G35" s="200"/>
      <c r="H35" s="259"/>
      <c r="I35" s="334"/>
    </row>
    <row r="36" spans="1:12" s="260" customFormat="1" ht="12.75" hidden="1" customHeight="1" x14ac:dyDescent="0.3">
      <c r="A36" s="198"/>
      <c r="B36" s="199"/>
      <c r="C36" s="228"/>
      <c r="D36" s="315" t="s">
        <v>613</v>
      </c>
      <c r="E36" s="200"/>
      <c r="F36" s="342"/>
      <c r="G36" s="200"/>
      <c r="H36" s="259"/>
      <c r="I36" s="741"/>
    </row>
    <row r="37" spans="1:12" s="260" customFormat="1" ht="12.75" customHeight="1" x14ac:dyDescent="0.3">
      <c r="A37" s="194">
        <f>1+A12</f>
        <v>4</v>
      </c>
      <c r="B37" s="195" t="s">
        <v>159</v>
      </c>
      <c r="C37" s="218" t="s">
        <v>192</v>
      </c>
      <c r="D37" s="544" t="str">
        <f>$D$12</f>
        <v>FTE June 2025</v>
      </c>
      <c r="E37" s="197">
        <f>'1571'!I$145</f>
        <v>-184087.4</v>
      </c>
      <c r="F37" s="343"/>
      <c r="G37" s="197">
        <f>SUBTOTAL(109,E37:F52)</f>
        <v>-184087.4</v>
      </c>
      <c r="H37" s="259"/>
      <c r="I37" s="337"/>
    </row>
    <row r="38" spans="1:12" s="260" customFormat="1" ht="12.75" hidden="1" customHeight="1" x14ac:dyDescent="0.3">
      <c r="A38" s="194"/>
      <c r="B38" s="195"/>
      <c r="C38" s="407"/>
      <c r="D38" s="231" t="s">
        <v>278</v>
      </c>
      <c r="E38" s="197"/>
      <c r="F38" s="343"/>
      <c r="G38" s="197"/>
      <c r="H38" s="259"/>
      <c r="I38" s="337"/>
    </row>
    <row r="39" spans="1:12" s="260" customFormat="1" ht="12.75" hidden="1" customHeight="1" x14ac:dyDescent="0.3">
      <c r="A39" s="194"/>
      <c r="B39" s="195"/>
      <c r="C39" s="218"/>
      <c r="D39" s="353" t="s">
        <v>535</v>
      </c>
      <c r="E39" s="197"/>
      <c r="F39" s="343"/>
      <c r="G39" s="197"/>
      <c r="H39" s="259"/>
      <c r="I39" s="337"/>
    </row>
    <row r="40" spans="1:12" s="260" customFormat="1" ht="12.75" hidden="1" customHeight="1" x14ac:dyDescent="0.3">
      <c r="A40" s="194"/>
      <c r="B40" s="195"/>
      <c r="C40" s="240"/>
      <c r="D40" s="353" t="s">
        <v>395</v>
      </c>
      <c r="E40" s="197"/>
      <c r="F40" s="343"/>
      <c r="G40" s="197"/>
      <c r="H40" s="259"/>
      <c r="I40" s="337"/>
    </row>
    <row r="41" spans="1:12" s="260" customFormat="1" ht="12.75" hidden="1" customHeight="1" x14ac:dyDescent="0.3">
      <c r="A41" s="194"/>
      <c r="B41" s="195"/>
      <c r="C41" s="218"/>
      <c r="D41" s="231" t="s">
        <v>280</v>
      </c>
      <c r="E41" s="197"/>
      <c r="F41" s="343"/>
      <c r="G41" s="197"/>
      <c r="H41" s="259"/>
      <c r="I41" s="337"/>
      <c r="L41" s="333">
        <v>44630</v>
      </c>
    </row>
    <row r="42" spans="1:12" s="260" customFormat="1" ht="12.75" hidden="1" customHeight="1" x14ac:dyDescent="0.3">
      <c r="A42" s="194"/>
      <c r="B42" s="195"/>
      <c r="C42" s="218"/>
      <c r="D42" s="231" t="s">
        <v>279</v>
      </c>
      <c r="E42" s="197"/>
      <c r="F42" s="343"/>
      <c r="G42" s="197"/>
      <c r="H42" s="259"/>
      <c r="I42" s="337"/>
      <c r="L42" s="333">
        <f>L41-60</f>
        <v>44570</v>
      </c>
    </row>
    <row r="43" spans="1:12" s="260" customFormat="1" ht="12.75" hidden="1" customHeight="1" x14ac:dyDescent="0.3">
      <c r="A43" s="194"/>
      <c r="B43" s="195"/>
      <c r="C43" s="218"/>
      <c r="D43" s="231" t="s">
        <v>288</v>
      </c>
      <c r="E43" s="197"/>
      <c r="F43" s="343"/>
      <c r="G43" s="197"/>
      <c r="H43" s="259"/>
      <c r="I43" s="337"/>
    </row>
    <row r="44" spans="1:12" s="260" customFormat="1" ht="12.75" hidden="1" customHeight="1" x14ac:dyDescent="0.3">
      <c r="A44" s="194"/>
      <c r="B44" s="195"/>
      <c r="C44" s="218"/>
      <c r="D44" s="231" t="s">
        <v>257</v>
      </c>
      <c r="E44" s="197"/>
      <c r="F44" s="343"/>
      <c r="G44" s="197"/>
      <c r="H44" s="259"/>
      <c r="I44" s="337"/>
    </row>
    <row r="45" spans="1:12" s="260" customFormat="1" ht="12.75" hidden="1" customHeight="1" x14ac:dyDescent="0.3">
      <c r="A45" s="194"/>
      <c r="B45" s="195"/>
      <c r="C45" s="230"/>
      <c r="D45" s="276" t="s">
        <v>229</v>
      </c>
      <c r="E45" s="197"/>
      <c r="F45" s="343"/>
      <c r="G45" s="197"/>
      <c r="H45" s="259"/>
      <c r="I45" s="337"/>
    </row>
    <row r="46" spans="1:12" s="260" customFormat="1" ht="12.75" hidden="1" customHeight="1" x14ac:dyDescent="0.3">
      <c r="A46" s="194"/>
      <c r="B46" s="195"/>
      <c r="C46" s="230"/>
      <c r="D46" s="276" t="s">
        <v>230</v>
      </c>
      <c r="E46" s="197"/>
      <c r="F46" s="343"/>
      <c r="G46" s="197"/>
      <c r="H46" s="259"/>
      <c r="I46" s="334"/>
    </row>
    <row r="47" spans="1:12" s="260" customFormat="1" ht="12.75" hidden="1" customHeight="1" x14ac:dyDescent="0.3">
      <c r="A47" s="194"/>
      <c r="B47" s="195"/>
      <c r="C47" s="230"/>
      <c r="D47" s="276" t="s">
        <v>496</v>
      </c>
      <c r="E47" s="197"/>
      <c r="F47" s="343"/>
      <c r="G47" s="197"/>
      <c r="H47" s="259"/>
      <c r="I47" s="334"/>
    </row>
    <row r="48" spans="1:12" s="260" customFormat="1" ht="12.75" hidden="1" customHeight="1" x14ac:dyDescent="0.3">
      <c r="A48" s="194"/>
      <c r="B48" s="195"/>
      <c r="C48" s="230"/>
      <c r="D48" s="276" t="s">
        <v>350</v>
      </c>
      <c r="E48" s="197"/>
      <c r="F48" s="343"/>
      <c r="G48" s="197"/>
      <c r="H48" s="259"/>
      <c r="I48" s="334"/>
    </row>
    <row r="49" spans="1:13" s="260" customFormat="1" ht="12.75" hidden="1" customHeight="1" x14ac:dyDescent="0.3">
      <c r="A49" s="194"/>
      <c r="B49" s="195"/>
      <c r="C49" s="423"/>
      <c r="D49" s="607" t="s">
        <v>578</v>
      </c>
      <c r="E49" s="197"/>
      <c r="F49" s="343"/>
      <c r="G49" s="197"/>
      <c r="H49" s="296"/>
      <c r="I49" s="334"/>
    </row>
    <row r="50" spans="1:13" s="260" customFormat="1" ht="12.75" hidden="1" customHeight="1" x14ac:dyDescent="0.3">
      <c r="A50" s="194"/>
      <c r="B50" s="195"/>
      <c r="C50" s="230"/>
      <c r="D50" s="354" t="s">
        <v>388</v>
      </c>
      <c r="E50" s="197"/>
      <c r="F50" s="343"/>
      <c r="G50" s="197"/>
      <c r="H50" s="259"/>
      <c r="I50" s="334"/>
    </row>
    <row r="51" spans="1:13" s="260" customFormat="1" ht="12.75" hidden="1" customHeight="1" x14ac:dyDescent="0.3">
      <c r="A51" s="194"/>
      <c r="B51" s="195"/>
      <c r="C51" s="230"/>
      <c r="D51" s="276" t="s">
        <v>594</v>
      </c>
      <c r="E51" s="197"/>
      <c r="F51" s="343"/>
      <c r="G51" s="197"/>
      <c r="H51" s="259"/>
      <c r="I51" s="334"/>
    </row>
    <row r="52" spans="1:13" s="260" customFormat="1" ht="12.75" hidden="1" customHeight="1" x14ac:dyDescent="0.3">
      <c r="A52" s="194"/>
      <c r="B52" s="195"/>
      <c r="C52" s="230"/>
      <c r="D52" s="487" t="s">
        <v>534</v>
      </c>
      <c r="E52" s="197"/>
      <c r="F52" s="343"/>
      <c r="G52" s="197"/>
      <c r="H52" s="259"/>
      <c r="I52" s="334"/>
    </row>
    <row r="53" spans="1:13" s="260" customFormat="1" ht="12.75" customHeight="1" x14ac:dyDescent="0.3">
      <c r="A53" s="198">
        <f>1+A37</f>
        <v>5</v>
      </c>
      <c r="B53" s="199" t="s">
        <v>160</v>
      </c>
      <c r="C53" s="219" t="s">
        <v>193</v>
      </c>
      <c r="D53" s="277" t="str">
        <f>$D$12</f>
        <v>FTE June 2025</v>
      </c>
      <c r="E53" s="200">
        <f>'2521'!I$145</f>
        <v>-31428.62</v>
      </c>
      <c r="F53" s="342"/>
      <c r="G53" s="200">
        <f>SUBTOTAL(109,E53:F59)</f>
        <v>-31428.62</v>
      </c>
      <c r="H53" s="259"/>
      <c r="I53" s="334"/>
    </row>
    <row r="54" spans="1:13" s="260" customFormat="1" ht="12.75" hidden="1" customHeight="1" x14ac:dyDescent="0.3">
      <c r="A54" s="198"/>
      <c r="B54" s="199"/>
      <c r="C54" s="219"/>
      <c r="D54" s="232" t="s">
        <v>278</v>
      </c>
      <c r="E54" s="200"/>
      <c r="F54" s="342"/>
      <c r="G54" s="200"/>
      <c r="H54" s="259"/>
      <c r="I54" s="334"/>
    </row>
    <row r="55" spans="1:13" s="260" customFormat="1" ht="12.75" hidden="1" customHeight="1" x14ac:dyDescent="0.3">
      <c r="A55" s="198"/>
      <c r="B55" s="199"/>
      <c r="C55" s="219"/>
      <c r="D55" s="232" t="s">
        <v>280</v>
      </c>
      <c r="E55" s="200"/>
      <c r="F55" s="342"/>
      <c r="G55" s="200"/>
      <c r="H55" s="259"/>
      <c r="I55" s="334"/>
    </row>
    <row r="56" spans="1:13" s="260" customFormat="1" ht="12.75" hidden="1" customHeight="1" x14ac:dyDescent="0.3">
      <c r="A56" s="198"/>
      <c r="B56" s="199"/>
      <c r="C56" s="219"/>
      <c r="D56" s="232" t="s">
        <v>279</v>
      </c>
      <c r="E56" s="200"/>
      <c r="F56" s="342"/>
      <c r="G56" s="200"/>
      <c r="H56" s="259"/>
      <c r="I56" s="334"/>
    </row>
    <row r="57" spans="1:13" s="260" customFormat="1" ht="12.75" hidden="1" customHeight="1" x14ac:dyDescent="0.3">
      <c r="A57" s="198"/>
      <c r="B57" s="199"/>
      <c r="C57" s="219"/>
      <c r="D57" s="232" t="s">
        <v>288</v>
      </c>
      <c r="E57" s="200"/>
      <c r="F57" s="342"/>
      <c r="G57" s="200"/>
      <c r="H57" s="259"/>
      <c r="I57" s="334"/>
      <c r="M57" s="333"/>
    </row>
    <row r="58" spans="1:13" ht="12.75" hidden="1" customHeight="1" x14ac:dyDescent="0.3">
      <c r="A58" s="198"/>
      <c r="B58" s="199"/>
      <c r="C58" s="219"/>
      <c r="D58" s="232" t="s">
        <v>257</v>
      </c>
      <c r="E58" s="200"/>
      <c r="F58" s="342"/>
      <c r="G58" s="200"/>
      <c r="I58" s="334"/>
      <c r="M58" s="295"/>
    </row>
    <row r="59" spans="1:13" ht="12.75" hidden="1" customHeight="1" x14ac:dyDescent="0.3">
      <c r="A59" s="198"/>
      <c r="B59" s="199"/>
      <c r="C59" s="219"/>
      <c r="D59" s="315" t="s">
        <v>359</v>
      </c>
      <c r="E59" s="200"/>
      <c r="F59" s="342"/>
      <c r="G59" s="200"/>
      <c r="I59" s="334"/>
      <c r="L59" s="295"/>
    </row>
    <row r="60" spans="1:13" s="260" customFormat="1" ht="12.75" customHeight="1" x14ac:dyDescent="0.3">
      <c r="A60" s="194">
        <f>1+A53</f>
        <v>6</v>
      </c>
      <c r="B60" s="195">
        <v>2531</v>
      </c>
      <c r="C60" s="218" t="s">
        <v>595</v>
      </c>
      <c r="D60" s="544" t="str">
        <f>$D$12</f>
        <v>FTE June 2025</v>
      </c>
      <c r="E60" s="197">
        <f>'2531'!I145</f>
        <v>38314.17</v>
      </c>
      <c r="F60" s="343"/>
      <c r="G60" s="197">
        <f>SUBTOTAL(109,E60:F71)</f>
        <v>38314.17</v>
      </c>
      <c r="H60" s="296"/>
      <c r="I60" s="334"/>
    </row>
    <row r="61" spans="1:13" ht="12.75" hidden="1" customHeight="1" x14ac:dyDescent="0.3">
      <c r="A61" s="194"/>
      <c r="B61" s="195"/>
      <c r="C61" s="218"/>
      <c r="D61" s="231" t="s">
        <v>598</v>
      </c>
      <c r="E61" s="197"/>
      <c r="F61" s="343"/>
      <c r="G61" s="197"/>
      <c r="I61" s="334"/>
    </row>
    <row r="62" spans="1:13" ht="12.75" hidden="1" customHeight="1" x14ac:dyDescent="0.3">
      <c r="A62" s="194"/>
      <c r="B62" s="195"/>
      <c r="C62" s="218"/>
      <c r="D62" s="231" t="s">
        <v>278</v>
      </c>
      <c r="E62" s="197"/>
      <c r="F62" s="343"/>
      <c r="G62" s="197"/>
      <c r="I62" s="334"/>
    </row>
    <row r="63" spans="1:13" s="260" customFormat="1" ht="12.75" hidden="1" customHeight="1" x14ac:dyDescent="0.3">
      <c r="A63" s="194"/>
      <c r="B63" s="195"/>
      <c r="C63" s="218"/>
      <c r="D63" s="231" t="s">
        <v>397</v>
      </c>
      <c r="E63" s="197"/>
      <c r="F63" s="343"/>
      <c r="G63" s="197"/>
      <c r="H63" s="259"/>
      <c r="I63" s="306"/>
    </row>
    <row r="64" spans="1:13" s="260" customFormat="1" ht="12.75" hidden="1" customHeight="1" x14ac:dyDescent="0.3">
      <c r="A64" s="194"/>
      <c r="B64" s="195"/>
      <c r="C64" s="218"/>
      <c r="D64" s="353" t="s">
        <v>395</v>
      </c>
      <c r="E64" s="197"/>
      <c r="F64" s="343"/>
      <c r="G64" s="197"/>
      <c r="H64" s="259"/>
      <c r="I64" s="195"/>
    </row>
    <row r="65" spans="1:9" s="260" customFormat="1" ht="12.75" hidden="1" customHeight="1" x14ac:dyDescent="0.3">
      <c r="A65" s="194"/>
      <c r="B65" s="195"/>
      <c r="C65" s="218"/>
      <c r="D65" s="231" t="s">
        <v>280</v>
      </c>
      <c r="E65" s="197"/>
      <c r="F65" s="343"/>
      <c r="G65" s="197"/>
      <c r="H65" s="259"/>
      <c r="I65" s="195"/>
    </row>
    <row r="66" spans="1:9" s="260" customFormat="1" ht="12.75" hidden="1" customHeight="1" x14ac:dyDescent="0.3">
      <c r="A66" s="194"/>
      <c r="B66" s="195"/>
      <c r="C66" s="218"/>
      <c r="D66" s="231" t="s">
        <v>279</v>
      </c>
      <c r="E66" s="197"/>
      <c r="F66" s="343"/>
      <c r="G66" s="197"/>
      <c r="H66" s="259"/>
      <c r="I66" s="195"/>
    </row>
    <row r="67" spans="1:9" s="260" customFormat="1" ht="12.75" hidden="1" customHeight="1" x14ac:dyDescent="0.3">
      <c r="A67" s="194"/>
      <c r="B67" s="195"/>
      <c r="C67" s="218"/>
      <c r="D67" s="231" t="s">
        <v>288</v>
      </c>
      <c r="E67" s="197"/>
      <c r="F67" s="343"/>
      <c r="G67" s="197"/>
      <c r="H67" s="296"/>
      <c r="I67" s="306"/>
    </row>
    <row r="68" spans="1:9" s="260" customFormat="1" ht="12.75" hidden="1" customHeight="1" x14ac:dyDescent="0.3">
      <c r="A68" s="194"/>
      <c r="B68" s="195"/>
      <c r="C68" s="218"/>
      <c r="D68" s="231" t="s">
        <v>257</v>
      </c>
      <c r="E68" s="197"/>
      <c r="F68" s="343"/>
      <c r="G68" s="197"/>
      <c r="H68" s="259"/>
      <c r="I68" s="306"/>
    </row>
    <row r="69" spans="1:9" s="260" customFormat="1" ht="12.75" hidden="1" customHeight="1" x14ac:dyDescent="0.3">
      <c r="A69" s="194"/>
      <c r="B69" s="195"/>
      <c r="C69" s="218"/>
      <c r="D69" s="231" t="s">
        <v>358</v>
      </c>
      <c r="E69" s="197"/>
      <c r="F69" s="343"/>
      <c r="G69" s="197"/>
      <c r="H69" s="259"/>
      <c r="I69" s="306"/>
    </row>
    <row r="70" spans="1:9" s="260" customFormat="1" ht="12.75" hidden="1" customHeight="1" x14ac:dyDescent="0.3">
      <c r="A70" s="194"/>
      <c r="B70" s="195"/>
      <c r="C70" s="230"/>
      <c r="D70" s="354" t="s">
        <v>388</v>
      </c>
      <c r="E70" s="197"/>
      <c r="F70" s="343"/>
      <c r="G70" s="197"/>
      <c r="H70" s="259"/>
      <c r="I70" s="334"/>
    </row>
    <row r="71" spans="1:9" s="260" customFormat="1" ht="12.75" hidden="1" customHeight="1" x14ac:dyDescent="0.3">
      <c r="A71" s="194"/>
      <c r="B71" s="195"/>
      <c r="C71" s="218"/>
      <c r="D71" s="276" t="s">
        <v>359</v>
      </c>
      <c r="E71" s="197"/>
      <c r="F71" s="343"/>
      <c r="G71" s="197"/>
      <c r="H71" s="259"/>
      <c r="I71" s="230"/>
    </row>
    <row r="72" spans="1:9" s="260" customFormat="1" ht="12.75" customHeight="1" x14ac:dyDescent="0.3">
      <c r="A72" s="198">
        <f>1+A60</f>
        <v>7</v>
      </c>
      <c r="B72" s="199" t="s">
        <v>162</v>
      </c>
      <c r="C72" s="262" t="s">
        <v>255</v>
      </c>
      <c r="D72" s="277" t="str">
        <f>$D$12</f>
        <v>FTE June 2025</v>
      </c>
      <c r="E72" s="200">
        <f>'2791'!I$145</f>
        <v>71313.19</v>
      </c>
      <c r="F72" s="342"/>
      <c r="G72" s="200">
        <f>SUBTOTAL(109,E72:F79)</f>
        <v>71313.19</v>
      </c>
      <c r="H72" s="296"/>
      <c r="I72" s="337"/>
    </row>
    <row r="73" spans="1:9" s="260" customFormat="1" ht="12.75" hidden="1" customHeight="1" x14ac:dyDescent="0.3">
      <c r="A73" s="198"/>
      <c r="B73" s="199"/>
      <c r="C73" s="219"/>
      <c r="D73" s="232" t="s">
        <v>278</v>
      </c>
      <c r="E73" s="200"/>
      <c r="F73" s="342"/>
      <c r="G73" s="200"/>
      <c r="H73" s="259"/>
      <c r="I73" s="230"/>
    </row>
    <row r="74" spans="1:9" s="260" customFormat="1" ht="12.75" hidden="1" customHeight="1" x14ac:dyDescent="0.3">
      <c r="A74" s="198"/>
      <c r="B74" s="199"/>
      <c r="C74" s="219"/>
      <c r="D74" s="420" t="s">
        <v>535</v>
      </c>
      <c r="E74" s="200"/>
      <c r="F74" s="342"/>
      <c r="G74" s="200"/>
      <c r="H74" s="259"/>
      <c r="I74" s="230"/>
    </row>
    <row r="75" spans="1:9" s="260" customFormat="1" ht="12.75" hidden="1" customHeight="1" x14ac:dyDescent="0.3">
      <c r="A75" s="198"/>
      <c r="B75" s="199"/>
      <c r="C75" s="219"/>
      <c r="D75" s="232" t="s">
        <v>280</v>
      </c>
      <c r="E75" s="200"/>
      <c r="F75" s="342"/>
      <c r="G75" s="200"/>
      <c r="H75" s="259"/>
      <c r="I75" s="230"/>
    </row>
    <row r="76" spans="1:9" s="260" customFormat="1" ht="12.75" hidden="1" customHeight="1" x14ac:dyDescent="0.3">
      <c r="A76" s="198"/>
      <c r="B76" s="199"/>
      <c r="C76" s="219"/>
      <c r="D76" s="232" t="s">
        <v>279</v>
      </c>
      <c r="E76" s="200"/>
      <c r="F76" s="342"/>
      <c r="G76" s="200"/>
      <c r="H76" s="259"/>
      <c r="I76" s="230"/>
    </row>
    <row r="77" spans="1:9" s="260" customFormat="1" ht="12.75" hidden="1" customHeight="1" x14ac:dyDescent="0.3">
      <c r="A77" s="198"/>
      <c r="B77" s="199"/>
      <c r="C77" s="219"/>
      <c r="D77" s="232"/>
      <c r="E77" s="200"/>
      <c r="F77" s="342"/>
      <c r="G77" s="200"/>
      <c r="H77" s="259"/>
      <c r="I77" s="334"/>
    </row>
    <row r="78" spans="1:9" s="260" customFormat="1" ht="12.75" hidden="1" customHeight="1" x14ac:dyDescent="0.3">
      <c r="A78" s="198"/>
      <c r="B78" s="199"/>
      <c r="C78" s="219"/>
      <c r="D78" s="232" t="s">
        <v>257</v>
      </c>
      <c r="E78" s="200"/>
      <c r="F78" s="342"/>
      <c r="G78" s="200"/>
      <c r="H78" s="259"/>
      <c r="I78" s="334"/>
    </row>
    <row r="79" spans="1:9" s="260" customFormat="1" ht="12.75" hidden="1" customHeight="1" x14ac:dyDescent="0.3">
      <c r="A79" s="198"/>
      <c r="B79" s="199"/>
      <c r="C79" s="219"/>
      <c r="D79" s="315" t="s">
        <v>359</v>
      </c>
      <c r="E79" s="200"/>
      <c r="F79" s="342"/>
      <c r="G79" s="200"/>
      <c r="H79" s="259"/>
      <c r="I79" s="334"/>
    </row>
    <row r="80" spans="1:9" s="260" customFormat="1" ht="12.75" customHeight="1" x14ac:dyDescent="0.3">
      <c r="A80" s="194">
        <f>A72+1</f>
        <v>8</v>
      </c>
      <c r="B80" s="195" t="s">
        <v>163</v>
      </c>
      <c r="C80" s="261" t="s">
        <v>415</v>
      </c>
      <c r="D80" s="544" t="str">
        <f>$D$12</f>
        <v>FTE June 2025</v>
      </c>
      <c r="E80" s="197">
        <f>'2801'!I$145</f>
        <v>5817.12</v>
      </c>
      <c r="F80" s="343"/>
      <c r="G80" s="197">
        <f>SUBTOTAL(109,E80:F89)</f>
        <v>5817.12</v>
      </c>
      <c r="H80" s="296"/>
      <c r="I80" s="337"/>
    </row>
    <row r="81" spans="1:9" s="260" customFormat="1" ht="12.75" hidden="1" customHeight="1" x14ac:dyDescent="0.3">
      <c r="A81" s="194"/>
      <c r="B81" s="195"/>
      <c r="C81" s="218"/>
      <c r="D81" s="231" t="s">
        <v>598</v>
      </c>
      <c r="E81" s="197"/>
      <c r="F81" s="343"/>
      <c r="G81" s="197"/>
      <c r="H81" s="259"/>
      <c r="I81" s="334"/>
    </row>
    <row r="82" spans="1:9" s="260" customFormat="1" ht="12.75" hidden="1" customHeight="1" x14ac:dyDescent="0.3">
      <c r="A82" s="194"/>
      <c r="B82" s="195"/>
      <c r="C82" s="218"/>
      <c r="D82" s="353" t="s">
        <v>535</v>
      </c>
      <c r="E82" s="197"/>
      <c r="F82" s="343"/>
      <c r="G82" s="197"/>
      <c r="H82" s="296"/>
      <c r="I82" s="306"/>
    </row>
    <row r="83" spans="1:9" s="260" customFormat="1" ht="12.75" hidden="1" customHeight="1" x14ac:dyDescent="0.3">
      <c r="A83" s="194"/>
      <c r="B83" s="195"/>
      <c r="C83" s="218"/>
      <c r="D83" s="231" t="s">
        <v>280</v>
      </c>
      <c r="E83" s="197"/>
      <c r="F83" s="343"/>
      <c r="G83" s="197"/>
      <c r="H83" s="296"/>
      <c r="I83" s="195"/>
    </row>
    <row r="84" spans="1:9" s="260" customFormat="1" ht="12.75" hidden="1" customHeight="1" x14ac:dyDescent="0.3">
      <c r="A84" s="194"/>
      <c r="B84" s="195"/>
      <c r="C84" s="218"/>
      <c r="D84" s="231" t="s">
        <v>378</v>
      </c>
      <c r="E84" s="197"/>
      <c r="F84" s="343"/>
      <c r="G84" s="197"/>
      <c r="H84" s="259"/>
      <c r="I84" s="230"/>
    </row>
    <row r="85" spans="1:9" s="260" customFormat="1" ht="12.75" hidden="1" customHeight="1" x14ac:dyDescent="0.3">
      <c r="A85" s="194"/>
      <c r="B85" s="195"/>
      <c r="C85" s="218"/>
      <c r="D85" s="231" t="s">
        <v>288</v>
      </c>
      <c r="E85" s="197"/>
      <c r="F85" s="343"/>
      <c r="G85" s="197"/>
      <c r="H85" s="296"/>
      <c r="I85" s="195"/>
    </row>
    <row r="86" spans="1:9" s="260" customFormat="1" ht="12.75" hidden="1" customHeight="1" x14ac:dyDescent="0.3">
      <c r="A86" s="194"/>
      <c r="B86" s="195"/>
      <c r="C86" s="218"/>
      <c r="D86" s="231" t="s">
        <v>257</v>
      </c>
      <c r="E86" s="197"/>
      <c r="F86" s="343"/>
      <c r="G86" s="197"/>
      <c r="H86" s="296"/>
      <c r="I86" s="195"/>
    </row>
    <row r="87" spans="1:9" s="260" customFormat="1" ht="12.75" hidden="1" customHeight="1" x14ac:dyDescent="0.3">
      <c r="A87" s="194"/>
      <c r="B87" s="195"/>
      <c r="C87" s="218"/>
      <c r="D87" s="231" t="s">
        <v>302</v>
      </c>
      <c r="E87" s="197"/>
      <c r="F87" s="343"/>
      <c r="G87" s="197"/>
      <c r="H87" s="296"/>
      <c r="I87" s="306"/>
    </row>
    <row r="88" spans="1:9" s="260" customFormat="1" ht="12.75" hidden="1" customHeight="1" x14ac:dyDescent="0.3">
      <c r="A88" s="194"/>
      <c r="B88" s="195"/>
      <c r="C88" s="218"/>
      <c r="D88" s="231" t="s">
        <v>358</v>
      </c>
      <c r="E88" s="197"/>
      <c r="F88" s="343"/>
      <c r="G88" s="197"/>
      <c r="H88" s="259"/>
      <c r="I88" s="306"/>
    </row>
    <row r="89" spans="1:9" s="260" customFormat="1" ht="12.75" hidden="1" customHeight="1" x14ac:dyDescent="0.3">
      <c r="A89" s="194"/>
      <c r="B89" s="195"/>
      <c r="C89" s="218"/>
      <c r="D89" s="276" t="s">
        <v>413</v>
      </c>
      <c r="E89" s="197"/>
      <c r="F89" s="343"/>
      <c r="G89" s="197"/>
      <c r="H89" s="259"/>
      <c r="I89" s="306"/>
    </row>
    <row r="90" spans="1:9" s="260" customFormat="1" ht="12.75" customHeight="1" x14ac:dyDescent="0.3">
      <c r="A90" s="198">
        <f>A80+1</f>
        <v>9</v>
      </c>
      <c r="B90" s="199" t="s">
        <v>164</v>
      </c>
      <c r="C90" s="219" t="s">
        <v>196</v>
      </c>
      <c r="D90" s="277" t="str">
        <f>$D$12</f>
        <v>FTE June 2025</v>
      </c>
      <c r="E90" s="200">
        <f>'2911'!I$145</f>
        <v>-34008.26</v>
      </c>
      <c r="F90" s="342"/>
      <c r="G90" s="200">
        <f>SUBTOTAL(109,E90:F100)</f>
        <v>-34008.26</v>
      </c>
      <c r="H90" s="296"/>
      <c r="I90" s="195"/>
    </row>
    <row r="91" spans="1:9" s="260" customFormat="1" ht="12.75" hidden="1" customHeight="1" x14ac:dyDescent="0.3">
      <c r="A91" s="198"/>
      <c r="B91" s="199"/>
      <c r="C91" s="219"/>
      <c r="D91" s="232" t="s">
        <v>278</v>
      </c>
      <c r="E91" s="200"/>
      <c r="F91" s="342"/>
      <c r="G91" s="200"/>
      <c r="H91" s="296"/>
      <c r="I91" s="195"/>
    </row>
    <row r="92" spans="1:9" s="260" customFormat="1" ht="12.75" hidden="1" customHeight="1" x14ac:dyDescent="0.3">
      <c r="A92" s="198"/>
      <c r="B92" s="199"/>
      <c r="C92" s="219"/>
      <c r="D92" s="420" t="s">
        <v>395</v>
      </c>
      <c r="E92" s="200"/>
      <c r="F92" s="342"/>
      <c r="G92" s="200"/>
      <c r="H92" s="259"/>
      <c r="I92" s="230"/>
    </row>
    <row r="93" spans="1:9" s="260" customFormat="1" ht="12.75" hidden="1" customHeight="1" x14ac:dyDescent="0.3">
      <c r="A93" s="198"/>
      <c r="B93" s="199"/>
      <c r="C93" s="219"/>
      <c r="D93" s="232" t="s">
        <v>280</v>
      </c>
      <c r="E93" s="200"/>
      <c r="F93" s="342"/>
      <c r="G93" s="200"/>
      <c r="H93" s="296"/>
      <c r="I93" s="195"/>
    </row>
    <row r="94" spans="1:9" s="260" customFormat="1" ht="12.75" hidden="1" customHeight="1" x14ac:dyDescent="0.3">
      <c r="A94" s="198"/>
      <c r="B94" s="199"/>
      <c r="C94" s="219"/>
      <c r="D94" s="232" t="s">
        <v>279</v>
      </c>
      <c r="E94" s="200"/>
      <c r="F94" s="342"/>
      <c r="G94" s="200"/>
      <c r="H94" s="296"/>
      <c r="I94" s="195"/>
    </row>
    <row r="95" spans="1:9" s="260" customFormat="1" ht="12.75" hidden="1" customHeight="1" x14ac:dyDescent="0.3">
      <c r="A95" s="198"/>
      <c r="B95" s="199"/>
      <c r="C95" s="219"/>
      <c r="D95" s="232" t="s">
        <v>288</v>
      </c>
      <c r="E95" s="200"/>
      <c r="F95" s="342"/>
      <c r="G95" s="200"/>
      <c r="H95" s="296"/>
      <c r="I95" s="195"/>
    </row>
    <row r="96" spans="1:9" s="260" customFormat="1" ht="12.75" hidden="1" customHeight="1" x14ac:dyDescent="0.3">
      <c r="A96" s="198"/>
      <c r="B96" s="199"/>
      <c r="C96" s="219"/>
      <c r="D96" s="232" t="s">
        <v>257</v>
      </c>
      <c r="E96" s="200"/>
      <c r="F96" s="342"/>
      <c r="G96" s="200"/>
      <c r="H96" s="259"/>
      <c r="I96" s="332"/>
    </row>
    <row r="97" spans="1:12" s="260" customFormat="1" ht="12.75" hidden="1" customHeight="1" x14ac:dyDescent="0.3">
      <c r="A97" s="198"/>
      <c r="B97" s="199"/>
      <c r="C97" s="219"/>
      <c r="D97" s="232" t="s">
        <v>302</v>
      </c>
      <c r="E97" s="200"/>
      <c r="F97" s="342"/>
      <c r="G97" s="200"/>
      <c r="H97" s="296"/>
    </row>
    <row r="98" spans="1:12" s="260" customFormat="1" ht="12.75" hidden="1" customHeight="1" x14ac:dyDescent="0.3">
      <c r="A98" s="198"/>
      <c r="B98" s="199"/>
      <c r="C98" s="228"/>
      <c r="D98" s="315" t="s">
        <v>603</v>
      </c>
      <c r="E98" s="200"/>
      <c r="F98" s="342"/>
      <c r="G98" s="200"/>
      <c r="H98" s="296"/>
      <c r="I98" s="195"/>
    </row>
    <row r="99" spans="1:12" s="260" customFormat="1" ht="12.75" hidden="1" customHeight="1" x14ac:dyDescent="0.3">
      <c r="A99" s="198"/>
      <c r="B99" s="199"/>
      <c r="C99" s="228"/>
      <c r="D99" s="315" t="s">
        <v>428</v>
      </c>
      <c r="E99" s="200"/>
      <c r="F99" s="342"/>
      <c r="G99" s="200"/>
      <c r="H99" s="296"/>
      <c r="I99" s="306"/>
    </row>
    <row r="100" spans="1:12" s="260" customFormat="1" ht="12.75" hidden="1" customHeight="1" x14ac:dyDescent="0.3">
      <c r="A100" s="198"/>
      <c r="B100" s="199"/>
      <c r="C100" s="228"/>
      <c r="D100" s="278"/>
      <c r="E100" s="200"/>
      <c r="F100" s="342"/>
      <c r="G100" s="200"/>
      <c r="H100" s="296"/>
      <c r="I100" s="306"/>
    </row>
    <row r="101" spans="1:12" s="260" customFormat="1" ht="12.75" customHeight="1" x14ac:dyDescent="0.3">
      <c r="A101" s="194">
        <f>A90+1</f>
        <v>10</v>
      </c>
      <c r="B101" s="195" t="s">
        <v>165</v>
      </c>
      <c r="C101" s="218" t="s">
        <v>197</v>
      </c>
      <c r="D101" s="544" t="str">
        <f>$D$12</f>
        <v>FTE June 2025</v>
      </c>
      <c r="E101" s="197">
        <f>'2941'!I$145</f>
        <v>174701.34</v>
      </c>
      <c r="F101" s="343"/>
      <c r="G101" s="197">
        <f>SUBTOTAL(109,E101:F109)</f>
        <v>174701.34</v>
      </c>
      <c r="H101" s="296"/>
      <c r="I101" s="195"/>
    </row>
    <row r="102" spans="1:12" s="260" customFormat="1" ht="12.75" hidden="1" customHeight="1" x14ac:dyDescent="0.3">
      <c r="A102" s="194"/>
      <c r="B102" s="195"/>
      <c r="C102" s="218"/>
      <c r="D102" s="231" t="s">
        <v>598</v>
      </c>
      <c r="E102" s="197"/>
      <c r="F102" s="343"/>
      <c r="G102" s="197"/>
      <c r="H102" s="296"/>
      <c r="I102" s="195"/>
    </row>
    <row r="103" spans="1:12" s="260" customFormat="1" ht="12.75" hidden="1" customHeight="1" x14ac:dyDescent="0.3">
      <c r="A103" s="194"/>
      <c r="B103" s="195"/>
      <c r="C103" s="218"/>
      <c r="D103" s="353" t="s">
        <v>535</v>
      </c>
      <c r="E103" s="197"/>
      <c r="F103" s="343"/>
      <c r="G103" s="197"/>
      <c r="H103" s="259"/>
      <c r="I103" s="230"/>
    </row>
    <row r="104" spans="1:12" s="260" customFormat="1" ht="12.75" hidden="1" customHeight="1" x14ac:dyDescent="0.3">
      <c r="A104" s="194"/>
      <c r="B104" s="195"/>
      <c r="C104" s="218"/>
      <c r="D104" s="231" t="s">
        <v>280</v>
      </c>
      <c r="E104" s="197"/>
      <c r="F104" s="343"/>
      <c r="G104" s="197"/>
      <c r="H104" s="296"/>
      <c r="I104" s="195"/>
    </row>
    <row r="105" spans="1:12" s="260" customFormat="1" ht="12.75" hidden="1" customHeight="1" x14ac:dyDescent="0.3">
      <c r="A105" s="194"/>
      <c r="B105" s="195"/>
      <c r="C105" s="218"/>
      <c r="D105" s="231" t="s">
        <v>279</v>
      </c>
      <c r="E105" s="197"/>
      <c r="F105" s="343"/>
      <c r="G105" s="197"/>
      <c r="H105" s="296"/>
      <c r="I105" s="195"/>
    </row>
    <row r="106" spans="1:12" s="260" customFormat="1" ht="12.75" hidden="1" customHeight="1" x14ac:dyDescent="0.3">
      <c r="A106" s="194"/>
      <c r="B106" s="195"/>
      <c r="C106" s="218"/>
      <c r="D106" s="231" t="s">
        <v>288</v>
      </c>
      <c r="E106" s="197"/>
      <c r="F106" s="343"/>
      <c r="G106" s="197"/>
      <c r="H106" s="296"/>
      <c r="I106" s="195"/>
    </row>
    <row r="107" spans="1:12" s="260" customFormat="1" ht="12.75" hidden="1" customHeight="1" x14ac:dyDescent="0.3">
      <c r="A107" s="194"/>
      <c r="B107" s="195"/>
      <c r="C107" s="218"/>
      <c r="D107" s="231" t="s">
        <v>257</v>
      </c>
      <c r="E107" s="197"/>
      <c r="F107" s="343"/>
      <c r="G107" s="197"/>
      <c r="H107" s="259"/>
      <c r="I107" s="332"/>
    </row>
    <row r="108" spans="1:12" s="260" customFormat="1" ht="12.75" hidden="1" customHeight="1" x14ac:dyDescent="0.3">
      <c r="A108" s="194"/>
      <c r="B108" s="195"/>
      <c r="C108" s="218"/>
      <c r="D108" s="231" t="s">
        <v>358</v>
      </c>
      <c r="E108" s="197"/>
      <c r="F108" s="343"/>
      <c r="G108" s="197"/>
      <c r="H108" s="296"/>
      <c r="I108" s="306"/>
    </row>
    <row r="109" spans="1:12" s="260" customFormat="1" ht="12.75" hidden="1" customHeight="1" x14ac:dyDescent="0.3">
      <c r="A109" s="194"/>
      <c r="B109" s="195"/>
      <c r="C109" s="218"/>
      <c r="D109" s="276"/>
      <c r="E109" s="197"/>
      <c r="F109" s="343"/>
      <c r="G109" s="197"/>
      <c r="H109" s="259"/>
      <c r="I109" s="306"/>
      <c r="J109" s="354"/>
      <c r="K109" s="197"/>
      <c r="L109" s="240"/>
    </row>
    <row r="110" spans="1:12" s="260" customFormat="1" ht="12.75" customHeight="1" x14ac:dyDescent="0.3">
      <c r="A110" s="198">
        <f>A101+1</f>
        <v>11</v>
      </c>
      <c r="B110" s="199" t="s">
        <v>166</v>
      </c>
      <c r="C110" s="262" t="s">
        <v>349</v>
      </c>
      <c r="D110" s="277" t="str">
        <f>$D$12</f>
        <v>FTE June 2025</v>
      </c>
      <c r="E110" s="200">
        <f>'3083'!I$145</f>
        <v>67173.14</v>
      </c>
      <c r="F110" s="342"/>
      <c r="G110" s="200">
        <f>SUBTOTAL(109,E110:F117)</f>
        <v>67173.14</v>
      </c>
      <c r="H110" s="259"/>
      <c r="I110" s="306"/>
      <c r="J110" s="354"/>
      <c r="K110" s="197"/>
      <c r="L110" s="240"/>
    </row>
    <row r="111" spans="1:12" s="260" customFormat="1" ht="12.75" hidden="1" customHeight="1" x14ac:dyDescent="0.3">
      <c r="A111" s="198"/>
      <c r="B111" s="199"/>
      <c r="C111" s="219"/>
      <c r="D111" s="232" t="s">
        <v>278</v>
      </c>
      <c r="E111" s="200"/>
      <c r="F111" s="342"/>
      <c r="G111" s="200"/>
      <c r="H111" s="296"/>
      <c r="I111" s="195"/>
    </row>
    <row r="112" spans="1:12" s="260" customFormat="1" ht="12.75" hidden="1" customHeight="1" x14ac:dyDescent="0.3">
      <c r="A112" s="198"/>
      <c r="B112" s="199"/>
      <c r="C112" s="219"/>
      <c r="D112" s="420" t="s">
        <v>535</v>
      </c>
      <c r="E112" s="200"/>
      <c r="F112" s="342"/>
      <c r="G112" s="200"/>
      <c r="H112" s="296"/>
      <c r="I112" s="195"/>
    </row>
    <row r="113" spans="1:9" s="260" customFormat="1" ht="12.75" hidden="1" customHeight="1" x14ac:dyDescent="0.3">
      <c r="A113" s="198"/>
      <c r="B113" s="199"/>
      <c r="C113" s="219"/>
      <c r="D113" s="232" t="s">
        <v>280</v>
      </c>
      <c r="E113" s="200"/>
      <c r="F113" s="342"/>
      <c r="G113" s="200"/>
      <c r="H113" s="259"/>
      <c r="I113" s="230"/>
    </row>
    <row r="114" spans="1:9" s="260" customFormat="1" ht="12.75" hidden="1" customHeight="1" x14ac:dyDescent="0.3">
      <c r="A114" s="198"/>
      <c r="B114" s="199"/>
      <c r="C114" s="219"/>
      <c r="D114" s="232" t="s">
        <v>279</v>
      </c>
      <c r="E114" s="200"/>
      <c r="F114" s="342"/>
      <c r="G114" s="200"/>
      <c r="H114" s="296"/>
      <c r="I114" s="195"/>
    </row>
    <row r="115" spans="1:9" s="260" customFormat="1" ht="12.75" hidden="1" customHeight="1" x14ac:dyDescent="0.3">
      <c r="A115" s="198"/>
      <c r="B115" s="199"/>
      <c r="C115" s="219"/>
      <c r="D115" s="278" t="s">
        <v>288</v>
      </c>
      <c r="E115" s="200"/>
      <c r="F115" s="342"/>
      <c r="G115" s="200"/>
      <c r="H115" s="296"/>
      <c r="I115" s="195"/>
    </row>
    <row r="116" spans="1:9" s="260" customFormat="1" ht="12.75" hidden="1" customHeight="1" x14ac:dyDescent="0.3">
      <c r="A116" s="198"/>
      <c r="B116" s="199"/>
      <c r="C116" s="219"/>
      <c r="D116" s="232" t="s">
        <v>257</v>
      </c>
      <c r="E116" s="200"/>
      <c r="F116" s="342"/>
      <c r="G116" s="200"/>
      <c r="H116" s="296"/>
      <c r="I116" s="195"/>
    </row>
    <row r="117" spans="1:9" s="260" customFormat="1" ht="12.75" hidden="1" customHeight="1" x14ac:dyDescent="0.3">
      <c r="A117" s="198"/>
      <c r="B117" s="199"/>
      <c r="C117" s="219"/>
      <c r="D117" s="278" t="s">
        <v>359</v>
      </c>
      <c r="E117" s="200"/>
      <c r="F117" s="342"/>
      <c r="G117" s="200"/>
      <c r="H117" s="259"/>
      <c r="I117" s="332"/>
    </row>
    <row r="118" spans="1:9" s="260" customFormat="1" ht="12.75" customHeight="1" x14ac:dyDescent="0.3">
      <c r="A118" s="194">
        <f>A110+1</f>
        <v>12</v>
      </c>
      <c r="B118" s="195" t="s">
        <v>167</v>
      </c>
      <c r="C118" s="261" t="s">
        <v>426</v>
      </c>
      <c r="D118" s="544" t="str">
        <f>$D$12</f>
        <v>FTE June 2025</v>
      </c>
      <c r="E118" s="197">
        <f>'3345'!I$145</f>
        <v>18014.810000000001</v>
      </c>
      <c r="F118" s="343"/>
      <c r="G118" s="197">
        <f>SUBTOTAL(109,E118:F124)</f>
        <v>18014.810000000001</v>
      </c>
      <c r="H118" s="259"/>
      <c r="I118" s="332"/>
    </row>
    <row r="119" spans="1:9" s="260" customFormat="1" ht="12.75" hidden="1" customHeight="1" x14ac:dyDescent="0.3">
      <c r="A119" s="194"/>
      <c r="B119" s="195"/>
      <c r="C119" s="261"/>
      <c r="D119" s="231" t="s">
        <v>598</v>
      </c>
      <c r="E119" s="197"/>
      <c r="F119" s="343"/>
      <c r="G119" s="197"/>
      <c r="H119" s="259"/>
      <c r="I119" s="332"/>
    </row>
    <row r="120" spans="1:9" s="260" customFormat="1" ht="12.75" hidden="1" customHeight="1" x14ac:dyDescent="0.3">
      <c r="A120" s="194"/>
      <c r="B120" s="195"/>
      <c r="C120" s="261"/>
      <c r="D120" s="231" t="s">
        <v>535</v>
      </c>
      <c r="E120" s="197"/>
      <c r="F120" s="343"/>
      <c r="G120" s="197"/>
      <c r="H120" s="296"/>
      <c r="I120" s="195"/>
    </row>
    <row r="121" spans="1:9" s="260" customFormat="1" ht="12.75" hidden="1" customHeight="1" x14ac:dyDescent="0.3">
      <c r="A121" s="194"/>
      <c r="B121" s="195"/>
      <c r="C121" s="218"/>
      <c r="D121" s="231" t="s">
        <v>279</v>
      </c>
      <c r="E121" s="197"/>
      <c r="F121" s="343"/>
      <c r="G121" s="197"/>
      <c r="H121" s="296"/>
      <c r="I121" s="195"/>
    </row>
    <row r="122" spans="1:9" s="260" customFormat="1" ht="12.75" hidden="1" customHeight="1" x14ac:dyDescent="0.3">
      <c r="A122" s="194"/>
      <c r="B122" s="195"/>
      <c r="C122" s="218"/>
      <c r="D122" s="231" t="s">
        <v>288</v>
      </c>
      <c r="E122" s="197"/>
      <c r="F122" s="343"/>
      <c r="G122" s="197"/>
      <c r="H122" s="259"/>
      <c r="I122" s="230"/>
    </row>
    <row r="123" spans="1:9" s="260" customFormat="1" ht="12.75" hidden="1" customHeight="1" x14ac:dyDescent="0.3">
      <c r="A123" s="194"/>
      <c r="B123" s="195"/>
      <c r="C123" s="218"/>
      <c r="D123" s="231" t="s">
        <v>257</v>
      </c>
      <c r="E123" s="197"/>
      <c r="F123" s="343"/>
      <c r="G123" s="197"/>
      <c r="H123" s="296"/>
      <c r="I123" s="195"/>
    </row>
    <row r="124" spans="1:9" s="260" customFormat="1" ht="12.75" hidden="1" customHeight="1" x14ac:dyDescent="0.3">
      <c r="A124" s="194"/>
      <c r="B124" s="195"/>
      <c r="C124" s="218"/>
      <c r="D124" s="276" t="s">
        <v>359</v>
      </c>
      <c r="E124" s="197"/>
      <c r="F124" s="343"/>
      <c r="G124" s="197"/>
      <c r="H124" s="296"/>
      <c r="I124" s="195"/>
    </row>
    <row r="125" spans="1:9" s="260" customFormat="1" ht="12.75" customHeight="1" x14ac:dyDescent="0.3">
      <c r="A125" s="198">
        <f>A118+1</f>
        <v>13</v>
      </c>
      <c r="B125" s="199" t="s">
        <v>168</v>
      </c>
      <c r="C125" s="219" t="s">
        <v>200</v>
      </c>
      <c r="D125" s="277" t="str">
        <f>$D$12</f>
        <v>FTE June 2025</v>
      </c>
      <c r="E125" s="200">
        <f>'3381'!I$145</f>
        <v>-2236.23</v>
      </c>
      <c r="F125" s="342"/>
      <c r="G125" s="200">
        <f>SUBTOTAL(109,E125:F133)</f>
        <v>-2236.23</v>
      </c>
      <c r="H125" s="296"/>
      <c r="I125" s="195"/>
    </row>
    <row r="126" spans="1:9" s="260" customFormat="1" ht="12.75" hidden="1" customHeight="1" x14ac:dyDescent="0.3">
      <c r="A126" s="198"/>
      <c r="B126" s="199"/>
      <c r="C126" s="219"/>
      <c r="D126" s="232" t="s">
        <v>278</v>
      </c>
      <c r="E126" s="200"/>
      <c r="F126" s="342"/>
      <c r="G126" s="200"/>
      <c r="H126" s="259"/>
      <c r="I126" s="332"/>
    </row>
    <row r="127" spans="1:9" ht="12.75" hidden="1" customHeight="1" x14ac:dyDescent="0.3">
      <c r="A127" s="198"/>
      <c r="B127" s="199"/>
      <c r="C127" s="219"/>
      <c r="D127" s="420" t="s">
        <v>535</v>
      </c>
      <c r="E127" s="200"/>
      <c r="F127" s="342"/>
      <c r="G127" s="200"/>
      <c r="H127" s="297"/>
      <c r="I127" s="195"/>
    </row>
    <row r="128" spans="1:9" s="260" customFormat="1" ht="12.75" hidden="1" customHeight="1" x14ac:dyDescent="0.3">
      <c r="A128" s="198"/>
      <c r="B128" s="199"/>
      <c r="C128" s="219"/>
      <c r="D128" s="232" t="s">
        <v>280</v>
      </c>
      <c r="E128" s="200"/>
      <c r="F128" s="342"/>
      <c r="G128" s="200"/>
      <c r="H128" s="296"/>
      <c r="I128" s="195"/>
    </row>
    <row r="129" spans="1:16" s="260" customFormat="1" ht="12.75" hidden="1" customHeight="1" x14ac:dyDescent="0.3">
      <c r="A129" s="198"/>
      <c r="B129" s="199"/>
      <c r="C129" s="219"/>
      <c r="D129" s="232" t="s">
        <v>279</v>
      </c>
      <c r="E129" s="200"/>
      <c r="F129" s="342"/>
      <c r="G129" s="200"/>
      <c r="H129" s="296"/>
      <c r="I129" s="195"/>
    </row>
    <row r="130" spans="1:16" s="260" customFormat="1" ht="12.75" hidden="1" customHeight="1" x14ac:dyDescent="0.3">
      <c r="A130" s="198"/>
      <c r="B130" s="199"/>
      <c r="C130" s="219"/>
      <c r="D130" s="232" t="s">
        <v>288</v>
      </c>
      <c r="E130" s="200"/>
      <c r="F130" s="342"/>
      <c r="G130" s="200"/>
      <c r="H130" s="296"/>
      <c r="I130" s="195"/>
    </row>
    <row r="131" spans="1:16" s="260" customFormat="1" ht="12.75" hidden="1" customHeight="1" x14ac:dyDescent="0.3">
      <c r="A131" s="198"/>
      <c r="B131" s="199"/>
      <c r="C131" s="219"/>
      <c r="D131" s="232" t="s">
        <v>257</v>
      </c>
      <c r="E131" s="200"/>
      <c r="F131" s="342"/>
      <c r="G131" s="200"/>
      <c r="H131" s="296"/>
      <c r="I131" s="195"/>
    </row>
    <row r="132" spans="1:16" s="260" customFormat="1" ht="12.75" hidden="1" customHeight="1" x14ac:dyDescent="0.3">
      <c r="A132" s="198"/>
      <c r="B132" s="199"/>
      <c r="C132" s="219"/>
      <c r="D132" s="232" t="s">
        <v>387</v>
      </c>
      <c r="E132" s="200"/>
      <c r="F132" s="342"/>
      <c r="G132" s="200"/>
      <c r="H132" s="296"/>
      <c r="I132" s="195"/>
    </row>
    <row r="133" spans="1:16" s="260" customFormat="1" ht="12.75" hidden="1" customHeight="1" x14ac:dyDescent="0.3">
      <c r="A133" s="198"/>
      <c r="B133" s="199"/>
      <c r="C133" s="219"/>
      <c r="D133" s="278" t="s">
        <v>359</v>
      </c>
      <c r="E133" s="200"/>
      <c r="F133" s="342"/>
      <c r="G133" s="200"/>
      <c r="H133" s="259"/>
      <c r="I133" s="332"/>
    </row>
    <row r="134" spans="1:16" s="260" customFormat="1" ht="12.75" customHeight="1" x14ac:dyDescent="0.3">
      <c r="A134" s="194">
        <f>A125+1</f>
        <v>14</v>
      </c>
      <c r="B134" s="195" t="s">
        <v>169</v>
      </c>
      <c r="C134" s="218" t="s">
        <v>202</v>
      </c>
      <c r="D134" s="544" t="str">
        <f>$D$12</f>
        <v>FTE June 2025</v>
      </c>
      <c r="E134" s="197">
        <f>'3382'!I$145</f>
        <v>-47260.88</v>
      </c>
      <c r="F134" s="343"/>
      <c r="G134" s="197">
        <f>SUBTOTAL(109,E134:F142)</f>
        <v>-47260.88</v>
      </c>
      <c r="H134" s="259"/>
      <c r="I134" s="332"/>
    </row>
    <row r="135" spans="1:16" s="260" customFormat="1" ht="12.75" hidden="1" customHeight="1" x14ac:dyDescent="0.3">
      <c r="A135" s="194"/>
      <c r="B135" s="195"/>
      <c r="C135" s="218"/>
      <c r="D135" s="231" t="s">
        <v>598</v>
      </c>
      <c r="E135" s="197"/>
      <c r="F135" s="343"/>
      <c r="G135" s="197"/>
      <c r="H135" s="296"/>
      <c r="I135" s="195"/>
    </row>
    <row r="136" spans="1:16" s="260" customFormat="1" ht="12.75" hidden="1" customHeight="1" x14ac:dyDescent="0.3">
      <c r="A136" s="194"/>
      <c r="B136" s="195"/>
      <c r="C136" s="218"/>
      <c r="D136" s="353" t="s">
        <v>535</v>
      </c>
      <c r="E136" s="197"/>
      <c r="F136" s="343"/>
      <c r="G136" s="197"/>
      <c r="H136" s="296"/>
      <c r="I136" s="195"/>
    </row>
    <row r="137" spans="1:16" s="260" customFormat="1" ht="12.75" hidden="1" customHeight="1" x14ac:dyDescent="0.3">
      <c r="A137" s="194"/>
      <c r="B137" s="195"/>
      <c r="C137" s="218"/>
      <c r="D137" s="231" t="s">
        <v>280</v>
      </c>
      <c r="E137" s="197"/>
      <c r="F137" s="343"/>
      <c r="G137" s="197"/>
      <c r="H137" s="259"/>
      <c r="I137" s="230"/>
    </row>
    <row r="138" spans="1:16" s="260" customFormat="1" ht="12.75" hidden="1" customHeight="1" x14ac:dyDescent="0.3">
      <c r="A138" s="194"/>
      <c r="B138" s="195"/>
      <c r="C138" s="218"/>
      <c r="D138" s="231" t="s">
        <v>279</v>
      </c>
      <c r="E138" s="197"/>
      <c r="F138" s="343"/>
      <c r="G138" s="197"/>
      <c r="H138" s="296"/>
      <c r="I138" s="195"/>
    </row>
    <row r="139" spans="1:16" s="260" customFormat="1" ht="12.75" hidden="1" customHeight="1" x14ac:dyDescent="0.3">
      <c r="A139" s="194"/>
      <c r="B139" s="195"/>
      <c r="C139" s="218"/>
      <c r="D139" s="231" t="s">
        <v>288</v>
      </c>
      <c r="E139" s="197"/>
      <c r="F139" s="343"/>
      <c r="G139" s="197"/>
      <c r="H139" s="296"/>
      <c r="I139" s="195"/>
    </row>
    <row r="140" spans="1:16" s="260" customFormat="1" ht="12.75" hidden="1" customHeight="1" x14ac:dyDescent="0.3">
      <c r="A140" s="194"/>
      <c r="B140" s="195"/>
      <c r="C140" s="218"/>
      <c r="D140" s="231" t="s">
        <v>257</v>
      </c>
      <c r="E140" s="197"/>
      <c r="F140" s="343"/>
      <c r="G140" s="197"/>
      <c r="H140" s="296"/>
      <c r="I140" s="195"/>
    </row>
    <row r="141" spans="1:16" s="260" customFormat="1" ht="12.75" hidden="1" customHeight="1" x14ac:dyDescent="0.3">
      <c r="A141" s="194"/>
      <c r="B141" s="195"/>
      <c r="C141" s="218"/>
      <c r="D141" s="231" t="s">
        <v>358</v>
      </c>
      <c r="E141" s="197"/>
      <c r="F141" s="343"/>
      <c r="G141" s="197"/>
      <c r="H141" s="259"/>
      <c r="I141" s="332"/>
    </row>
    <row r="142" spans="1:16" s="260" customFormat="1" ht="12.75" hidden="1" customHeight="1" x14ac:dyDescent="0.3">
      <c r="A142" s="194"/>
      <c r="B142" s="195"/>
      <c r="C142" s="230"/>
      <c r="D142" s="276" t="s">
        <v>359</v>
      </c>
      <c r="E142" s="197"/>
      <c r="F142" s="343"/>
      <c r="G142" s="197"/>
      <c r="H142" s="259"/>
      <c r="I142" s="334"/>
    </row>
    <row r="143" spans="1:16" ht="12.75" customHeight="1" x14ac:dyDescent="0.3">
      <c r="A143" s="198">
        <f>A134+1</f>
        <v>15</v>
      </c>
      <c r="B143" s="199" t="s">
        <v>170</v>
      </c>
      <c r="C143" s="219" t="s">
        <v>204</v>
      </c>
      <c r="D143" s="277" t="str">
        <f>$D$12</f>
        <v>FTE June 2025</v>
      </c>
      <c r="E143" s="200">
        <v>0</v>
      </c>
      <c r="F143" s="342"/>
      <c r="G143" s="200">
        <f>SUBTOTAL(109,E143:F151)</f>
        <v>0</v>
      </c>
      <c r="H143" s="297"/>
      <c r="I143" s="195"/>
    </row>
    <row r="144" spans="1:16" s="260" customFormat="1" ht="12.75" hidden="1" customHeight="1" x14ac:dyDescent="0.3">
      <c r="A144" s="198"/>
      <c r="B144" s="199"/>
      <c r="C144" s="219"/>
      <c r="D144" s="232" t="s">
        <v>278</v>
      </c>
      <c r="E144" s="200"/>
      <c r="F144" s="342">
        <v>0</v>
      </c>
      <c r="G144" s="200"/>
      <c r="H144" s="296"/>
      <c r="I144" s="195"/>
      <c r="P144" s="333"/>
    </row>
    <row r="145" spans="1:9" s="260" customFormat="1" ht="12.75" hidden="1" customHeight="1" x14ac:dyDescent="0.3">
      <c r="A145" s="198"/>
      <c r="B145" s="199"/>
      <c r="C145" s="219"/>
      <c r="D145" s="232" t="s">
        <v>535</v>
      </c>
      <c r="E145" s="200"/>
      <c r="F145" s="342"/>
      <c r="G145" s="200"/>
      <c r="H145" s="296"/>
      <c r="I145" s="195"/>
    </row>
    <row r="146" spans="1:9" s="260" customFormat="1" ht="12.75" hidden="1" customHeight="1" x14ac:dyDescent="0.3">
      <c r="A146" s="198"/>
      <c r="B146" s="199"/>
      <c r="C146" s="219"/>
      <c r="D146" s="420" t="s">
        <v>395</v>
      </c>
      <c r="E146" s="200"/>
      <c r="F146" s="342"/>
      <c r="G146" s="200"/>
      <c r="H146" s="259"/>
      <c r="I146" s="230"/>
    </row>
    <row r="147" spans="1:9" s="260" customFormat="1" ht="12.75" hidden="1" customHeight="1" x14ac:dyDescent="0.3">
      <c r="A147" s="198"/>
      <c r="B147" s="199"/>
      <c r="C147" s="219"/>
      <c r="D147" s="232" t="s">
        <v>280</v>
      </c>
      <c r="E147" s="200"/>
      <c r="F147" s="342"/>
      <c r="G147" s="200"/>
      <c r="H147" s="296"/>
      <c r="I147" s="195"/>
    </row>
    <row r="148" spans="1:9" s="260" customFormat="1" ht="12.75" hidden="1" customHeight="1" x14ac:dyDescent="0.3">
      <c r="A148" s="198"/>
      <c r="B148" s="199"/>
      <c r="C148" s="219"/>
      <c r="D148" s="232" t="s">
        <v>279</v>
      </c>
      <c r="E148" s="200"/>
      <c r="F148" s="342"/>
      <c r="G148" s="200"/>
      <c r="H148" s="296"/>
      <c r="I148" s="195"/>
    </row>
    <row r="149" spans="1:9" s="260" customFormat="1" ht="12.75" hidden="1" customHeight="1" x14ac:dyDescent="0.3">
      <c r="A149" s="198"/>
      <c r="B149" s="199"/>
      <c r="C149" s="219"/>
      <c r="D149" s="232" t="s">
        <v>288</v>
      </c>
      <c r="E149" s="200"/>
      <c r="F149" s="342"/>
      <c r="G149" s="200"/>
      <c r="H149" s="296"/>
      <c r="I149" s="195"/>
    </row>
    <row r="150" spans="1:9" s="260" customFormat="1" ht="12.75" hidden="1" customHeight="1" x14ac:dyDescent="0.3">
      <c r="A150" s="198"/>
      <c r="B150" s="199"/>
      <c r="C150" s="219"/>
      <c r="D150" s="232" t="s">
        <v>257</v>
      </c>
      <c r="E150" s="200"/>
      <c r="F150" s="342"/>
      <c r="G150" s="200"/>
      <c r="H150" s="259"/>
      <c r="I150" s="332"/>
    </row>
    <row r="151" spans="1:9" s="260" customFormat="1" ht="12.75" hidden="1" customHeight="1" x14ac:dyDescent="0.3">
      <c r="A151" s="198"/>
      <c r="B151" s="199"/>
      <c r="C151" s="219"/>
      <c r="D151" s="278"/>
      <c r="E151" s="200"/>
      <c r="F151" s="342"/>
      <c r="G151" s="200"/>
      <c r="H151" s="296"/>
      <c r="I151" s="332"/>
    </row>
    <row r="152" spans="1:9" ht="12.75" customHeight="1" x14ac:dyDescent="0.3">
      <c r="A152" s="194">
        <f>A143+1</f>
        <v>16</v>
      </c>
      <c r="B152" s="195" t="s">
        <v>171</v>
      </c>
      <c r="C152" s="218" t="s">
        <v>205</v>
      </c>
      <c r="D152" s="544" t="str">
        <f>$D$12</f>
        <v>FTE June 2025</v>
      </c>
      <c r="E152" s="197">
        <f>'3394'!I$145</f>
        <v>-16571.419999999998</v>
      </c>
      <c r="F152" s="343" t="s">
        <v>328</v>
      </c>
      <c r="G152" s="197">
        <f>SUBTOTAL(109,E152:F161)</f>
        <v>-16571.419999999998</v>
      </c>
      <c r="H152" s="297"/>
      <c r="I152" s="195"/>
    </row>
    <row r="153" spans="1:9" s="260" customFormat="1" ht="12.75" hidden="1" customHeight="1" x14ac:dyDescent="0.3">
      <c r="A153" s="194"/>
      <c r="B153" s="195"/>
      <c r="C153" s="218"/>
      <c r="D153" s="231" t="s">
        <v>598</v>
      </c>
      <c r="E153" s="197"/>
      <c r="F153" s="343"/>
      <c r="G153" s="197"/>
      <c r="H153" s="296"/>
      <c r="I153" s="284"/>
    </row>
    <row r="154" spans="1:9" s="260" customFormat="1" ht="12.75" hidden="1" customHeight="1" x14ac:dyDescent="0.3">
      <c r="A154" s="194"/>
      <c r="B154" s="195"/>
      <c r="C154" s="218"/>
      <c r="D154" s="353" t="s">
        <v>535</v>
      </c>
      <c r="E154" s="197"/>
      <c r="F154" s="343"/>
      <c r="G154" s="197"/>
      <c r="H154" s="296"/>
      <c r="I154" s="284"/>
    </row>
    <row r="155" spans="1:9" s="260" customFormat="1" ht="12.75" hidden="1" customHeight="1" x14ac:dyDescent="0.3">
      <c r="A155" s="194"/>
      <c r="B155" s="195"/>
      <c r="C155" s="218"/>
      <c r="D155" s="231" t="s">
        <v>280</v>
      </c>
      <c r="E155" s="197"/>
      <c r="F155" s="343"/>
      <c r="G155" s="197"/>
      <c r="H155" s="259"/>
      <c r="I155" s="230"/>
    </row>
    <row r="156" spans="1:9" s="260" customFormat="1" ht="12.75" hidden="1" customHeight="1" x14ac:dyDescent="0.3">
      <c r="A156" s="194"/>
      <c r="B156" s="195"/>
      <c r="C156" s="218"/>
      <c r="D156" s="231" t="s">
        <v>279</v>
      </c>
      <c r="E156" s="197"/>
      <c r="F156" s="343"/>
      <c r="G156" s="197"/>
      <c r="H156" s="259"/>
      <c r="I156" s="230"/>
    </row>
    <row r="157" spans="1:9" s="260" customFormat="1" ht="12.75" hidden="1" customHeight="1" x14ac:dyDescent="0.3">
      <c r="A157" s="194"/>
      <c r="B157" s="195"/>
      <c r="C157" s="218"/>
      <c r="D157" s="231" t="s">
        <v>288</v>
      </c>
      <c r="E157" s="197"/>
      <c r="F157" s="343"/>
      <c r="G157" s="197"/>
      <c r="H157" s="296"/>
      <c r="I157" s="284"/>
    </row>
    <row r="158" spans="1:9" s="260" customFormat="1" ht="12.75" hidden="1" customHeight="1" x14ac:dyDescent="0.3">
      <c r="A158" s="194"/>
      <c r="B158" s="195"/>
      <c r="C158" s="218"/>
      <c r="D158" s="231" t="s">
        <v>257</v>
      </c>
      <c r="E158" s="197"/>
      <c r="F158" s="343"/>
      <c r="G158" s="197"/>
      <c r="H158" s="296"/>
      <c r="I158" s="284"/>
    </row>
    <row r="159" spans="1:9" s="260" customFormat="1" ht="12.75" hidden="1" customHeight="1" x14ac:dyDescent="0.3">
      <c r="A159" s="194"/>
      <c r="B159" s="195"/>
      <c r="C159" s="218"/>
      <c r="D159" s="231" t="s">
        <v>387</v>
      </c>
      <c r="E159" s="197"/>
      <c r="F159" s="343"/>
      <c r="G159" s="197"/>
      <c r="H159" s="296"/>
      <c r="I159" s="284"/>
    </row>
    <row r="160" spans="1:9" s="260" customFormat="1" ht="12.75" hidden="1" customHeight="1" x14ac:dyDescent="0.3">
      <c r="A160" s="194"/>
      <c r="B160" s="195"/>
      <c r="C160" s="218"/>
      <c r="D160" s="276" t="s">
        <v>608</v>
      </c>
      <c r="E160" s="197"/>
      <c r="F160" s="343"/>
      <c r="G160" s="197"/>
      <c r="H160" s="259"/>
      <c r="I160" s="332"/>
    </row>
    <row r="161" spans="1:9" s="260" customFormat="1" ht="12.75" hidden="1" customHeight="1" x14ac:dyDescent="0.3">
      <c r="A161" s="194"/>
      <c r="B161" s="195"/>
      <c r="C161" s="218"/>
      <c r="D161" s="276" t="s">
        <v>604</v>
      </c>
      <c r="E161" s="197"/>
      <c r="F161" s="343"/>
      <c r="G161" s="197"/>
      <c r="H161" s="259"/>
      <c r="I161" s="332"/>
    </row>
    <row r="162" spans="1:9" s="260" customFormat="1" ht="12.75" customHeight="1" x14ac:dyDescent="0.3">
      <c r="A162" s="198">
        <f>A152+1</f>
        <v>17</v>
      </c>
      <c r="B162" s="199" t="s">
        <v>172</v>
      </c>
      <c r="C162" s="262" t="s">
        <v>286</v>
      </c>
      <c r="D162" s="277" t="str">
        <f>$D$12</f>
        <v>FTE June 2025</v>
      </c>
      <c r="E162" s="200">
        <f>'3395'!I$145</f>
        <v>-30669.84</v>
      </c>
      <c r="F162" s="342"/>
      <c r="G162" s="200">
        <f>SUBTOTAL(109,E162:F170)</f>
        <v>-30669.84</v>
      </c>
      <c r="H162" s="296"/>
      <c r="I162" s="284"/>
    </row>
    <row r="163" spans="1:9" s="260" customFormat="1" ht="12.75" hidden="1" customHeight="1" x14ac:dyDescent="0.3">
      <c r="A163" s="198"/>
      <c r="B163" s="199"/>
      <c r="C163" s="219"/>
      <c r="D163" s="232" t="s">
        <v>278</v>
      </c>
      <c r="E163" s="200"/>
      <c r="F163" s="342"/>
      <c r="G163" s="200"/>
      <c r="H163" s="296"/>
      <c r="I163" s="284"/>
    </row>
    <row r="164" spans="1:9" s="260" customFormat="1" ht="12.75" hidden="1" customHeight="1" x14ac:dyDescent="0.3">
      <c r="A164" s="198"/>
      <c r="B164" s="199"/>
      <c r="C164" s="219"/>
      <c r="D164" s="420" t="s">
        <v>535</v>
      </c>
      <c r="E164" s="200"/>
      <c r="F164" s="342"/>
      <c r="G164" s="200"/>
      <c r="H164" s="259"/>
      <c r="I164" s="230"/>
    </row>
    <row r="165" spans="1:9" s="260" customFormat="1" ht="12.75" hidden="1" customHeight="1" x14ac:dyDescent="0.3">
      <c r="A165" s="198"/>
      <c r="B165" s="199"/>
      <c r="C165" s="219"/>
      <c r="D165" s="232" t="s">
        <v>280</v>
      </c>
      <c r="E165" s="200"/>
      <c r="F165" s="342"/>
      <c r="G165" s="200"/>
      <c r="H165" s="296"/>
      <c r="I165" s="284"/>
    </row>
    <row r="166" spans="1:9" s="260" customFormat="1" ht="12.75" hidden="1" customHeight="1" x14ac:dyDescent="0.3">
      <c r="A166" s="198"/>
      <c r="B166" s="199"/>
      <c r="C166" s="219"/>
      <c r="D166" s="232" t="s">
        <v>279</v>
      </c>
      <c r="E166" s="200"/>
      <c r="F166" s="342"/>
      <c r="G166" s="200"/>
      <c r="H166" s="296"/>
      <c r="I166" s="284"/>
    </row>
    <row r="167" spans="1:9" s="260" customFormat="1" ht="12.75" hidden="1" customHeight="1" x14ac:dyDescent="0.3">
      <c r="A167" s="198"/>
      <c r="B167" s="199"/>
      <c r="C167" s="219"/>
      <c r="D167" s="232" t="s">
        <v>288</v>
      </c>
      <c r="E167" s="200"/>
      <c r="F167" s="342"/>
      <c r="G167" s="200"/>
      <c r="H167" s="296"/>
      <c r="I167" s="284"/>
    </row>
    <row r="168" spans="1:9" s="260" customFormat="1" ht="12.75" hidden="1" customHeight="1" x14ac:dyDescent="0.3">
      <c r="A168" s="198"/>
      <c r="B168" s="199"/>
      <c r="C168" s="219"/>
      <c r="D168" s="232" t="s">
        <v>257</v>
      </c>
      <c r="E168" s="200"/>
      <c r="F168" s="342"/>
      <c r="G168" s="200"/>
      <c r="H168" s="259"/>
      <c r="I168" s="332"/>
    </row>
    <row r="169" spans="1:9" s="260" customFormat="1" ht="12.75" hidden="1" customHeight="1" x14ac:dyDescent="0.3">
      <c r="A169" s="198"/>
      <c r="B169" s="199"/>
      <c r="C169" s="219"/>
      <c r="D169" s="315" t="s">
        <v>615</v>
      </c>
      <c r="E169" s="200"/>
      <c r="F169" s="342"/>
      <c r="G169" s="200"/>
      <c r="H169" s="296"/>
      <c r="I169" s="334"/>
    </row>
    <row r="170" spans="1:9" s="260" customFormat="1" ht="12.75" hidden="1" customHeight="1" x14ac:dyDescent="0.3">
      <c r="A170" s="346"/>
      <c r="B170" s="199"/>
      <c r="C170" s="219"/>
      <c r="D170" s="315"/>
      <c r="E170" s="590"/>
      <c r="F170" s="342"/>
      <c r="G170" s="200"/>
      <c r="H170" s="296"/>
      <c r="I170" s="334"/>
    </row>
    <row r="171" spans="1:9" s="260" customFormat="1" ht="12.75" customHeight="1" x14ac:dyDescent="0.3">
      <c r="A171" s="194">
        <f>A162+1</f>
        <v>18</v>
      </c>
      <c r="B171" s="195" t="s">
        <v>173</v>
      </c>
      <c r="C171" s="261" t="s">
        <v>227</v>
      </c>
      <c r="D171" s="544" t="str">
        <f>$D$12</f>
        <v>FTE June 2025</v>
      </c>
      <c r="E171" s="197">
        <f>'3396'!I$145</f>
        <v>-95042.81</v>
      </c>
      <c r="F171" s="343"/>
      <c r="G171" s="197">
        <f>SUBTOTAL(109,E171:F178)</f>
        <v>-95042.81</v>
      </c>
      <c r="H171" s="296"/>
      <c r="I171" s="284"/>
    </row>
    <row r="172" spans="1:9" s="260" customFormat="1" ht="12.75" hidden="1" customHeight="1" x14ac:dyDescent="0.3">
      <c r="A172" s="194"/>
      <c r="B172" s="195"/>
      <c r="C172" s="261"/>
      <c r="D172" s="231" t="s">
        <v>598</v>
      </c>
      <c r="E172" s="197"/>
      <c r="F172" s="343"/>
      <c r="G172" s="197"/>
      <c r="H172" s="296"/>
      <c r="I172" s="284"/>
    </row>
    <row r="173" spans="1:9" s="260" customFormat="1" ht="12.75" hidden="1" customHeight="1" x14ac:dyDescent="0.3">
      <c r="A173" s="194"/>
      <c r="B173" s="195"/>
      <c r="C173" s="261"/>
      <c r="D173" s="231" t="s">
        <v>535</v>
      </c>
      <c r="E173" s="197"/>
      <c r="F173" s="343"/>
      <c r="G173" s="197"/>
      <c r="H173" s="296"/>
      <c r="I173" s="284"/>
    </row>
    <row r="174" spans="1:9" s="260" customFormat="1" ht="12.75" hidden="1" customHeight="1" x14ac:dyDescent="0.3">
      <c r="A174" s="194"/>
      <c r="B174" s="195"/>
      <c r="C174" s="261"/>
      <c r="D174" s="231" t="s">
        <v>279</v>
      </c>
      <c r="E174" s="197"/>
      <c r="F174" s="343"/>
      <c r="G174" s="197"/>
      <c r="H174" s="259"/>
      <c r="I174" s="230"/>
    </row>
    <row r="175" spans="1:9" s="260" customFormat="1" ht="12.75" hidden="1" customHeight="1" x14ac:dyDescent="0.3">
      <c r="A175" s="194"/>
      <c r="B175" s="195"/>
      <c r="C175" s="261"/>
      <c r="D175" s="231" t="s">
        <v>288</v>
      </c>
      <c r="E175" s="197"/>
      <c r="F175" s="343"/>
      <c r="G175" s="197"/>
      <c r="H175" s="296"/>
      <c r="I175" s="284"/>
    </row>
    <row r="176" spans="1:9" s="260" customFormat="1" ht="12.75" hidden="1" customHeight="1" x14ac:dyDescent="0.3">
      <c r="A176" s="194"/>
      <c r="B176" s="195"/>
      <c r="C176" s="218"/>
      <c r="D176" s="231" t="s">
        <v>257</v>
      </c>
      <c r="E176" s="197"/>
      <c r="F176" s="343"/>
      <c r="G176" s="197"/>
      <c r="H176" s="296"/>
      <c r="I176" s="284"/>
    </row>
    <row r="177" spans="1:11" s="260" customFormat="1" ht="12.75" hidden="1" customHeight="1" x14ac:dyDescent="0.3">
      <c r="A177" s="194"/>
      <c r="B177" s="195"/>
      <c r="C177" s="218"/>
      <c r="D177" s="231" t="s">
        <v>387</v>
      </c>
      <c r="E177" s="197"/>
      <c r="F177" s="343"/>
      <c r="G177" s="197"/>
      <c r="H177" s="296"/>
      <c r="I177" s="284"/>
    </row>
    <row r="178" spans="1:11" s="260" customFormat="1" ht="12.75" hidden="1" customHeight="1" x14ac:dyDescent="0.3">
      <c r="A178" s="194"/>
      <c r="B178" s="195"/>
      <c r="C178" s="218"/>
      <c r="D178" s="276" t="s">
        <v>359</v>
      </c>
      <c r="E178" s="197"/>
      <c r="F178" s="343"/>
      <c r="G178" s="197"/>
      <c r="H178" s="259"/>
      <c r="I178" s="332"/>
    </row>
    <row r="179" spans="1:11" s="260" customFormat="1" ht="12.75" customHeight="1" x14ac:dyDescent="0.3">
      <c r="A179" s="198">
        <f>A171+1</f>
        <v>19</v>
      </c>
      <c r="B179" s="199" t="s">
        <v>174</v>
      </c>
      <c r="C179" s="219" t="s">
        <v>195</v>
      </c>
      <c r="D179" s="277" t="str">
        <f>$D$12</f>
        <v>FTE June 2025</v>
      </c>
      <c r="E179" s="200">
        <f>'3398'!I$145</f>
        <v>10301.35</v>
      </c>
      <c r="F179" s="342"/>
      <c r="G179" s="200">
        <f>SUBTOTAL(109,E179:F185)</f>
        <v>10301.35</v>
      </c>
      <c r="H179" s="296"/>
      <c r="I179" s="334"/>
    </row>
    <row r="180" spans="1:11" ht="12.75" hidden="1" customHeight="1" x14ac:dyDescent="0.3">
      <c r="A180" s="198"/>
      <c r="B180" s="199"/>
      <c r="C180" s="219"/>
      <c r="D180" s="232" t="s">
        <v>278</v>
      </c>
      <c r="E180" s="200"/>
      <c r="F180" s="342"/>
      <c r="G180" s="200"/>
      <c r="H180" s="297"/>
      <c r="I180" s="347"/>
    </row>
    <row r="181" spans="1:11" s="260" customFormat="1" ht="12.75" hidden="1" customHeight="1" x14ac:dyDescent="0.3">
      <c r="A181" s="198"/>
      <c r="B181" s="199"/>
      <c r="C181" s="219"/>
      <c r="D181" s="232" t="s">
        <v>535</v>
      </c>
      <c r="E181" s="200"/>
      <c r="F181" s="342"/>
      <c r="G181" s="200"/>
      <c r="H181" s="296"/>
      <c r="I181" s="284"/>
      <c r="K181" s="333"/>
    </row>
    <row r="182" spans="1:11" s="260" customFormat="1" ht="12.75" hidden="1" customHeight="1" x14ac:dyDescent="0.3">
      <c r="A182" s="198"/>
      <c r="B182" s="199"/>
      <c r="C182" s="219"/>
      <c r="D182" s="232" t="s">
        <v>279</v>
      </c>
      <c r="E182" s="200"/>
      <c r="F182" s="342"/>
      <c r="G182" s="200"/>
      <c r="H182" s="296"/>
      <c r="I182" s="284"/>
    </row>
    <row r="183" spans="1:11" s="260" customFormat="1" ht="12.75" hidden="1" customHeight="1" x14ac:dyDescent="0.3">
      <c r="A183" s="198"/>
      <c r="B183" s="199"/>
      <c r="C183" s="228"/>
      <c r="D183" s="232" t="s">
        <v>288</v>
      </c>
      <c r="E183" s="200"/>
      <c r="F183" s="342"/>
      <c r="G183" s="200"/>
      <c r="H183" s="296"/>
    </row>
    <row r="184" spans="1:11" s="260" customFormat="1" ht="12.75" hidden="1" customHeight="1" x14ac:dyDescent="0.3">
      <c r="A184" s="198"/>
      <c r="B184" s="199"/>
      <c r="C184" s="219"/>
      <c r="D184" s="232" t="s">
        <v>257</v>
      </c>
      <c r="E184" s="200"/>
      <c r="F184" s="342"/>
      <c r="G184" s="200"/>
      <c r="H184" s="296"/>
    </row>
    <row r="185" spans="1:11" s="260" customFormat="1" ht="12.75" hidden="1" customHeight="1" x14ac:dyDescent="0.3">
      <c r="A185" s="198"/>
      <c r="B185" s="199"/>
      <c r="C185" s="228"/>
      <c r="D185" s="278" t="s">
        <v>359</v>
      </c>
      <c r="E185" s="200"/>
      <c r="F185" s="342"/>
      <c r="G185" s="200"/>
      <c r="H185" s="296"/>
    </row>
    <row r="186" spans="1:11" s="260" customFormat="1" ht="12.75" customHeight="1" x14ac:dyDescent="0.3">
      <c r="A186" s="194">
        <f>A179+1</f>
        <v>20</v>
      </c>
      <c r="B186" s="195" t="s">
        <v>175</v>
      </c>
      <c r="C186" s="218" t="s">
        <v>189</v>
      </c>
      <c r="D186" s="544" t="str">
        <f>$D$12</f>
        <v>FTE June 2025</v>
      </c>
      <c r="E186" s="197">
        <f>'3400'!I$145</f>
        <v>46433.98</v>
      </c>
      <c r="F186" s="343"/>
      <c r="G186" s="197">
        <f>SUBTOTAL(109,E186:F193)</f>
        <v>46433.98</v>
      </c>
      <c r="H186" s="259"/>
      <c r="I186" s="332"/>
    </row>
    <row r="187" spans="1:11" s="260" customFormat="1" ht="12.75" hidden="1" customHeight="1" x14ac:dyDescent="0.3">
      <c r="A187" s="194"/>
      <c r="B187" s="195"/>
      <c r="C187" s="218"/>
      <c r="D187" s="231" t="s">
        <v>598</v>
      </c>
      <c r="E187" s="197"/>
      <c r="F187" s="343"/>
      <c r="G187" s="197"/>
      <c r="H187" s="296"/>
      <c r="I187" s="334"/>
    </row>
    <row r="188" spans="1:11" s="260" customFormat="1" ht="12.75" hidden="1" customHeight="1" x14ac:dyDescent="0.3">
      <c r="A188" s="194"/>
      <c r="B188" s="195"/>
      <c r="C188" s="218"/>
      <c r="D188" s="353" t="s">
        <v>535</v>
      </c>
      <c r="E188" s="197"/>
      <c r="F188" s="343"/>
      <c r="G188" s="197"/>
      <c r="H188" s="296"/>
      <c r="I188" s="284"/>
    </row>
    <row r="189" spans="1:11" s="260" customFormat="1" ht="12.75" hidden="1" customHeight="1" x14ac:dyDescent="0.3">
      <c r="A189" s="194"/>
      <c r="B189" s="195"/>
      <c r="C189" s="218"/>
      <c r="D189" s="231" t="s">
        <v>280</v>
      </c>
      <c r="E189" s="197"/>
      <c r="F189" s="343"/>
      <c r="G189" s="197"/>
      <c r="H189" s="296"/>
      <c r="I189" s="284"/>
    </row>
    <row r="190" spans="1:11" s="260" customFormat="1" ht="12.75" hidden="1" customHeight="1" x14ac:dyDescent="0.3">
      <c r="A190" s="194"/>
      <c r="B190" s="195"/>
      <c r="C190" s="218"/>
      <c r="D190" s="231" t="s">
        <v>279</v>
      </c>
      <c r="E190" s="197"/>
      <c r="F190" s="343"/>
      <c r="G190" s="197"/>
      <c r="H190" s="296"/>
      <c r="I190" s="284"/>
    </row>
    <row r="191" spans="1:11" s="260" customFormat="1" ht="12.75" hidden="1" customHeight="1" x14ac:dyDescent="0.3">
      <c r="A191" s="194"/>
      <c r="B191" s="195"/>
      <c r="C191" s="218"/>
      <c r="D191" s="231" t="s">
        <v>288</v>
      </c>
      <c r="E191" s="197"/>
      <c r="F191" s="343"/>
      <c r="G191" s="197"/>
      <c r="H191" s="296"/>
    </row>
    <row r="192" spans="1:11" s="260" customFormat="1" ht="12.75" hidden="1" customHeight="1" x14ac:dyDescent="0.3">
      <c r="A192" s="194"/>
      <c r="B192" s="195"/>
      <c r="C192" s="218"/>
      <c r="D192" s="231" t="s">
        <v>257</v>
      </c>
      <c r="E192" s="197"/>
      <c r="F192" s="343"/>
      <c r="G192" s="197"/>
      <c r="H192" s="296"/>
      <c r="I192" s="188"/>
    </row>
    <row r="193" spans="1:9" ht="12.75" hidden="1" customHeight="1" x14ac:dyDescent="0.3">
      <c r="A193" s="194"/>
      <c r="B193" s="195"/>
      <c r="C193" s="218"/>
      <c r="D193" s="276" t="s">
        <v>359</v>
      </c>
      <c r="E193" s="197"/>
      <c r="F193" s="343"/>
      <c r="G193" s="197"/>
      <c r="H193" s="297"/>
    </row>
    <row r="194" spans="1:9" s="260" customFormat="1" ht="12.75" customHeight="1" x14ac:dyDescent="0.3">
      <c r="A194" s="198">
        <f>A186+1</f>
        <v>21</v>
      </c>
      <c r="B194" s="199" t="s">
        <v>176</v>
      </c>
      <c r="C194" s="219" t="s">
        <v>206</v>
      </c>
      <c r="D194" s="277" t="str">
        <f>$D$12</f>
        <v>FTE June 2025</v>
      </c>
      <c r="E194" s="200">
        <f>'3401'!I$145</f>
        <v>76861.53</v>
      </c>
      <c r="F194" s="342"/>
      <c r="G194" s="200">
        <f>SUBTOTAL(109,E194:F204)</f>
        <v>76861.53</v>
      </c>
      <c r="H194" s="259"/>
      <c r="I194" s="332"/>
    </row>
    <row r="195" spans="1:9" ht="12.75" hidden="1" customHeight="1" x14ac:dyDescent="0.3">
      <c r="A195" s="198"/>
      <c r="B195" s="199"/>
      <c r="C195" s="219"/>
      <c r="D195" s="232" t="s">
        <v>278</v>
      </c>
      <c r="E195" s="200"/>
      <c r="F195" s="342"/>
      <c r="G195" s="200"/>
      <c r="H195" s="297"/>
      <c r="I195" s="284"/>
    </row>
    <row r="196" spans="1:9" s="260" customFormat="1" ht="12.75" hidden="1" customHeight="1" x14ac:dyDescent="0.3">
      <c r="A196" s="198"/>
      <c r="B196" s="199"/>
      <c r="C196" s="219"/>
      <c r="D196" s="420" t="s">
        <v>535</v>
      </c>
      <c r="E196" s="200"/>
      <c r="F196" s="342"/>
      <c r="G196" s="200"/>
      <c r="H196" s="296"/>
      <c r="I196" s="284"/>
    </row>
    <row r="197" spans="1:9" s="260" customFormat="1" ht="12.75" hidden="1" customHeight="1" x14ac:dyDescent="0.3">
      <c r="A197" s="198"/>
      <c r="B197" s="199"/>
      <c r="C197" s="219"/>
      <c r="D197" s="232" t="s">
        <v>397</v>
      </c>
      <c r="E197" s="200"/>
      <c r="F197" s="342"/>
      <c r="G197" s="200"/>
      <c r="H197" s="296"/>
      <c r="I197" s="284"/>
    </row>
    <row r="198" spans="1:9" s="260" customFormat="1" ht="12.75" hidden="1" customHeight="1" x14ac:dyDescent="0.3">
      <c r="A198" s="198"/>
      <c r="B198" s="199"/>
      <c r="C198" s="219"/>
      <c r="D198" s="232" t="s">
        <v>398</v>
      </c>
      <c r="E198" s="200"/>
      <c r="F198" s="342"/>
      <c r="G198" s="200"/>
      <c r="H198" s="259"/>
      <c r="I198" s="230"/>
    </row>
    <row r="199" spans="1:9" s="260" customFormat="1" ht="12.75" hidden="1" customHeight="1" x14ac:dyDescent="0.3">
      <c r="A199" s="198"/>
      <c r="B199" s="199"/>
      <c r="C199" s="219"/>
      <c r="D199" s="232" t="s">
        <v>280</v>
      </c>
      <c r="E199" s="200"/>
      <c r="F199" s="342"/>
      <c r="G199" s="200"/>
      <c r="H199" s="296"/>
    </row>
    <row r="200" spans="1:9" s="260" customFormat="1" ht="12.75" hidden="1" customHeight="1" x14ac:dyDescent="0.3">
      <c r="A200" s="198"/>
      <c r="B200" s="199"/>
      <c r="C200" s="219"/>
      <c r="D200" s="232" t="s">
        <v>279</v>
      </c>
      <c r="E200" s="200"/>
      <c r="F200" s="342"/>
      <c r="G200" s="200"/>
      <c r="H200" s="296"/>
    </row>
    <row r="201" spans="1:9" s="260" customFormat="1" ht="12.75" hidden="1" customHeight="1" x14ac:dyDescent="0.3">
      <c r="A201" s="198"/>
      <c r="B201" s="199"/>
      <c r="C201" s="219"/>
      <c r="D201" s="232" t="s">
        <v>288</v>
      </c>
      <c r="E201" s="200"/>
      <c r="F201" s="342"/>
      <c r="G201" s="200"/>
      <c r="H201" s="296"/>
      <c r="I201" s="195"/>
    </row>
    <row r="202" spans="1:9" s="260" customFormat="1" ht="12.75" hidden="1" customHeight="1" x14ac:dyDescent="0.3">
      <c r="A202" s="198"/>
      <c r="B202" s="199"/>
      <c r="C202" s="219"/>
      <c r="D202" s="232" t="s">
        <v>257</v>
      </c>
      <c r="E202" s="200"/>
      <c r="F202" s="342"/>
      <c r="G202" s="200"/>
      <c r="H202" s="259"/>
      <c r="I202" s="332"/>
    </row>
    <row r="203" spans="1:9" s="260" customFormat="1" ht="12.75" hidden="1" customHeight="1" x14ac:dyDescent="0.3">
      <c r="A203" s="198"/>
      <c r="B203" s="199"/>
      <c r="C203" s="228"/>
      <c r="D203" s="315" t="s">
        <v>388</v>
      </c>
      <c r="E203" s="200"/>
      <c r="F203" s="342"/>
      <c r="G203" s="200"/>
      <c r="H203" s="259"/>
      <c r="I203" s="332"/>
    </row>
    <row r="204" spans="1:9" s="260" customFormat="1" ht="12.75" hidden="1" customHeight="1" x14ac:dyDescent="0.3">
      <c r="A204" s="198"/>
      <c r="B204" s="199"/>
      <c r="C204" s="219"/>
      <c r="D204" s="278" t="s">
        <v>359</v>
      </c>
      <c r="E204" s="200"/>
      <c r="F204" s="342"/>
      <c r="G204" s="200"/>
      <c r="H204" s="296"/>
      <c r="I204" s="195"/>
    </row>
    <row r="205" spans="1:9" s="260" customFormat="1" ht="12.75" customHeight="1" x14ac:dyDescent="0.3">
      <c r="A205" s="194">
        <f>A194+1</f>
        <v>22</v>
      </c>
      <c r="B205" s="195" t="s">
        <v>177</v>
      </c>
      <c r="C205" s="218" t="s">
        <v>207</v>
      </c>
      <c r="D205" s="544" t="str">
        <f>$D$12</f>
        <v>FTE June 2025</v>
      </c>
      <c r="E205" s="197">
        <f>'3413'!I$145</f>
        <v>-5440.91</v>
      </c>
      <c r="F205" s="343"/>
      <c r="G205" s="197">
        <f>SUBTOTAL(109,E205:F212)</f>
        <v>-5440.91</v>
      </c>
      <c r="H205" s="296"/>
      <c r="I205" s="195"/>
    </row>
    <row r="206" spans="1:9" s="260" customFormat="1" ht="12.75" hidden="1" customHeight="1" x14ac:dyDescent="0.3">
      <c r="A206" s="194"/>
      <c r="B206" s="195"/>
      <c r="C206" s="218"/>
      <c r="D206" s="231" t="s">
        <v>598</v>
      </c>
      <c r="E206" s="197"/>
      <c r="F206" s="343"/>
      <c r="G206" s="197"/>
      <c r="H206" s="296"/>
      <c r="I206" s="195"/>
    </row>
    <row r="207" spans="1:9" s="260" customFormat="1" ht="12.75" hidden="1" customHeight="1" x14ac:dyDescent="0.3">
      <c r="A207" s="194"/>
      <c r="B207" s="195"/>
      <c r="C207" s="218"/>
      <c r="D207" s="353" t="s">
        <v>535</v>
      </c>
      <c r="E207" s="197"/>
      <c r="F207" s="343"/>
      <c r="G207" s="197"/>
      <c r="H207" s="296"/>
      <c r="I207" s="195"/>
    </row>
    <row r="208" spans="1:9" s="260" customFormat="1" ht="12.75" hidden="1" customHeight="1" x14ac:dyDescent="0.3">
      <c r="A208" s="194"/>
      <c r="B208" s="195"/>
      <c r="C208" s="218"/>
      <c r="D208" s="231" t="s">
        <v>280</v>
      </c>
      <c r="E208" s="197"/>
      <c r="F208" s="343"/>
      <c r="G208" s="197"/>
      <c r="H208" s="296"/>
      <c r="I208" s="195"/>
    </row>
    <row r="209" spans="1:9" s="260" customFormat="1" ht="12.75" hidden="1" customHeight="1" x14ac:dyDescent="0.3">
      <c r="A209" s="194"/>
      <c r="B209" s="195"/>
      <c r="C209" s="218"/>
      <c r="D209" s="231" t="s">
        <v>279</v>
      </c>
      <c r="E209" s="197"/>
      <c r="F209" s="343"/>
      <c r="G209" s="197"/>
      <c r="H209" s="296"/>
      <c r="I209" s="195"/>
    </row>
    <row r="210" spans="1:9" s="260" customFormat="1" ht="12.75" hidden="1" customHeight="1" x14ac:dyDescent="0.3">
      <c r="A210" s="194"/>
      <c r="B210" s="195"/>
      <c r="C210" s="218"/>
      <c r="D210" s="231" t="s">
        <v>288</v>
      </c>
      <c r="E210" s="197"/>
      <c r="F210" s="343"/>
      <c r="G210" s="197"/>
      <c r="H210" s="296"/>
      <c r="I210" s="195"/>
    </row>
    <row r="211" spans="1:9" s="260" customFormat="1" ht="12.75" hidden="1" customHeight="1" x14ac:dyDescent="0.3">
      <c r="A211" s="194"/>
      <c r="B211" s="195"/>
      <c r="C211" s="218"/>
      <c r="D211" s="231" t="s">
        <v>257</v>
      </c>
      <c r="E211" s="197"/>
      <c r="F211" s="343"/>
      <c r="G211" s="197"/>
      <c r="H211" s="296"/>
      <c r="I211" s="195"/>
    </row>
    <row r="212" spans="1:9" s="260" customFormat="1" ht="12.75" hidden="1" customHeight="1" x14ac:dyDescent="0.3">
      <c r="A212" s="194"/>
      <c r="B212" s="195"/>
      <c r="C212" s="218"/>
      <c r="D212" s="276" t="s">
        <v>359</v>
      </c>
      <c r="E212" s="197"/>
      <c r="F212" s="343"/>
      <c r="G212" s="197"/>
      <c r="H212" s="259"/>
      <c r="I212" s="332"/>
    </row>
    <row r="213" spans="1:9" s="260" customFormat="1" ht="12.75" customHeight="1" x14ac:dyDescent="0.3">
      <c r="A213" s="198">
        <f>A205+1</f>
        <v>23</v>
      </c>
      <c r="B213" s="199" t="s">
        <v>178</v>
      </c>
      <c r="C213" s="219" t="s">
        <v>208</v>
      </c>
      <c r="D213" s="277" t="str">
        <f>$D$12</f>
        <v>FTE June 2025</v>
      </c>
      <c r="E213" s="200">
        <f>'3421'!I$145</f>
        <v>340563.09</v>
      </c>
      <c r="F213" s="342"/>
      <c r="G213" s="200">
        <f>SUBTOTAL(109,E213:F223)</f>
        <v>340563.09</v>
      </c>
      <c r="H213" s="296"/>
      <c r="I213" s="337"/>
    </row>
    <row r="214" spans="1:9" s="260" customFormat="1" ht="12.75" hidden="1" customHeight="1" x14ac:dyDescent="0.3">
      <c r="A214" s="198"/>
      <c r="B214" s="199"/>
      <c r="C214" s="219"/>
      <c r="D214" s="232" t="s">
        <v>278</v>
      </c>
      <c r="E214" s="200"/>
      <c r="F214" s="342"/>
      <c r="G214" s="200"/>
      <c r="H214" s="259"/>
      <c r="I214" s="332"/>
    </row>
    <row r="215" spans="1:9" s="260" customFormat="1" ht="12.75" hidden="1" customHeight="1" x14ac:dyDescent="0.3">
      <c r="A215" s="198"/>
      <c r="B215" s="199"/>
      <c r="C215" s="219"/>
      <c r="D215" s="420" t="s">
        <v>409</v>
      </c>
      <c r="E215" s="200"/>
      <c r="F215" s="342"/>
      <c r="G215" s="200"/>
      <c r="H215" s="296"/>
      <c r="I215" s="195"/>
    </row>
    <row r="216" spans="1:9" s="260" customFormat="1" ht="12.75" hidden="1" customHeight="1" x14ac:dyDescent="0.3">
      <c r="A216" s="198"/>
      <c r="B216" s="199"/>
      <c r="C216" s="219"/>
      <c r="D216" s="232" t="s">
        <v>397</v>
      </c>
      <c r="E216" s="200"/>
      <c r="F216" s="342"/>
      <c r="G216" s="200"/>
      <c r="H216" s="296"/>
      <c r="I216" s="195"/>
    </row>
    <row r="217" spans="1:9" s="260" customFormat="1" ht="12.75" hidden="1" customHeight="1" x14ac:dyDescent="0.3">
      <c r="A217" s="198"/>
      <c r="B217" s="199"/>
      <c r="C217" s="219"/>
      <c r="D217" s="232" t="s">
        <v>398</v>
      </c>
      <c r="E217" s="200"/>
      <c r="F217" s="342"/>
      <c r="G217" s="200"/>
      <c r="H217" s="259"/>
      <c r="I217" s="230"/>
    </row>
    <row r="218" spans="1:9" s="260" customFormat="1" ht="12.75" hidden="1" customHeight="1" x14ac:dyDescent="0.3">
      <c r="A218" s="198"/>
      <c r="B218" s="199"/>
      <c r="C218" s="219"/>
      <c r="D218" s="232" t="s">
        <v>280</v>
      </c>
      <c r="E218" s="200"/>
      <c r="F218" s="342"/>
      <c r="G218" s="200"/>
      <c r="H218" s="296"/>
    </row>
    <row r="219" spans="1:9" s="260" customFormat="1" ht="12.75" hidden="1" customHeight="1" x14ac:dyDescent="0.3">
      <c r="A219" s="198"/>
      <c r="B219" s="199"/>
      <c r="C219" s="219"/>
      <c r="D219" s="232" t="s">
        <v>279</v>
      </c>
      <c r="E219" s="200"/>
      <c r="F219" s="342"/>
      <c r="G219" s="200"/>
      <c r="H219" s="296"/>
    </row>
    <row r="220" spans="1:9" s="260" customFormat="1" ht="12.75" hidden="1" customHeight="1" x14ac:dyDescent="0.3">
      <c r="A220" s="198"/>
      <c r="B220" s="199"/>
      <c r="C220" s="219"/>
      <c r="D220" s="232" t="s">
        <v>288</v>
      </c>
      <c r="E220" s="200"/>
      <c r="F220" s="342"/>
      <c r="G220" s="200"/>
      <c r="H220" s="296"/>
    </row>
    <row r="221" spans="1:9" s="260" customFormat="1" ht="12.75" hidden="1" customHeight="1" x14ac:dyDescent="0.3">
      <c r="A221" s="198"/>
      <c r="B221" s="199"/>
      <c r="C221" s="219"/>
      <c r="D221" s="232" t="s">
        <v>257</v>
      </c>
      <c r="E221" s="200"/>
      <c r="F221" s="342"/>
      <c r="G221" s="200"/>
      <c r="H221" s="259"/>
      <c r="I221" s="332"/>
    </row>
    <row r="222" spans="1:9" s="260" customFormat="1" ht="12.75" hidden="1" customHeight="1" x14ac:dyDescent="0.3">
      <c r="A222" s="198"/>
      <c r="B222" s="199"/>
      <c r="C222" s="228"/>
      <c r="D222" s="315" t="s">
        <v>388</v>
      </c>
      <c r="E222" s="200"/>
      <c r="F222" s="342"/>
      <c r="G222" s="200"/>
      <c r="H222" s="259"/>
      <c r="I222" s="332"/>
    </row>
    <row r="223" spans="1:9" s="260" customFormat="1" ht="12.75" hidden="1" customHeight="1" x14ac:dyDescent="0.3">
      <c r="A223" s="198"/>
      <c r="B223" s="199"/>
      <c r="C223" s="219"/>
      <c r="D223" s="278" t="s">
        <v>359</v>
      </c>
      <c r="E223" s="200"/>
      <c r="F223" s="342"/>
      <c r="G223" s="200"/>
      <c r="H223" s="296"/>
    </row>
    <row r="224" spans="1:9" s="260" customFormat="1" ht="12.75" customHeight="1" x14ac:dyDescent="0.3">
      <c r="A224" s="194">
        <f>A213+1</f>
        <v>24</v>
      </c>
      <c r="B224" s="195" t="s">
        <v>179</v>
      </c>
      <c r="C224" s="218" t="s">
        <v>210</v>
      </c>
      <c r="D224" s="544" t="str">
        <f>$D$12</f>
        <v>FTE June 2025</v>
      </c>
      <c r="E224" s="197">
        <f>'3431'!I$145</f>
        <v>-140471.45000000001</v>
      </c>
      <c r="F224" s="343"/>
      <c r="G224" s="197">
        <f>SUBTOTAL(109,E224:F233)</f>
        <v>-140471.45000000001</v>
      </c>
      <c r="H224" s="296"/>
    </row>
    <row r="225" spans="1:9" s="260" customFormat="1" ht="12.75" hidden="1" customHeight="1" x14ac:dyDescent="0.3">
      <c r="A225" s="194"/>
      <c r="B225" s="195"/>
      <c r="C225" s="218"/>
      <c r="D225" s="231" t="s">
        <v>598</v>
      </c>
      <c r="E225" s="197"/>
      <c r="F225" s="343"/>
      <c r="G225" s="197"/>
      <c r="H225" s="296"/>
      <c r="I225" s="195"/>
    </row>
    <row r="226" spans="1:9" s="260" customFormat="1" ht="12.75" hidden="1" customHeight="1" x14ac:dyDescent="0.3">
      <c r="A226" s="194"/>
      <c r="B226" s="195"/>
      <c r="C226" s="218"/>
      <c r="D226" s="353" t="s">
        <v>535</v>
      </c>
      <c r="E226" s="197"/>
      <c r="F226" s="343"/>
      <c r="G226" s="197"/>
      <c r="H226" s="296"/>
      <c r="I226" s="195"/>
    </row>
    <row r="227" spans="1:9" s="260" customFormat="1" ht="12.75" hidden="1" customHeight="1" x14ac:dyDescent="0.3">
      <c r="A227" s="194"/>
      <c r="B227" s="195"/>
      <c r="C227" s="218"/>
      <c r="D227" s="231" t="s">
        <v>280</v>
      </c>
      <c r="E227" s="197"/>
      <c r="F227" s="343"/>
      <c r="G227" s="197"/>
      <c r="H227" s="296"/>
      <c r="I227" s="195"/>
    </row>
    <row r="228" spans="1:9" s="260" customFormat="1" ht="12.75" hidden="1" customHeight="1" x14ac:dyDescent="0.3">
      <c r="A228" s="194"/>
      <c r="B228" s="195"/>
      <c r="C228" s="218"/>
      <c r="D228" s="231" t="s">
        <v>378</v>
      </c>
      <c r="E228" s="197"/>
      <c r="F228" s="343"/>
      <c r="G228" s="197"/>
      <c r="H228" s="296"/>
    </row>
    <row r="229" spans="1:9" s="260" customFormat="1" ht="12.75" hidden="1" customHeight="1" x14ac:dyDescent="0.3">
      <c r="A229" s="194"/>
      <c r="B229" s="195"/>
      <c r="C229" s="218"/>
      <c r="D229" s="231" t="s">
        <v>288</v>
      </c>
      <c r="E229" s="197"/>
      <c r="F229" s="343"/>
      <c r="G229" s="197"/>
      <c r="H229" s="296"/>
      <c r="I229" s="195"/>
    </row>
    <row r="230" spans="1:9" s="260" customFormat="1" ht="12.75" hidden="1" customHeight="1" x14ac:dyDescent="0.3">
      <c r="A230" s="194"/>
      <c r="B230" s="195"/>
      <c r="C230" s="218"/>
      <c r="D230" s="231" t="s">
        <v>257</v>
      </c>
      <c r="E230" s="197"/>
      <c r="F230" s="343"/>
      <c r="G230" s="197"/>
      <c r="H230" s="296"/>
    </row>
    <row r="231" spans="1:9" s="260" customFormat="1" ht="12.75" hidden="1" customHeight="1" x14ac:dyDescent="0.3">
      <c r="A231" s="194"/>
      <c r="B231" s="195"/>
      <c r="C231" s="218"/>
      <c r="D231" s="231" t="s">
        <v>302</v>
      </c>
      <c r="E231" s="197"/>
      <c r="F231" s="343"/>
      <c r="G231" s="197"/>
      <c r="H231" s="259"/>
      <c r="I231" s="332"/>
    </row>
    <row r="232" spans="1:9" s="260" customFormat="1" ht="12.75" hidden="1" customHeight="1" x14ac:dyDescent="0.3">
      <c r="A232" s="194"/>
      <c r="B232" s="195"/>
      <c r="C232" s="230"/>
      <c r="D232" s="354" t="s">
        <v>388</v>
      </c>
      <c r="E232" s="197"/>
      <c r="F232" s="343"/>
      <c r="G232" s="197"/>
      <c r="H232" s="296"/>
      <c r="I232" s="337"/>
    </row>
    <row r="233" spans="1:9" s="260" customFormat="1" ht="12.75" hidden="1" customHeight="1" x14ac:dyDescent="0.3">
      <c r="A233" s="194"/>
      <c r="B233" s="195"/>
      <c r="C233" s="218"/>
      <c r="D233" s="276" t="s">
        <v>391</v>
      </c>
      <c r="E233" s="197"/>
      <c r="F233" s="343"/>
      <c r="G233" s="197"/>
      <c r="H233" s="259"/>
      <c r="I233" s="332"/>
    </row>
    <row r="234" spans="1:9" s="260" customFormat="1" ht="12.75" customHeight="1" x14ac:dyDescent="0.3">
      <c r="A234" s="198">
        <f>A224+1</f>
        <v>25</v>
      </c>
      <c r="B234" s="199">
        <v>3441</v>
      </c>
      <c r="C234" s="262" t="s">
        <v>228</v>
      </c>
      <c r="D234" s="277" t="str">
        <f>$D$12</f>
        <v>FTE June 2025</v>
      </c>
      <c r="E234" s="200">
        <f>'3441'!I$145</f>
        <v>-26501.95</v>
      </c>
      <c r="F234" s="342"/>
      <c r="G234" s="200">
        <f>SUBTOTAL(109,E234:F242)</f>
        <v>-26501.95</v>
      </c>
      <c r="H234" s="296"/>
    </row>
    <row r="235" spans="1:9" s="260" customFormat="1" ht="12.75" hidden="1" customHeight="1" x14ac:dyDescent="0.3">
      <c r="A235" s="198"/>
      <c r="B235" s="199"/>
      <c r="C235" s="262"/>
      <c r="D235" s="232" t="s">
        <v>278</v>
      </c>
      <c r="E235" s="200"/>
      <c r="F235" s="342"/>
      <c r="G235" s="200"/>
      <c r="H235" s="296"/>
    </row>
    <row r="236" spans="1:9" s="260" customFormat="1" ht="12.75" hidden="1" customHeight="1" x14ac:dyDescent="0.3">
      <c r="A236" s="198"/>
      <c r="B236" s="199"/>
      <c r="C236" s="219"/>
      <c r="D236" s="420" t="s">
        <v>535</v>
      </c>
      <c r="E236" s="200"/>
      <c r="F236" s="342"/>
      <c r="G236" s="200"/>
      <c r="H236" s="296"/>
      <c r="I236" s="195"/>
    </row>
    <row r="237" spans="1:9" s="260" customFormat="1" ht="12.75" hidden="1" customHeight="1" x14ac:dyDescent="0.3">
      <c r="A237" s="198"/>
      <c r="B237" s="199"/>
      <c r="C237" s="262"/>
      <c r="D237" s="232" t="s">
        <v>280</v>
      </c>
      <c r="E237" s="200"/>
      <c r="F237" s="342"/>
      <c r="G237" s="200"/>
      <c r="H237" s="296"/>
    </row>
    <row r="238" spans="1:9" s="260" customFormat="1" ht="12.75" hidden="1" customHeight="1" x14ac:dyDescent="0.3">
      <c r="A238" s="198"/>
      <c r="B238" s="199"/>
      <c r="C238" s="219"/>
      <c r="D238" s="232" t="s">
        <v>279</v>
      </c>
      <c r="E238" s="200"/>
      <c r="F238" s="342"/>
      <c r="G238" s="200"/>
      <c r="H238" s="296"/>
      <c r="I238" s="195"/>
    </row>
    <row r="239" spans="1:9" s="260" customFormat="1" ht="12.75" hidden="1" customHeight="1" x14ac:dyDescent="0.3">
      <c r="A239" s="198"/>
      <c r="B239" s="199"/>
      <c r="C239" s="219"/>
      <c r="D239" s="232" t="s">
        <v>288</v>
      </c>
      <c r="E239" s="200"/>
      <c r="F239" s="342"/>
      <c r="G239" s="200"/>
      <c r="H239" s="296"/>
      <c r="I239" s="195"/>
    </row>
    <row r="240" spans="1:9" s="260" customFormat="1" ht="12.75" hidden="1" customHeight="1" x14ac:dyDescent="0.3">
      <c r="A240" s="198"/>
      <c r="B240" s="199"/>
      <c r="C240" s="219"/>
      <c r="D240" s="232" t="s">
        <v>257</v>
      </c>
      <c r="E240" s="200"/>
      <c r="F240" s="342"/>
      <c r="G240" s="200"/>
      <c r="H240" s="296"/>
      <c r="I240" s="332"/>
    </row>
    <row r="241" spans="1:9" s="260" customFormat="1" ht="12.75" hidden="1" customHeight="1" x14ac:dyDescent="0.3">
      <c r="A241" s="198"/>
      <c r="B241" s="199"/>
      <c r="C241" s="219"/>
      <c r="D241" s="232" t="s">
        <v>302</v>
      </c>
      <c r="E241" s="200"/>
      <c r="F241" s="342"/>
      <c r="G241" s="200"/>
      <c r="H241" s="296"/>
      <c r="I241" s="284"/>
    </row>
    <row r="242" spans="1:9" s="260" customFormat="1" ht="12.75" hidden="1" customHeight="1" x14ac:dyDescent="0.3">
      <c r="A242" s="198"/>
      <c r="B242" s="199"/>
      <c r="C242" s="219"/>
      <c r="D242" s="278" t="s">
        <v>359</v>
      </c>
      <c r="E242" s="200"/>
      <c r="F242" s="342"/>
      <c r="G242" s="200"/>
      <c r="H242" s="296"/>
      <c r="I242" s="337"/>
    </row>
    <row r="243" spans="1:9" s="260" customFormat="1" ht="12.75" customHeight="1" x14ac:dyDescent="0.3">
      <c r="A243" s="194">
        <f>A234+1</f>
        <v>26</v>
      </c>
      <c r="B243" s="195">
        <v>3924</v>
      </c>
      <c r="C243" s="261" t="s">
        <v>414</v>
      </c>
      <c r="D243" s="544" t="str">
        <f>$D$12</f>
        <v>FTE June 2025</v>
      </c>
      <c r="E243" s="197">
        <f>'3924'!I$145</f>
        <v>-37604.04</v>
      </c>
      <c r="F243" s="343"/>
      <c r="G243" s="197">
        <f>SUBTOTAL(109,E243:F252)</f>
        <v>-37604.04</v>
      </c>
      <c r="H243" s="296"/>
    </row>
    <row r="244" spans="1:9" s="260" customFormat="1" ht="12.75" hidden="1" customHeight="1" x14ac:dyDescent="0.3">
      <c r="A244" s="194"/>
      <c r="B244" s="195"/>
      <c r="C244" s="218"/>
      <c r="D244" s="231" t="s">
        <v>598</v>
      </c>
      <c r="E244" s="197"/>
      <c r="F244" s="343"/>
      <c r="G244" s="197"/>
      <c r="H244" s="296"/>
    </row>
    <row r="245" spans="1:9" s="260" customFormat="1" ht="12.75" hidden="1" customHeight="1" x14ac:dyDescent="0.3">
      <c r="A245" s="194"/>
      <c r="B245" s="195"/>
      <c r="C245" s="218"/>
      <c r="D245" s="353" t="s">
        <v>535</v>
      </c>
      <c r="E245" s="197"/>
      <c r="F245" s="343"/>
      <c r="G245" s="197"/>
      <c r="H245" s="296"/>
    </row>
    <row r="246" spans="1:9" s="260" customFormat="1" ht="12.75" hidden="1" customHeight="1" x14ac:dyDescent="0.3">
      <c r="A246" s="194"/>
      <c r="B246" s="195"/>
      <c r="C246" s="218"/>
      <c r="D246" s="353" t="s">
        <v>395</v>
      </c>
      <c r="E246" s="197"/>
      <c r="F246" s="343"/>
      <c r="G246" s="197"/>
      <c r="H246" s="259"/>
      <c r="I246" s="230"/>
    </row>
    <row r="247" spans="1:9" s="260" customFormat="1" ht="12.75" hidden="1" customHeight="1" x14ac:dyDescent="0.3">
      <c r="A247" s="194"/>
      <c r="B247" s="195"/>
      <c r="C247" s="218"/>
      <c r="D247" s="231" t="s">
        <v>280</v>
      </c>
      <c r="E247" s="197"/>
      <c r="F247" s="343"/>
      <c r="G247" s="197"/>
      <c r="H247" s="296"/>
    </row>
    <row r="248" spans="1:9" s="260" customFormat="1" ht="12.75" hidden="1" customHeight="1" x14ac:dyDescent="0.3">
      <c r="A248" s="194"/>
      <c r="B248" s="195"/>
      <c r="C248" s="218"/>
      <c r="D248" s="231" t="s">
        <v>279</v>
      </c>
      <c r="E248" s="197"/>
      <c r="F248" s="343"/>
      <c r="G248" s="197"/>
      <c r="H248" s="296"/>
    </row>
    <row r="249" spans="1:9" s="260" customFormat="1" ht="12.75" hidden="1" customHeight="1" x14ac:dyDescent="0.3">
      <c r="A249" s="194"/>
      <c r="B249" s="195"/>
      <c r="C249" s="218"/>
      <c r="D249" s="231" t="s">
        <v>288</v>
      </c>
      <c r="E249" s="197"/>
      <c r="F249" s="343"/>
      <c r="G249" s="197"/>
      <c r="H249" s="296"/>
      <c r="I249" s="195"/>
    </row>
    <row r="250" spans="1:9" s="260" customFormat="1" ht="12.75" hidden="1" customHeight="1" x14ac:dyDescent="0.3">
      <c r="A250" s="194"/>
      <c r="B250" s="195"/>
      <c r="C250" s="218"/>
      <c r="D250" s="231" t="s">
        <v>257</v>
      </c>
      <c r="E250" s="197"/>
      <c r="F250" s="343"/>
      <c r="G250" s="197"/>
      <c r="H250" s="259"/>
      <c r="I250" s="332"/>
    </row>
    <row r="251" spans="1:9" s="260" customFormat="1" ht="12.75" hidden="1" customHeight="1" x14ac:dyDescent="0.3">
      <c r="A251" s="194"/>
      <c r="B251" s="195"/>
      <c r="C251" s="230"/>
      <c r="D251" s="354" t="s">
        <v>388</v>
      </c>
      <c r="E251" s="197"/>
      <c r="F251" s="343"/>
      <c r="G251" s="197"/>
      <c r="H251" s="296"/>
    </row>
    <row r="252" spans="1:9" s="260" customFormat="1" ht="12.75" hidden="1" customHeight="1" x14ac:dyDescent="0.3">
      <c r="A252" s="194"/>
      <c r="B252" s="195"/>
      <c r="C252" s="218"/>
      <c r="D252" s="276" t="s">
        <v>433</v>
      </c>
      <c r="E252" s="197"/>
      <c r="F252" s="343"/>
      <c r="G252" s="197"/>
      <c r="H252" s="296"/>
    </row>
    <row r="253" spans="1:9" s="260" customFormat="1" ht="12.75" customHeight="1" x14ac:dyDescent="0.3">
      <c r="A253" s="198">
        <f>A243+1</f>
        <v>27</v>
      </c>
      <c r="B253" s="199" t="s">
        <v>180</v>
      </c>
      <c r="C253" s="219" t="s">
        <v>191</v>
      </c>
      <c r="D253" s="277" t="str">
        <f>$D$12</f>
        <v>FTE June 2025</v>
      </c>
      <c r="E253" s="200">
        <f>'3941'!I$145</f>
        <v>-3878.68</v>
      </c>
      <c r="F253" s="342"/>
      <c r="G253" s="200">
        <f>SUBTOTAL(109,E253:F262)</f>
        <v>-3878.68</v>
      </c>
      <c r="H253" s="296"/>
    </row>
    <row r="254" spans="1:9" s="260" customFormat="1" ht="12.75" hidden="1" customHeight="1" x14ac:dyDescent="0.3">
      <c r="A254" s="198"/>
      <c r="B254" s="199"/>
      <c r="C254" s="219"/>
      <c r="D254" s="232" t="s">
        <v>278</v>
      </c>
      <c r="E254" s="200"/>
      <c r="F254" s="342"/>
      <c r="G254" s="200"/>
      <c r="H254" s="296"/>
    </row>
    <row r="255" spans="1:9" s="260" customFormat="1" ht="12.75" hidden="1" customHeight="1" x14ac:dyDescent="0.3">
      <c r="A255" s="198"/>
      <c r="B255" s="199"/>
      <c r="C255" s="219"/>
      <c r="D255" s="420" t="s">
        <v>535</v>
      </c>
      <c r="E255" s="200"/>
      <c r="F255" s="342"/>
      <c r="G255" s="200"/>
      <c r="H255" s="296"/>
      <c r="I255" s="195"/>
    </row>
    <row r="256" spans="1:9" s="260" customFormat="1" ht="12.75" hidden="1" customHeight="1" x14ac:dyDescent="0.3">
      <c r="A256" s="198"/>
      <c r="B256" s="199"/>
      <c r="C256" s="219"/>
      <c r="D256" s="232" t="s">
        <v>280</v>
      </c>
      <c r="E256" s="200"/>
      <c r="F256" s="342"/>
      <c r="G256" s="200"/>
      <c r="H256" s="296"/>
      <c r="I256" s="195"/>
    </row>
    <row r="257" spans="1:9" s="260" customFormat="1" ht="12.75" hidden="1" customHeight="1" x14ac:dyDescent="0.3">
      <c r="A257" s="198"/>
      <c r="B257" s="199"/>
      <c r="C257" s="219"/>
      <c r="D257" s="232" t="s">
        <v>279</v>
      </c>
      <c r="E257" s="200"/>
      <c r="F257" s="342"/>
      <c r="G257" s="200"/>
      <c r="H257" s="296"/>
    </row>
    <row r="258" spans="1:9" s="260" customFormat="1" ht="12.75" hidden="1" customHeight="1" x14ac:dyDescent="0.3">
      <c r="A258" s="198"/>
      <c r="B258" s="199"/>
      <c r="C258" s="219"/>
      <c r="D258" s="232" t="s">
        <v>288</v>
      </c>
      <c r="E258" s="200"/>
      <c r="F258" s="342"/>
      <c r="G258" s="200"/>
      <c r="H258" s="296"/>
    </row>
    <row r="259" spans="1:9" s="260" customFormat="1" ht="12.75" hidden="1" customHeight="1" x14ac:dyDescent="0.3">
      <c r="A259" s="198"/>
      <c r="B259" s="199"/>
      <c r="C259" s="219"/>
      <c r="D259" s="232" t="s">
        <v>257</v>
      </c>
      <c r="E259" s="200"/>
      <c r="F259" s="342"/>
      <c r="G259" s="200"/>
      <c r="H259" s="296"/>
    </row>
    <row r="260" spans="1:9" s="260" customFormat="1" ht="12.75" hidden="1" customHeight="1" x14ac:dyDescent="0.3">
      <c r="A260" s="198"/>
      <c r="B260" s="199"/>
      <c r="C260" s="219"/>
      <c r="D260" s="232" t="s">
        <v>352</v>
      </c>
      <c r="E260" s="200"/>
      <c r="F260" s="342"/>
      <c r="G260" s="200"/>
      <c r="H260" s="296"/>
      <c r="I260" s="332"/>
    </row>
    <row r="261" spans="1:9" s="260" customFormat="1" ht="12.75" hidden="1" customHeight="1" x14ac:dyDescent="0.3">
      <c r="A261" s="198"/>
      <c r="B261" s="199"/>
      <c r="C261" s="219"/>
      <c r="D261" s="232" t="s">
        <v>388</v>
      </c>
      <c r="E261" s="200"/>
      <c r="F261" s="342"/>
      <c r="G261" s="200"/>
      <c r="H261" s="296"/>
      <c r="I261" s="337"/>
    </row>
    <row r="262" spans="1:9" s="260" customFormat="1" ht="12.75" hidden="1" customHeight="1" x14ac:dyDescent="0.3">
      <c r="A262" s="198"/>
      <c r="B262" s="199"/>
      <c r="C262" s="219"/>
      <c r="D262" s="232"/>
      <c r="E262" s="200"/>
      <c r="F262" s="342"/>
      <c r="G262" s="200"/>
      <c r="H262" s="296"/>
      <c r="I262" s="332"/>
    </row>
    <row r="263" spans="1:9" s="260" customFormat="1" ht="12.75" customHeight="1" x14ac:dyDescent="0.3">
      <c r="A263" s="194">
        <f>A253+1</f>
        <v>28</v>
      </c>
      <c r="B263" s="195" t="s">
        <v>181</v>
      </c>
      <c r="C263" s="218" t="s">
        <v>201</v>
      </c>
      <c r="D263" s="544" t="str">
        <f>$D$12</f>
        <v>FTE June 2025</v>
      </c>
      <c r="E263" s="197">
        <f>'3961'!I$145</f>
        <v>-222662.62</v>
      </c>
      <c r="F263" s="343"/>
      <c r="G263" s="197">
        <f>SUBTOTAL(109,E263:F270)</f>
        <v>-222662.62</v>
      </c>
      <c r="H263" s="296"/>
      <c r="I263" s="260" t="s">
        <v>620</v>
      </c>
    </row>
    <row r="264" spans="1:9" s="260" customFormat="1" ht="12.75" hidden="1" customHeight="1" x14ac:dyDescent="0.3">
      <c r="A264" s="194"/>
      <c r="B264" s="195"/>
      <c r="C264" s="218"/>
      <c r="D264" s="231" t="s">
        <v>598</v>
      </c>
      <c r="E264" s="197"/>
      <c r="F264" s="343"/>
      <c r="G264" s="197"/>
      <c r="H264" s="296"/>
    </row>
    <row r="265" spans="1:9" s="260" customFormat="1" ht="12.75" hidden="1" customHeight="1" x14ac:dyDescent="0.3">
      <c r="A265" s="194"/>
      <c r="B265" s="195"/>
      <c r="C265" s="218"/>
      <c r="D265" s="353" t="s">
        <v>535</v>
      </c>
      <c r="E265" s="197"/>
      <c r="F265" s="343"/>
      <c r="G265" s="197"/>
      <c r="H265" s="296"/>
      <c r="I265" s="195"/>
    </row>
    <row r="266" spans="1:9" s="260" customFormat="1" ht="12.75" hidden="1" customHeight="1" x14ac:dyDescent="0.3">
      <c r="A266" s="194"/>
      <c r="B266" s="195"/>
      <c r="C266" s="218"/>
      <c r="D266" s="231" t="s">
        <v>280</v>
      </c>
      <c r="E266" s="197"/>
      <c r="F266" s="343"/>
      <c r="G266" s="197"/>
      <c r="H266" s="296"/>
    </row>
    <row r="267" spans="1:9" s="260" customFormat="1" ht="12.75" hidden="1" customHeight="1" x14ac:dyDescent="0.3">
      <c r="A267" s="194"/>
      <c r="B267" s="195"/>
      <c r="C267" s="218"/>
      <c r="D267" s="231" t="s">
        <v>279</v>
      </c>
      <c r="E267" s="197"/>
      <c r="F267" s="343"/>
      <c r="G267" s="197"/>
      <c r="H267" s="296"/>
    </row>
    <row r="268" spans="1:9" s="260" customFormat="1" ht="12.75" hidden="1" customHeight="1" x14ac:dyDescent="0.3">
      <c r="A268" s="194"/>
      <c r="B268" s="195"/>
      <c r="C268" s="218"/>
      <c r="D268" s="231" t="s">
        <v>288</v>
      </c>
      <c r="E268" s="197"/>
      <c r="F268" s="343"/>
      <c r="G268" s="197"/>
      <c r="H268" s="296"/>
    </row>
    <row r="269" spans="1:9" s="260" customFormat="1" ht="12.75" hidden="1" customHeight="1" x14ac:dyDescent="0.3">
      <c r="A269" s="194"/>
      <c r="B269" s="195"/>
      <c r="C269" s="218"/>
      <c r="D269" s="231" t="s">
        <v>257</v>
      </c>
      <c r="E269" s="197"/>
      <c r="F269" s="343"/>
      <c r="G269" s="197"/>
      <c r="H269" s="259"/>
      <c r="I269" s="332"/>
    </row>
    <row r="270" spans="1:9" s="260" customFormat="1" ht="12.75" hidden="1" customHeight="1" x14ac:dyDescent="0.3">
      <c r="A270" s="194"/>
      <c r="B270" s="195"/>
      <c r="C270" s="230"/>
      <c r="D270" s="276" t="s">
        <v>389</v>
      </c>
      <c r="E270" s="197"/>
      <c r="F270" s="343"/>
      <c r="G270" s="197"/>
      <c r="H270" s="259"/>
      <c r="I270" s="332"/>
    </row>
    <row r="271" spans="1:9" s="260" customFormat="1" ht="12.75" customHeight="1" x14ac:dyDescent="0.3">
      <c r="A271" s="198">
        <f>A263+1</f>
        <v>29</v>
      </c>
      <c r="B271" s="199" t="s">
        <v>182</v>
      </c>
      <c r="C271" s="219" t="s">
        <v>353</v>
      </c>
      <c r="D271" s="277" t="str">
        <f>$D$12</f>
        <v>FTE June 2025</v>
      </c>
      <c r="E271" s="200">
        <f>'3971'!I$145</f>
        <v>372629.83</v>
      </c>
      <c r="F271" s="342"/>
      <c r="G271" s="200">
        <f>SUBTOTAL(109,E271:F278)</f>
        <v>372629.83</v>
      </c>
      <c r="H271" s="259"/>
      <c r="I271" s="332"/>
    </row>
    <row r="272" spans="1:9" s="260" customFormat="1" ht="12.75" hidden="1" customHeight="1" x14ac:dyDescent="0.3">
      <c r="A272" s="198"/>
      <c r="B272" s="199"/>
      <c r="C272" s="219"/>
      <c r="D272" s="232" t="s">
        <v>278</v>
      </c>
      <c r="E272" s="200"/>
      <c r="F272" s="342"/>
      <c r="G272" s="200"/>
      <c r="H272" s="296"/>
    </row>
    <row r="273" spans="1:9" s="260" customFormat="1" ht="12.75" hidden="1" customHeight="1" x14ac:dyDescent="0.3">
      <c r="A273" s="198"/>
      <c r="B273" s="199"/>
      <c r="C273" s="219"/>
      <c r="D273" s="420" t="s">
        <v>535</v>
      </c>
      <c r="E273" s="200"/>
      <c r="F273" s="342"/>
      <c r="G273" s="200"/>
      <c r="H273" s="296"/>
    </row>
    <row r="274" spans="1:9" s="260" customFormat="1" ht="12.75" hidden="1" customHeight="1" x14ac:dyDescent="0.3">
      <c r="A274" s="198"/>
      <c r="B274" s="199"/>
      <c r="C274" s="219"/>
      <c r="D274" s="232" t="s">
        <v>280</v>
      </c>
      <c r="E274" s="200"/>
      <c r="F274" s="342"/>
      <c r="G274" s="200"/>
      <c r="H274" s="296"/>
    </row>
    <row r="275" spans="1:9" s="260" customFormat="1" ht="12.75" hidden="1" customHeight="1" x14ac:dyDescent="0.3">
      <c r="A275" s="198"/>
      <c r="B275" s="199"/>
      <c r="C275" s="219"/>
      <c r="D275" s="232" t="s">
        <v>279</v>
      </c>
      <c r="E275" s="200"/>
      <c r="F275" s="342"/>
      <c r="G275" s="200"/>
      <c r="H275" s="296"/>
      <c r="I275" s="195"/>
    </row>
    <row r="276" spans="1:9" s="260" customFormat="1" ht="12.75" hidden="1" customHeight="1" x14ac:dyDescent="0.3">
      <c r="A276" s="198"/>
      <c r="B276" s="199"/>
      <c r="C276" s="219"/>
      <c r="D276" s="232" t="s">
        <v>288</v>
      </c>
      <c r="E276" s="200"/>
      <c r="F276" s="342"/>
      <c r="G276" s="200"/>
      <c r="H276" s="296"/>
    </row>
    <row r="277" spans="1:9" s="260" customFormat="1" ht="12.75" hidden="1" customHeight="1" x14ac:dyDescent="0.3">
      <c r="A277" s="198"/>
      <c r="B277" s="199"/>
      <c r="C277" s="219"/>
      <c r="D277" s="232" t="s">
        <v>257</v>
      </c>
      <c r="E277" s="200"/>
      <c r="F277" s="342"/>
      <c r="G277" s="200"/>
      <c r="H277" s="296"/>
    </row>
    <row r="278" spans="1:9" s="260" customFormat="1" ht="12.75" hidden="1" customHeight="1" x14ac:dyDescent="0.3">
      <c r="A278" s="198"/>
      <c r="B278" s="199"/>
      <c r="C278" s="219"/>
      <c r="D278" s="278" t="s">
        <v>399</v>
      </c>
      <c r="E278" s="200"/>
      <c r="F278" s="342"/>
      <c r="G278" s="200"/>
      <c r="H278" s="296"/>
      <c r="I278" s="188"/>
    </row>
    <row r="279" spans="1:9" s="260" customFormat="1" ht="12.75" customHeight="1" x14ac:dyDescent="0.3">
      <c r="A279" s="194">
        <f>A271+1</f>
        <v>30</v>
      </c>
      <c r="B279" s="195" t="s">
        <v>183</v>
      </c>
      <c r="C279" s="218" t="s">
        <v>219</v>
      </c>
      <c r="D279" s="544" t="str">
        <f>$D$12</f>
        <v>FTE June 2025</v>
      </c>
      <c r="E279" s="408">
        <f>'4001'!I$145</f>
        <v>-16578.53</v>
      </c>
      <c r="F279" s="343"/>
      <c r="G279" s="197">
        <f>SUBTOTAL(109,E279:F287)</f>
        <v>-16578.53</v>
      </c>
      <c r="H279" s="296"/>
      <c r="I279" s="332"/>
    </row>
    <row r="280" spans="1:9" ht="12.75" hidden="1" customHeight="1" x14ac:dyDescent="0.3">
      <c r="A280" s="194"/>
      <c r="B280" s="195"/>
      <c r="C280" s="218"/>
      <c r="D280" s="231" t="s">
        <v>598</v>
      </c>
      <c r="E280" s="197"/>
      <c r="F280" s="486"/>
      <c r="G280" s="197"/>
      <c r="H280" s="297"/>
      <c r="I280" s="260"/>
    </row>
    <row r="281" spans="1:9" s="260" customFormat="1" ht="12.75" hidden="1" customHeight="1" x14ac:dyDescent="0.3">
      <c r="A281" s="194"/>
      <c r="B281" s="195"/>
      <c r="C281" s="218"/>
      <c r="D281" s="353" t="s">
        <v>535</v>
      </c>
      <c r="E281" s="197"/>
      <c r="F281" s="343"/>
      <c r="G281" s="197"/>
      <c r="H281" s="296"/>
    </row>
    <row r="282" spans="1:9" s="260" customFormat="1" ht="12.75" hidden="1" customHeight="1" x14ac:dyDescent="0.3">
      <c r="A282" s="194"/>
      <c r="B282" s="195"/>
      <c r="C282" s="218"/>
      <c r="D282" s="231" t="s">
        <v>280</v>
      </c>
      <c r="E282" s="197"/>
      <c r="F282" s="343"/>
      <c r="G282" s="197"/>
      <c r="H282" s="296"/>
    </row>
    <row r="283" spans="1:9" s="260" customFormat="1" ht="12.75" hidden="1" customHeight="1" x14ac:dyDescent="0.3">
      <c r="A283" s="194"/>
      <c r="B283" s="195"/>
      <c r="C283" s="218"/>
      <c r="D283" s="231" t="s">
        <v>279</v>
      </c>
      <c r="E283" s="197"/>
      <c r="F283" s="343"/>
      <c r="G283" s="197"/>
      <c r="H283" s="296"/>
      <c r="I283" s="195"/>
    </row>
    <row r="284" spans="1:9" s="260" customFormat="1" ht="12.75" hidden="1" customHeight="1" x14ac:dyDescent="0.3">
      <c r="A284" s="194"/>
      <c r="B284" s="195"/>
      <c r="C284" s="218"/>
      <c r="D284" s="231" t="s">
        <v>288</v>
      </c>
      <c r="E284" s="197"/>
      <c r="F284" s="343"/>
      <c r="G284" s="197"/>
      <c r="H284" s="296"/>
    </row>
    <row r="285" spans="1:9" s="260" customFormat="1" ht="12.75" hidden="1" customHeight="1" x14ac:dyDescent="0.3">
      <c r="A285" s="194"/>
      <c r="B285" s="195"/>
      <c r="C285" s="218"/>
      <c r="D285" s="231" t="s">
        <v>257</v>
      </c>
      <c r="E285" s="197"/>
      <c r="F285" s="343"/>
      <c r="G285" s="197"/>
      <c r="H285" s="296"/>
    </row>
    <row r="286" spans="1:9" s="260" customFormat="1" ht="12.75" hidden="1" customHeight="1" x14ac:dyDescent="0.3">
      <c r="A286" s="194"/>
      <c r="B286" s="195"/>
      <c r="C286" s="218"/>
      <c r="D286" s="231" t="s">
        <v>388</v>
      </c>
      <c r="E286" s="197"/>
      <c r="F286" s="343"/>
      <c r="G286" s="197"/>
      <c r="H286" s="296"/>
    </row>
    <row r="287" spans="1:9" s="260" customFormat="1" ht="12.75" hidden="1" customHeight="1" x14ac:dyDescent="0.3">
      <c r="A287" s="194"/>
      <c r="B287" s="195"/>
      <c r="C287" s="218"/>
      <c r="D287" s="276" t="s">
        <v>359</v>
      </c>
      <c r="E287" s="197"/>
      <c r="F287" s="343"/>
      <c r="G287" s="197"/>
      <c r="H287" s="259"/>
      <c r="I287" s="332"/>
    </row>
    <row r="288" spans="1:9" s="260" customFormat="1" ht="12.75" customHeight="1" x14ac:dyDescent="0.3">
      <c r="A288" s="198">
        <f>A279+1</f>
        <v>31</v>
      </c>
      <c r="B288" s="199">
        <v>4002</v>
      </c>
      <c r="C288" s="219" t="s">
        <v>218</v>
      </c>
      <c r="D288" s="277" t="str">
        <f>$D$12</f>
        <v>FTE June 2025</v>
      </c>
      <c r="E288" s="200">
        <f>'4002'!I$145</f>
        <v>-83571.710000000006</v>
      </c>
      <c r="F288" s="342"/>
      <c r="G288" s="200">
        <f>SUBTOTAL(109,E288:F297)</f>
        <v>-83571.710000000006</v>
      </c>
      <c r="H288" s="296"/>
    </row>
    <row r="289" spans="1:9" s="260" customFormat="1" ht="12.75" hidden="1" customHeight="1" x14ac:dyDescent="0.3">
      <c r="A289" s="198"/>
      <c r="B289" s="199"/>
      <c r="C289" s="219"/>
      <c r="D289" s="232" t="s">
        <v>278</v>
      </c>
      <c r="E289" s="200"/>
      <c r="F289" s="342"/>
      <c r="G289" s="200"/>
      <c r="H289" s="296"/>
    </row>
    <row r="290" spans="1:9" s="260" customFormat="1" ht="12.75" hidden="1" customHeight="1" x14ac:dyDescent="0.3">
      <c r="A290" s="198"/>
      <c r="B290" s="199"/>
      <c r="C290" s="219"/>
      <c r="D290" s="420" t="s">
        <v>535</v>
      </c>
      <c r="E290" s="200"/>
      <c r="F290" s="342"/>
      <c r="G290" s="200"/>
      <c r="H290" s="296"/>
    </row>
    <row r="291" spans="1:9" s="260" customFormat="1" ht="12.75" hidden="1" customHeight="1" x14ac:dyDescent="0.3">
      <c r="A291" s="198"/>
      <c r="B291" s="199"/>
      <c r="C291" s="219"/>
      <c r="D291" s="232" t="s">
        <v>280</v>
      </c>
      <c r="E291" s="200"/>
      <c r="F291" s="342"/>
      <c r="G291" s="200"/>
      <c r="H291" s="296"/>
      <c r="I291" s="195"/>
    </row>
    <row r="292" spans="1:9" s="260" customFormat="1" ht="12.75" hidden="1" customHeight="1" x14ac:dyDescent="0.3">
      <c r="A292" s="198"/>
      <c r="B292" s="199"/>
      <c r="C292" s="219"/>
      <c r="D292" s="232" t="s">
        <v>279</v>
      </c>
      <c r="E292" s="200"/>
      <c r="F292" s="342"/>
      <c r="G292" s="200"/>
      <c r="H292" s="296"/>
    </row>
    <row r="293" spans="1:9" s="260" customFormat="1" ht="12.75" hidden="1" customHeight="1" x14ac:dyDescent="0.3">
      <c r="A293" s="198"/>
      <c r="B293" s="199"/>
      <c r="C293" s="219"/>
      <c r="D293" s="232" t="s">
        <v>288</v>
      </c>
      <c r="E293" s="200"/>
      <c r="F293" s="342"/>
      <c r="G293" s="200"/>
      <c r="H293" s="296"/>
    </row>
    <row r="294" spans="1:9" s="260" customFormat="1" ht="12.75" hidden="1" customHeight="1" x14ac:dyDescent="0.3">
      <c r="A294" s="198"/>
      <c r="B294" s="199"/>
      <c r="C294" s="219"/>
      <c r="D294" s="232" t="s">
        <v>257</v>
      </c>
      <c r="E294" s="200"/>
      <c r="F294" s="342"/>
      <c r="G294" s="200"/>
      <c r="H294" s="296"/>
    </row>
    <row r="295" spans="1:9" s="260" customFormat="1" ht="12.75" hidden="1" customHeight="1" x14ac:dyDescent="0.3">
      <c r="A295" s="198"/>
      <c r="B295" s="199"/>
      <c r="C295" s="219"/>
      <c r="D295" s="232" t="s">
        <v>387</v>
      </c>
      <c r="E295" s="200"/>
      <c r="F295" s="342"/>
      <c r="G295" s="200"/>
      <c r="H295" s="259"/>
      <c r="I295" s="332"/>
    </row>
    <row r="296" spans="1:9" s="260" customFormat="1" ht="12.75" hidden="1" customHeight="1" x14ac:dyDescent="0.3">
      <c r="A296" s="198"/>
      <c r="B296" s="199"/>
      <c r="C296" s="219"/>
      <c r="D296" s="232" t="s">
        <v>388</v>
      </c>
      <c r="E296" s="200"/>
      <c r="F296" s="342"/>
      <c r="G296" s="200"/>
      <c r="H296" s="296"/>
      <c r="I296" s="332"/>
    </row>
    <row r="297" spans="1:9" s="260" customFormat="1" ht="12.75" hidden="1" customHeight="1" x14ac:dyDescent="0.3">
      <c r="A297" s="198"/>
      <c r="B297" s="199"/>
      <c r="C297" s="219"/>
      <c r="D297" s="232" t="s">
        <v>380</v>
      </c>
      <c r="E297" s="200"/>
      <c r="F297" s="342"/>
      <c r="G297" s="200"/>
      <c r="H297" s="296"/>
    </row>
    <row r="298" spans="1:9" s="260" customFormat="1" ht="12.75" customHeight="1" x14ac:dyDescent="0.3">
      <c r="A298" s="194">
        <f>A288+1</f>
        <v>32</v>
      </c>
      <c r="B298" s="195">
        <v>4012</v>
      </c>
      <c r="C298" s="218" t="s">
        <v>221</v>
      </c>
      <c r="D298" s="544" t="str">
        <f>$D$12</f>
        <v>FTE June 2025</v>
      </c>
      <c r="E298" s="197">
        <f>'4012'!I$145</f>
        <v>-25188.38</v>
      </c>
      <c r="F298" s="343"/>
      <c r="G298" s="197">
        <f>SUBTOTAL(109,E298:F305)</f>
        <v>-25188.38</v>
      </c>
      <c r="H298" s="296"/>
    </row>
    <row r="299" spans="1:9" s="260" customFormat="1" ht="12.75" hidden="1" customHeight="1" x14ac:dyDescent="0.3">
      <c r="A299" s="194"/>
      <c r="B299" s="195"/>
      <c r="C299" s="218"/>
      <c r="D299" s="231" t="s">
        <v>598</v>
      </c>
      <c r="E299" s="197"/>
      <c r="F299" s="343"/>
      <c r="G299" s="197"/>
      <c r="H299" s="296"/>
    </row>
    <row r="300" spans="1:9" s="260" customFormat="1" ht="12.75" hidden="1" customHeight="1" x14ac:dyDescent="0.3">
      <c r="A300" s="194"/>
      <c r="B300" s="195"/>
      <c r="C300" s="218"/>
      <c r="D300" s="231" t="s">
        <v>535</v>
      </c>
      <c r="E300" s="197"/>
      <c r="F300" s="343"/>
      <c r="G300" s="197"/>
      <c r="H300" s="296"/>
      <c r="I300" s="195"/>
    </row>
    <row r="301" spans="1:9" s="260" customFormat="1" ht="12.75" hidden="1" customHeight="1" x14ac:dyDescent="0.3">
      <c r="A301" s="194"/>
      <c r="B301" s="195"/>
      <c r="C301" s="218"/>
      <c r="D301" s="231" t="s">
        <v>378</v>
      </c>
      <c r="E301" s="197"/>
      <c r="F301" s="343"/>
      <c r="G301" s="197"/>
      <c r="H301" s="296"/>
    </row>
    <row r="302" spans="1:9" s="260" customFormat="1" ht="12.75" hidden="1" customHeight="1" x14ac:dyDescent="0.3">
      <c r="A302" s="194"/>
      <c r="B302" s="195"/>
      <c r="C302" s="218"/>
      <c r="D302" s="231" t="s">
        <v>288</v>
      </c>
      <c r="E302" s="197"/>
      <c r="F302" s="343"/>
      <c r="G302" s="197"/>
      <c r="H302" s="296"/>
    </row>
    <row r="303" spans="1:9" s="260" customFormat="1" ht="12.75" hidden="1" customHeight="1" x14ac:dyDescent="0.3">
      <c r="A303" s="194"/>
      <c r="B303" s="195"/>
      <c r="C303" s="218"/>
      <c r="D303" s="231" t="s">
        <v>257</v>
      </c>
      <c r="E303" s="197"/>
      <c r="F303" s="343"/>
      <c r="G303" s="197"/>
      <c r="H303" s="296"/>
    </row>
    <row r="304" spans="1:9" s="260" customFormat="1" ht="12.75" hidden="1" customHeight="1" x14ac:dyDescent="0.3">
      <c r="A304" s="194"/>
      <c r="B304" s="195"/>
      <c r="C304" s="218"/>
      <c r="D304" s="231" t="s">
        <v>302</v>
      </c>
      <c r="E304" s="197"/>
      <c r="F304" s="343"/>
      <c r="G304" s="197"/>
      <c r="H304" s="296"/>
    </row>
    <row r="305" spans="1:9" s="260" customFormat="1" ht="12.75" hidden="1" customHeight="1" x14ac:dyDescent="0.3">
      <c r="A305" s="194"/>
      <c r="B305" s="195"/>
      <c r="C305" s="218"/>
      <c r="D305" s="276" t="s">
        <v>359</v>
      </c>
      <c r="E305" s="197"/>
      <c r="F305" s="343"/>
      <c r="G305" s="197"/>
      <c r="H305" s="296"/>
      <c r="I305" s="334"/>
    </row>
    <row r="306" spans="1:9" s="260" customFormat="1" ht="12.75" customHeight="1" x14ac:dyDescent="0.3">
      <c r="A306" s="198">
        <f>A298+1</f>
        <v>33</v>
      </c>
      <c r="B306" s="199">
        <v>4013</v>
      </c>
      <c r="C306" s="219" t="s">
        <v>223</v>
      </c>
      <c r="D306" s="277" t="str">
        <f>$D$12</f>
        <v>FTE June 2025</v>
      </c>
      <c r="E306" s="200">
        <f>'4013'!I$145</f>
        <v>-105259.46</v>
      </c>
      <c r="F306" s="342"/>
      <c r="G306" s="200">
        <f>SUBTOTAL(109,E306:F314)</f>
        <v>-105259.46</v>
      </c>
      <c r="H306" s="296"/>
      <c r="I306" s="334"/>
    </row>
    <row r="307" spans="1:9" s="260" customFormat="1" ht="12.75" hidden="1" customHeight="1" x14ac:dyDescent="0.3">
      <c r="A307" s="198"/>
      <c r="B307" s="199"/>
      <c r="C307" s="219"/>
      <c r="D307" s="232" t="s">
        <v>278</v>
      </c>
      <c r="E307" s="200"/>
      <c r="F307" s="342"/>
      <c r="G307" s="200"/>
      <c r="H307" s="296"/>
    </row>
    <row r="308" spans="1:9" s="260" customFormat="1" ht="12.75" hidden="1" customHeight="1" x14ac:dyDescent="0.3">
      <c r="A308" s="198"/>
      <c r="B308" s="199"/>
      <c r="C308" s="219"/>
      <c r="D308" s="420" t="s">
        <v>535</v>
      </c>
      <c r="E308" s="200"/>
      <c r="F308" s="342"/>
      <c r="G308" s="200"/>
      <c r="H308" s="296"/>
    </row>
    <row r="309" spans="1:9" s="260" customFormat="1" ht="12.75" hidden="1" customHeight="1" x14ac:dyDescent="0.3">
      <c r="A309" s="198"/>
      <c r="B309" s="199"/>
      <c r="C309" s="219"/>
      <c r="D309" s="232" t="s">
        <v>280</v>
      </c>
      <c r="E309" s="200"/>
      <c r="F309" s="342"/>
      <c r="G309" s="200"/>
      <c r="H309" s="296"/>
    </row>
    <row r="310" spans="1:9" s="260" customFormat="1" ht="12.75" hidden="1" customHeight="1" x14ac:dyDescent="0.3">
      <c r="A310" s="198"/>
      <c r="B310" s="199"/>
      <c r="C310" s="219"/>
      <c r="D310" s="232" t="s">
        <v>378</v>
      </c>
      <c r="E310" s="200"/>
      <c r="F310" s="342"/>
      <c r="G310" s="200"/>
      <c r="H310" s="296"/>
    </row>
    <row r="311" spans="1:9" s="260" customFormat="1" ht="12.75" hidden="1" customHeight="1" x14ac:dyDescent="0.3">
      <c r="A311" s="198"/>
      <c r="B311" s="199"/>
      <c r="C311" s="219"/>
      <c r="D311" s="232" t="s">
        <v>288</v>
      </c>
      <c r="E311" s="200"/>
      <c r="F311" s="342"/>
      <c r="G311" s="200"/>
      <c r="H311" s="296"/>
    </row>
    <row r="312" spans="1:9" s="260" customFormat="1" ht="12.75" hidden="1" customHeight="1" x14ac:dyDescent="0.3">
      <c r="A312" s="198"/>
      <c r="B312" s="199"/>
      <c r="C312" s="219"/>
      <c r="D312" s="232" t="s">
        <v>257</v>
      </c>
      <c r="E312" s="200"/>
      <c r="F312" s="342"/>
      <c r="G312" s="200"/>
      <c r="H312" s="296"/>
    </row>
    <row r="313" spans="1:9" s="260" customFormat="1" ht="12.75" hidden="1" customHeight="1" x14ac:dyDescent="0.3">
      <c r="A313" s="198"/>
      <c r="B313" s="199"/>
      <c r="C313" s="219"/>
      <c r="D313" s="232" t="s">
        <v>388</v>
      </c>
      <c r="E313" s="200"/>
      <c r="F313" s="342"/>
      <c r="G313" s="200"/>
      <c r="H313" s="259"/>
      <c r="I313" s="332"/>
    </row>
    <row r="314" spans="1:9" s="260" customFormat="1" ht="12.75" hidden="1" customHeight="1" x14ac:dyDescent="0.3">
      <c r="A314" s="198"/>
      <c r="B314" s="199"/>
      <c r="C314" s="219"/>
      <c r="D314" s="232" t="s">
        <v>359</v>
      </c>
      <c r="E314" s="200"/>
      <c r="F314" s="342"/>
      <c r="G314" s="200"/>
      <c r="H314" s="296"/>
      <c r="I314" s="306"/>
    </row>
    <row r="315" spans="1:9" s="260" customFormat="1" ht="12.75" customHeight="1" x14ac:dyDescent="0.3">
      <c r="A315" s="194">
        <f>A306+1</f>
        <v>34</v>
      </c>
      <c r="B315" s="195">
        <v>4020</v>
      </c>
      <c r="C315" s="261" t="s">
        <v>364</v>
      </c>
      <c r="D315" s="544" t="str">
        <f>$D$12</f>
        <v>FTE June 2025</v>
      </c>
      <c r="E315" s="197">
        <f>'4020'!I$145</f>
        <v>-100983.88</v>
      </c>
      <c r="F315" s="343"/>
      <c r="G315" s="197">
        <f>SUBTOTAL(109,E315:F323)</f>
        <v>-100983.88</v>
      </c>
      <c r="H315" s="296"/>
      <c r="I315" s="306"/>
    </row>
    <row r="316" spans="1:9" s="260" customFormat="1" ht="12.75" hidden="1" customHeight="1" x14ac:dyDescent="0.3">
      <c r="A316" s="194"/>
      <c r="B316" s="195"/>
      <c r="C316" s="218"/>
      <c r="D316" s="231" t="s">
        <v>598</v>
      </c>
      <c r="E316" s="197"/>
      <c r="F316" s="343"/>
      <c r="G316" s="197"/>
      <c r="H316" s="296"/>
    </row>
    <row r="317" spans="1:9" s="260" customFormat="1" ht="12.75" hidden="1" customHeight="1" x14ac:dyDescent="0.3">
      <c r="A317" s="194"/>
      <c r="B317" s="195"/>
      <c r="C317" s="218"/>
      <c r="D317" s="353" t="s">
        <v>535</v>
      </c>
      <c r="E317" s="197"/>
      <c r="F317" s="343"/>
      <c r="G317" s="197"/>
      <c r="H317" s="296"/>
    </row>
    <row r="318" spans="1:9" s="260" customFormat="1" ht="12.75" hidden="1" customHeight="1" x14ac:dyDescent="0.3">
      <c r="A318" s="194"/>
      <c r="B318" s="195"/>
      <c r="C318" s="218"/>
      <c r="D318" s="231" t="s">
        <v>280</v>
      </c>
      <c r="E318" s="197"/>
      <c r="F318" s="343"/>
      <c r="G318" s="197"/>
      <c r="H318" s="296"/>
      <c r="I318" s="195"/>
    </row>
    <row r="319" spans="1:9" s="260" customFormat="1" ht="12.75" hidden="1" customHeight="1" x14ac:dyDescent="0.3">
      <c r="A319" s="194"/>
      <c r="B319" s="195"/>
      <c r="C319" s="218"/>
      <c r="D319" s="231" t="s">
        <v>378</v>
      </c>
      <c r="E319" s="197"/>
      <c r="F319" s="343"/>
      <c r="G319" s="197"/>
      <c r="H319" s="296"/>
    </row>
    <row r="320" spans="1:9" s="260" customFormat="1" ht="12.75" hidden="1" customHeight="1" x14ac:dyDescent="0.3">
      <c r="A320" s="194"/>
      <c r="B320" s="195"/>
      <c r="C320" s="218"/>
      <c r="D320" s="231" t="s">
        <v>288</v>
      </c>
      <c r="E320" s="197"/>
      <c r="F320" s="343"/>
      <c r="G320" s="197"/>
      <c r="H320" s="296"/>
    </row>
    <row r="321" spans="1:9" s="260" customFormat="1" ht="12.75" hidden="1" customHeight="1" x14ac:dyDescent="0.3">
      <c r="A321" s="194"/>
      <c r="B321" s="195"/>
      <c r="C321" s="218"/>
      <c r="D321" s="231" t="s">
        <v>257</v>
      </c>
      <c r="E321" s="197"/>
      <c r="F321" s="343"/>
      <c r="G321" s="197"/>
      <c r="H321" s="296"/>
    </row>
    <row r="322" spans="1:9" s="260" customFormat="1" ht="12.75" hidden="1" customHeight="1" x14ac:dyDescent="0.3">
      <c r="A322" s="194"/>
      <c r="B322" s="195"/>
      <c r="C322" s="218"/>
      <c r="D322" s="231" t="s">
        <v>387</v>
      </c>
      <c r="E322" s="197"/>
      <c r="F322" s="343"/>
      <c r="G322" s="197"/>
      <c r="H322" s="296"/>
    </row>
    <row r="323" spans="1:9" s="260" customFormat="1" ht="12.75" hidden="1" customHeight="1" x14ac:dyDescent="0.3">
      <c r="A323" s="194"/>
      <c r="B323" s="195"/>
      <c r="C323" s="218"/>
      <c r="D323" s="276" t="s">
        <v>359</v>
      </c>
      <c r="E323" s="197"/>
      <c r="F323" s="343"/>
      <c r="G323" s="197"/>
      <c r="H323" s="296"/>
      <c r="I323" s="334"/>
    </row>
    <row r="324" spans="1:9" s="260" customFormat="1" ht="12.75" customHeight="1" x14ac:dyDescent="0.3">
      <c r="A324" s="198">
        <f>A315+1</f>
        <v>35</v>
      </c>
      <c r="B324" s="199">
        <v>4030</v>
      </c>
      <c r="C324" s="219" t="s">
        <v>348</v>
      </c>
      <c r="D324" s="277" t="str">
        <f>$D$12</f>
        <v>FTE June 2025</v>
      </c>
      <c r="E324" s="200">
        <f>'4030'!I$145</f>
        <v>-18238.12</v>
      </c>
      <c r="F324" s="342"/>
      <c r="G324" s="200">
        <f>SUBTOTAL(109,E324:F333)</f>
        <v>-18238.12</v>
      </c>
      <c r="H324" s="296"/>
    </row>
    <row r="325" spans="1:9" s="260" customFormat="1" ht="12.75" hidden="1" customHeight="1" x14ac:dyDescent="0.3">
      <c r="A325" s="198"/>
      <c r="B325" s="199"/>
      <c r="C325" s="219"/>
      <c r="D325" s="232" t="s">
        <v>278</v>
      </c>
      <c r="E325" s="200"/>
      <c r="F325" s="342"/>
      <c r="G325" s="200"/>
      <c r="H325" s="296"/>
    </row>
    <row r="326" spans="1:9" s="260" customFormat="1" ht="12.75" hidden="1" customHeight="1" x14ac:dyDescent="0.3">
      <c r="A326" s="198"/>
      <c r="B326" s="199"/>
      <c r="C326" s="219"/>
      <c r="D326" s="420" t="s">
        <v>535</v>
      </c>
      <c r="E326" s="200"/>
      <c r="F326" s="342"/>
      <c r="G326" s="200"/>
      <c r="H326" s="296"/>
    </row>
    <row r="327" spans="1:9" s="260" customFormat="1" ht="12.75" hidden="1" customHeight="1" x14ac:dyDescent="0.3">
      <c r="A327" s="198"/>
      <c r="B327" s="199"/>
      <c r="C327" s="219"/>
      <c r="D327" s="420" t="s">
        <v>395</v>
      </c>
      <c r="E327" s="200"/>
      <c r="F327" s="342"/>
      <c r="G327" s="200"/>
      <c r="H327" s="296"/>
      <c r="I327" s="195"/>
    </row>
    <row r="328" spans="1:9" s="260" customFormat="1" ht="12.75" hidden="1" customHeight="1" x14ac:dyDescent="0.3">
      <c r="A328" s="198"/>
      <c r="B328" s="199"/>
      <c r="C328" s="219"/>
      <c r="D328" s="232" t="s">
        <v>280</v>
      </c>
      <c r="E328" s="200"/>
      <c r="F328" s="342"/>
      <c r="G328" s="200"/>
      <c r="H328" s="296"/>
    </row>
    <row r="329" spans="1:9" s="260" customFormat="1" ht="12.75" hidden="1" customHeight="1" x14ac:dyDescent="0.3">
      <c r="A329" s="198"/>
      <c r="B329" s="199"/>
      <c r="C329" s="219"/>
      <c r="D329" s="232" t="s">
        <v>279</v>
      </c>
      <c r="E329" s="200"/>
      <c r="F329" s="342"/>
      <c r="G329" s="200"/>
      <c r="H329" s="296"/>
    </row>
    <row r="330" spans="1:9" s="260" customFormat="1" ht="12.75" hidden="1" customHeight="1" x14ac:dyDescent="0.3">
      <c r="A330" s="198"/>
      <c r="B330" s="199"/>
      <c r="C330" s="219"/>
      <c r="D330" s="232" t="s">
        <v>288</v>
      </c>
      <c r="E330" s="200"/>
      <c r="F330" s="342"/>
      <c r="G330" s="200"/>
      <c r="H330" s="296"/>
    </row>
    <row r="331" spans="1:9" s="260" customFormat="1" ht="12.75" hidden="1" customHeight="1" x14ac:dyDescent="0.3">
      <c r="A331" s="198"/>
      <c r="B331" s="199"/>
      <c r="C331" s="219"/>
      <c r="D331" s="232" t="s">
        <v>257</v>
      </c>
      <c r="E331" s="200"/>
      <c r="F331" s="342"/>
      <c r="G331" s="200"/>
      <c r="H331" s="259"/>
      <c r="I331" s="332"/>
    </row>
    <row r="332" spans="1:9" s="260" customFormat="1" ht="12.75" hidden="1" customHeight="1" x14ac:dyDescent="0.3">
      <c r="A332" s="198"/>
      <c r="B332" s="199"/>
      <c r="C332" s="219"/>
      <c r="D332" s="232" t="s">
        <v>388</v>
      </c>
      <c r="E332" s="200"/>
      <c r="F332" s="342"/>
      <c r="G332" s="200"/>
      <c r="H332" s="296"/>
      <c r="I332" s="334"/>
    </row>
    <row r="333" spans="1:9" s="260" customFormat="1" ht="12.75" hidden="1" customHeight="1" x14ac:dyDescent="0.3">
      <c r="A333" s="198"/>
      <c r="B333" s="199"/>
      <c r="C333" s="219"/>
      <c r="D333" s="232" t="s">
        <v>359</v>
      </c>
      <c r="E333" s="200"/>
      <c r="F333" s="342"/>
      <c r="G333" s="200"/>
      <c r="H333" s="296"/>
    </row>
    <row r="334" spans="1:9" s="260" customFormat="1" ht="12.75" customHeight="1" x14ac:dyDescent="0.3">
      <c r="A334" s="194">
        <f>A324+1</f>
        <v>36</v>
      </c>
      <c r="B334" s="195">
        <v>4031</v>
      </c>
      <c r="C334" s="261" t="s">
        <v>376</v>
      </c>
      <c r="D334" s="544" t="str">
        <f>$D$12</f>
        <v>FTE June 2025</v>
      </c>
      <c r="E334" s="197">
        <f>'4031'!I$145</f>
        <v>-72060.34</v>
      </c>
      <c r="F334" s="343"/>
      <c r="G334" s="197">
        <f>SUBTOTAL(109,E334:F343)</f>
        <v>-72060.34</v>
      </c>
      <c r="H334" s="296"/>
    </row>
    <row r="335" spans="1:9" s="260" customFormat="1" ht="12.75" hidden="1" customHeight="1" x14ac:dyDescent="0.3">
      <c r="A335" s="194"/>
      <c r="B335" s="195"/>
      <c r="C335" s="218"/>
      <c r="D335" s="231" t="s">
        <v>598</v>
      </c>
      <c r="E335" s="197"/>
      <c r="F335" s="343"/>
      <c r="G335" s="197"/>
      <c r="H335" s="296"/>
    </row>
    <row r="336" spans="1:9" s="260" customFormat="1" ht="12.75" hidden="1" customHeight="1" x14ac:dyDescent="0.3">
      <c r="A336" s="194"/>
      <c r="B336" s="195"/>
      <c r="C336" s="218"/>
      <c r="D336" s="353" t="s">
        <v>535</v>
      </c>
      <c r="E336" s="197"/>
      <c r="F336" s="343"/>
      <c r="G336" s="197"/>
      <c r="H336" s="296"/>
      <c r="I336" s="195"/>
    </row>
    <row r="337" spans="1:9" s="260" customFormat="1" ht="12.75" hidden="1" customHeight="1" x14ac:dyDescent="0.3">
      <c r="A337" s="194"/>
      <c r="B337" s="195"/>
      <c r="C337" s="218"/>
      <c r="D337" s="353" t="s">
        <v>395</v>
      </c>
      <c r="E337" s="197"/>
      <c r="F337" s="343"/>
      <c r="G337" s="197"/>
      <c r="H337" s="296"/>
      <c r="I337" s="195"/>
    </row>
    <row r="338" spans="1:9" s="260" customFormat="1" ht="12.75" hidden="1" customHeight="1" x14ac:dyDescent="0.3">
      <c r="A338" s="194"/>
      <c r="B338" s="195"/>
      <c r="C338" s="218"/>
      <c r="D338" s="231" t="s">
        <v>280</v>
      </c>
      <c r="E338" s="197"/>
      <c r="F338" s="343"/>
      <c r="G338" s="197"/>
      <c r="H338" s="296"/>
    </row>
    <row r="339" spans="1:9" s="260" customFormat="1" ht="12.75" hidden="1" customHeight="1" x14ac:dyDescent="0.3">
      <c r="A339" s="194"/>
      <c r="B339" s="195"/>
      <c r="C339" s="218"/>
      <c r="D339" s="231" t="s">
        <v>279</v>
      </c>
      <c r="E339" s="197"/>
      <c r="F339" s="343"/>
      <c r="G339" s="197"/>
      <c r="H339" s="296"/>
    </row>
    <row r="340" spans="1:9" s="260" customFormat="1" ht="12.75" hidden="1" customHeight="1" x14ac:dyDescent="0.3">
      <c r="A340" s="194"/>
      <c r="B340" s="195"/>
      <c r="C340" s="218"/>
      <c r="D340" s="231" t="s">
        <v>288</v>
      </c>
      <c r="E340" s="197"/>
      <c r="F340" s="343"/>
      <c r="G340" s="197"/>
      <c r="H340" s="296"/>
    </row>
    <row r="341" spans="1:9" s="260" customFormat="1" ht="12.75" hidden="1" customHeight="1" x14ac:dyDescent="0.3">
      <c r="A341" s="194"/>
      <c r="B341" s="195"/>
      <c r="C341" s="218"/>
      <c r="D341" s="231" t="s">
        <v>257</v>
      </c>
      <c r="E341" s="197"/>
      <c r="F341" s="343"/>
      <c r="G341" s="197"/>
      <c r="H341" s="296"/>
    </row>
    <row r="342" spans="1:9" s="260" customFormat="1" ht="12.75" hidden="1" customHeight="1" x14ac:dyDescent="0.3">
      <c r="A342" s="194"/>
      <c r="B342" s="195"/>
      <c r="C342" s="218"/>
      <c r="D342" s="231" t="s">
        <v>388</v>
      </c>
      <c r="E342" s="197"/>
      <c r="F342" s="343"/>
      <c r="G342" s="197"/>
      <c r="H342" s="296"/>
      <c r="I342" s="334"/>
    </row>
    <row r="343" spans="1:9" s="260" customFormat="1" ht="12.75" hidden="1" customHeight="1" x14ac:dyDescent="0.3">
      <c r="A343" s="194"/>
      <c r="B343" s="195"/>
      <c r="C343" s="218"/>
      <c r="D343" s="276" t="s">
        <v>359</v>
      </c>
      <c r="E343" s="197"/>
      <c r="F343" s="343"/>
      <c r="G343" s="197"/>
      <c r="H343" s="296"/>
    </row>
    <row r="344" spans="1:9" s="260" customFormat="1" ht="12.75" customHeight="1" x14ac:dyDescent="0.3">
      <c r="A344" s="198">
        <f>A334+1</f>
        <v>37</v>
      </c>
      <c r="B344" s="199">
        <v>4041</v>
      </c>
      <c r="C344" s="219" t="s">
        <v>225</v>
      </c>
      <c r="D344" s="277" t="str">
        <f>$D$12</f>
        <v>FTE June 2025</v>
      </c>
      <c r="E344" s="200">
        <f>'4041'!I$145</f>
        <v>-3894.05</v>
      </c>
      <c r="F344" s="342"/>
      <c r="G344" s="200">
        <f>SUBTOTAL(109,E344:F354)</f>
        <v>-3894.05</v>
      </c>
      <c r="H344" s="296"/>
    </row>
    <row r="345" spans="1:9" s="260" customFormat="1" ht="12.75" hidden="1" customHeight="1" x14ac:dyDescent="0.3">
      <c r="A345" s="198"/>
      <c r="B345" s="199"/>
      <c r="C345" s="219"/>
      <c r="D345" s="232" t="s">
        <v>278</v>
      </c>
      <c r="E345" s="200"/>
      <c r="F345" s="342"/>
      <c r="G345" s="200"/>
      <c r="H345" s="296"/>
    </row>
    <row r="346" spans="1:9" s="260" customFormat="1" ht="12.75" hidden="1" customHeight="1" x14ac:dyDescent="0.3">
      <c r="A346" s="198"/>
      <c r="B346" s="199"/>
      <c r="C346" s="219"/>
      <c r="D346" s="420" t="s">
        <v>535</v>
      </c>
      <c r="E346" s="200"/>
      <c r="F346" s="342"/>
      <c r="G346" s="200"/>
      <c r="H346" s="296"/>
      <c r="I346" s="195"/>
    </row>
    <row r="347" spans="1:9" s="260" customFormat="1" ht="12.75" hidden="1" customHeight="1" x14ac:dyDescent="0.3">
      <c r="A347" s="198"/>
      <c r="B347" s="199"/>
      <c r="C347" s="219"/>
      <c r="D347" s="420" t="s">
        <v>395</v>
      </c>
      <c r="E347" s="200"/>
      <c r="F347" s="342"/>
      <c r="G347" s="200"/>
      <c r="H347" s="296"/>
      <c r="I347" s="195"/>
    </row>
    <row r="348" spans="1:9" s="260" customFormat="1" ht="12.75" hidden="1" customHeight="1" x14ac:dyDescent="0.3">
      <c r="A348" s="198"/>
      <c r="B348" s="199"/>
      <c r="C348" s="219"/>
      <c r="D348" s="232" t="s">
        <v>280</v>
      </c>
      <c r="E348" s="200"/>
      <c r="F348" s="342"/>
      <c r="G348" s="200"/>
      <c r="H348" s="296"/>
    </row>
    <row r="349" spans="1:9" s="260" customFormat="1" ht="12.75" hidden="1" customHeight="1" x14ac:dyDescent="0.3">
      <c r="A349" s="198"/>
      <c r="B349" s="199"/>
      <c r="C349" s="219"/>
      <c r="D349" s="232" t="s">
        <v>279</v>
      </c>
      <c r="E349" s="200"/>
      <c r="F349" s="342"/>
      <c r="G349" s="200"/>
      <c r="H349" s="296"/>
    </row>
    <row r="350" spans="1:9" s="260" customFormat="1" ht="12.75" hidden="1" customHeight="1" x14ac:dyDescent="0.3">
      <c r="A350" s="198"/>
      <c r="B350" s="199"/>
      <c r="C350" s="219"/>
      <c r="D350" s="232" t="s">
        <v>288</v>
      </c>
      <c r="E350" s="200"/>
      <c r="F350" s="342"/>
      <c r="G350" s="200"/>
      <c r="H350" s="296"/>
      <c r="I350" s="195"/>
    </row>
    <row r="351" spans="1:9" s="260" customFormat="1" ht="12.75" hidden="1" customHeight="1" x14ac:dyDescent="0.3">
      <c r="A351" s="198"/>
      <c r="B351" s="199"/>
      <c r="C351" s="219"/>
      <c r="D351" s="232" t="s">
        <v>257</v>
      </c>
      <c r="E351" s="200"/>
      <c r="F351" s="342"/>
      <c r="G351" s="200"/>
      <c r="H351" s="296"/>
      <c r="I351" s="332"/>
    </row>
    <row r="352" spans="1:9" s="260" customFormat="1" ht="12.75" hidden="1" customHeight="1" x14ac:dyDescent="0.3">
      <c r="A352" s="198"/>
      <c r="B352" s="199"/>
      <c r="C352" s="219"/>
      <c r="D352" s="232" t="s">
        <v>302</v>
      </c>
      <c r="E352" s="200"/>
      <c r="F352" s="342"/>
      <c r="G352" s="200"/>
      <c r="H352" s="296"/>
      <c r="I352" s="334"/>
    </row>
    <row r="353" spans="1:9" s="260" customFormat="1" ht="12.75" hidden="1" customHeight="1" x14ac:dyDescent="0.3">
      <c r="A353" s="198"/>
      <c r="B353" s="199"/>
      <c r="C353" s="219"/>
      <c r="D353" s="232" t="s">
        <v>388</v>
      </c>
      <c r="E353" s="200"/>
      <c r="F353" s="342"/>
      <c r="G353" s="200"/>
      <c r="H353" s="296"/>
    </row>
    <row r="354" spans="1:9" s="260" customFormat="1" ht="12.75" hidden="1" customHeight="1" x14ac:dyDescent="0.3">
      <c r="A354" s="198"/>
      <c r="B354" s="199"/>
      <c r="C354" s="219"/>
      <c r="D354" s="232" t="s">
        <v>359</v>
      </c>
      <c r="E354" s="200"/>
      <c r="F354" s="342"/>
      <c r="G354" s="200"/>
      <c r="H354" s="296"/>
    </row>
    <row r="355" spans="1:9" s="260" customFormat="1" ht="12.75" customHeight="1" x14ac:dyDescent="0.3">
      <c r="A355" s="194">
        <f>A344+1</f>
        <v>38</v>
      </c>
      <c r="B355" s="263">
        <v>4050</v>
      </c>
      <c r="C355" s="264" t="s">
        <v>216</v>
      </c>
      <c r="D355" s="544" t="str">
        <f>$D$12</f>
        <v>FTE June 2025</v>
      </c>
      <c r="E355" s="197">
        <f>'4050'!I$145</f>
        <v>-94758.16</v>
      </c>
      <c r="F355" s="343"/>
      <c r="G355" s="197">
        <f>SUBTOTAL(109,E355:F361)</f>
        <v>-94758.16</v>
      </c>
      <c r="H355" s="296"/>
    </row>
    <row r="356" spans="1:9" s="260" customFormat="1" ht="12.75" hidden="1" customHeight="1" x14ac:dyDescent="0.3">
      <c r="A356" s="194"/>
      <c r="B356" s="263"/>
      <c r="C356" s="264"/>
      <c r="D356" s="231" t="s">
        <v>598</v>
      </c>
      <c r="E356" s="197"/>
      <c r="F356" s="343"/>
      <c r="G356" s="197"/>
      <c r="H356" s="296"/>
      <c r="I356" s="195"/>
    </row>
    <row r="357" spans="1:9" s="260" customFormat="1" ht="12.75" hidden="1" customHeight="1" x14ac:dyDescent="0.3">
      <c r="A357" s="194"/>
      <c r="B357" s="263"/>
      <c r="C357" s="264"/>
      <c r="D357" s="231" t="s">
        <v>535</v>
      </c>
      <c r="E357" s="197"/>
      <c r="F357" s="343"/>
      <c r="G357" s="197"/>
      <c r="H357" s="296"/>
      <c r="I357" s="195"/>
    </row>
    <row r="358" spans="1:9" s="260" customFormat="1" ht="12.75" hidden="1" customHeight="1" x14ac:dyDescent="0.3">
      <c r="A358" s="194"/>
      <c r="B358" s="195"/>
      <c r="C358" s="218"/>
      <c r="D358" s="231" t="s">
        <v>279</v>
      </c>
      <c r="E358" s="197"/>
      <c r="F358" s="343"/>
      <c r="G358" s="197"/>
      <c r="H358" s="296"/>
    </row>
    <row r="359" spans="1:9" s="260" customFormat="1" ht="12.75" hidden="1" customHeight="1" x14ac:dyDescent="0.3">
      <c r="A359" s="194"/>
      <c r="B359" s="195"/>
      <c r="C359" s="218"/>
      <c r="D359" s="231" t="s">
        <v>288</v>
      </c>
      <c r="E359" s="197"/>
      <c r="F359" s="343"/>
      <c r="G359" s="197"/>
      <c r="H359" s="296"/>
    </row>
    <row r="360" spans="1:9" s="260" customFormat="1" ht="12.75" hidden="1" customHeight="1" x14ac:dyDescent="0.3">
      <c r="A360" s="194"/>
      <c r="B360" s="195"/>
      <c r="C360" s="218"/>
      <c r="D360" s="231" t="s">
        <v>257</v>
      </c>
      <c r="E360" s="197"/>
      <c r="F360" s="343"/>
      <c r="G360" s="197"/>
      <c r="H360" s="296"/>
    </row>
    <row r="361" spans="1:9" s="260" customFormat="1" ht="12.75" hidden="1" customHeight="1" x14ac:dyDescent="0.3">
      <c r="A361" s="194"/>
      <c r="B361" s="195"/>
      <c r="C361" s="218"/>
      <c r="D361" s="276" t="s">
        <v>359</v>
      </c>
      <c r="E361" s="197"/>
      <c r="F361" s="343"/>
      <c r="G361" s="197"/>
      <c r="H361" s="296"/>
    </row>
    <row r="362" spans="1:9" s="260" customFormat="1" ht="12.75" customHeight="1" x14ac:dyDescent="0.3">
      <c r="A362" s="198">
        <f>A355+1</f>
        <v>39</v>
      </c>
      <c r="B362" s="199">
        <v>4051</v>
      </c>
      <c r="C362" s="219" t="s">
        <v>214</v>
      </c>
      <c r="D362" s="277" t="str">
        <f>$D$12</f>
        <v>FTE June 2025</v>
      </c>
      <c r="E362" s="200">
        <f>'4051'!I$145</f>
        <v>-152058.89000000001</v>
      </c>
      <c r="F362" s="342"/>
      <c r="G362" s="200">
        <f>SUBTOTAL(109,E362:F370)</f>
        <v>-152058.89000000001</v>
      </c>
      <c r="H362" s="296"/>
    </row>
    <row r="363" spans="1:9" s="260" customFormat="1" ht="12.75" hidden="1" customHeight="1" x14ac:dyDescent="0.3">
      <c r="A363" s="198"/>
      <c r="B363" s="199"/>
      <c r="C363" s="219"/>
      <c r="D363" s="232" t="s">
        <v>278</v>
      </c>
      <c r="E363" s="200"/>
      <c r="F363" s="342"/>
      <c r="G363" s="200"/>
      <c r="H363" s="296"/>
      <c r="I363" s="334"/>
    </row>
    <row r="364" spans="1:9" s="260" customFormat="1" ht="12.75" hidden="1" customHeight="1" x14ac:dyDescent="0.3">
      <c r="A364" s="198"/>
      <c r="B364" s="199"/>
      <c r="C364" s="219"/>
      <c r="D364" s="232" t="s">
        <v>535</v>
      </c>
      <c r="E364" s="200"/>
      <c r="F364" s="342"/>
      <c r="G364" s="200"/>
      <c r="H364" s="296"/>
    </row>
    <row r="365" spans="1:9" s="260" customFormat="1" ht="12.75" hidden="1" customHeight="1" x14ac:dyDescent="0.3">
      <c r="A365" s="198"/>
      <c r="B365" s="199"/>
      <c r="C365" s="219"/>
      <c r="D365" s="232" t="s">
        <v>279</v>
      </c>
      <c r="E365" s="200"/>
      <c r="F365" s="342"/>
      <c r="G365" s="200"/>
      <c r="H365" s="296"/>
    </row>
    <row r="366" spans="1:9" s="260" customFormat="1" ht="12.75" hidden="1" customHeight="1" x14ac:dyDescent="0.3">
      <c r="A366" s="198"/>
      <c r="B366" s="199"/>
      <c r="C366" s="219"/>
      <c r="D366" s="232" t="s">
        <v>288</v>
      </c>
      <c r="E366" s="200"/>
      <c r="F366" s="342"/>
      <c r="G366" s="200"/>
      <c r="H366" s="296"/>
    </row>
    <row r="367" spans="1:9" s="260" customFormat="1" ht="12.75" hidden="1" customHeight="1" x14ac:dyDescent="0.3">
      <c r="A367" s="198"/>
      <c r="B367" s="199"/>
      <c r="C367" s="219"/>
      <c r="D367" s="232" t="s">
        <v>257</v>
      </c>
      <c r="E367" s="200"/>
      <c r="F367" s="342"/>
      <c r="G367" s="200"/>
      <c r="H367" s="296"/>
    </row>
    <row r="368" spans="1:9" s="260" customFormat="1" ht="12.75" hidden="1" customHeight="1" x14ac:dyDescent="0.3">
      <c r="A368" s="198"/>
      <c r="B368" s="199"/>
      <c r="C368" s="219"/>
      <c r="D368" s="232" t="s">
        <v>302</v>
      </c>
      <c r="E368" s="200"/>
      <c r="F368" s="342"/>
      <c r="G368" s="200"/>
      <c r="H368" s="296"/>
    </row>
    <row r="369" spans="1:9" s="260" customFormat="1" ht="12.75" hidden="1" customHeight="1" x14ac:dyDescent="0.3">
      <c r="A369" s="198"/>
      <c r="B369" s="199"/>
      <c r="C369" s="219"/>
      <c r="D369" s="232" t="s">
        <v>387</v>
      </c>
      <c r="E369" s="200"/>
      <c r="F369" s="342"/>
      <c r="G369" s="200"/>
      <c r="H369" s="296"/>
    </row>
    <row r="370" spans="1:9" s="260" customFormat="1" ht="12.75" hidden="1" customHeight="1" x14ac:dyDescent="0.3">
      <c r="A370" s="198"/>
      <c r="B370" s="199"/>
      <c r="C370" s="219"/>
      <c r="D370" s="232"/>
      <c r="E370" s="200"/>
      <c r="F370" s="342"/>
      <c r="G370" s="200"/>
      <c r="H370" s="296"/>
      <c r="I370" s="332"/>
    </row>
    <row r="371" spans="1:9" s="260" customFormat="1" ht="12.75" customHeight="1" x14ac:dyDescent="0.3">
      <c r="A371" s="194">
        <f>A362+1</f>
        <v>40</v>
      </c>
      <c r="B371" s="263">
        <v>4061</v>
      </c>
      <c r="C371" s="265" t="s">
        <v>366</v>
      </c>
      <c r="D371" s="544" t="str">
        <f>$D$12</f>
        <v>FTE June 2025</v>
      </c>
      <c r="E371" s="197">
        <f>'4061'!I$145</f>
        <v>-23338.22</v>
      </c>
      <c r="F371" s="343"/>
      <c r="G371" s="197">
        <f>SUBTOTAL(109,E371:F379)</f>
        <v>-23338.22</v>
      </c>
      <c r="H371" s="296"/>
    </row>
    <row r="372" spans="1:9" s="260" customFormat="1" ht="12.75" hidden="1" customHeight="1" x14ac:dyDescent="0.3">
      <c r="A372" s="194"/>
      <c r="B372" s="263"/>
      <c r="C372" s="264"/>
      <c r="D372" s="231" t="s">
        <v>598</v>
      </c>
      <c r="E372" s="197"/>
      <c r="F372" s="343"/>
      <c r="G372" s="197"/>
      <c r="H372" s="296"/>
    </row>
    <row r="373" spans="1:9" s="260" customFormat="1" ht="12.75" hidden="1" customHeight="1" x14ac:dyDescent="0.3">
      <c r="A373" s="194"/>
      <c r="B373" s="195"/>
      <c r="C373" s="218"/>
      <c r="D373" s="353" t="s">
        <v>535</v>
      </c>
      <c r="E373" s="197"/>
      <c r="F373" s="343"/>
      <c r="G373" s="197"/>
      <c r="H373" s="296"/>
    </row>
    <row r="374" spans="1:9" s="260" customFormat="1" ht="12.75" hidden="1" customHeight="1" x14ac:dyDescent="0.3">
      <c r="A374" s="194"/>
      <c r="B374" s="263"/>
      <c r="C374" s="264"/>
      <c r="D374" s="231" t="s">
        <v>278</v>
      </c>
      <c r="E374" s="197"/>
      <c r="F374" s="343"/>
      <c r="G374" s="197"/>
      <c r="H374" s="296"/>
    </row>
    <row r="375" spans="1:9" s="260" customFormat="1" ht="12.75" hidden="1" customHeight="1" x14ac:dyDescent="0.3">
      <c r="A375" s="194"/>
      <c r="B375" s="263"/>
      <c r="C375" s="264"/>
      <c r="D375" s="231" t="s">
        <v>280</v>
      </c>
      <c r="E375" s="197"/>
      <c r="F375" s="343"/>
      <c r="G375" s="197"/>
      <c r="H375" s="296"/>
    </row>
    <row r="376" spans="1:9" s="260" customFormat="1" ht="12.75" hidden="1" customHeight="1" x14ac:dyDescent="0.3">
      <c r="A376" s="194"/>
      <c r="B376" s="195"/>
      <c r="C376" s="218"/>
      <c r="D376" s="231" t="s">
        <v>279</v>
      </c>
      <c r="E376" s="197"/>
      <c r="F376" s="343"/>
      <c r="G376" s="197"/>
      <c r="H376" s="296"/>
    </row>
    <row r="377" spans="1:9" s="260" customFormat="1" ht="12.75" hidden="1" customHeight="1" x14ac:dyDescent="0.3">
      <c r="A377" s="194"/>
      <c r="B377" s="195"/>
      <c r="C377" s="218"/>
      <c r="D377" s="231" t="s">
        <v>288</v>
      </c>
      <c r="E377" s="197"/>
      <c r="F377" s="343"/>
      <c r="G377" s="197"/>
      <c r="H377" s="296"/>
    </row>
    <row r="378" spans="1:9" s="260" customFormat="1" ht="12.75" hidden="1" customHeight="1" x14ac:dyDescent="0.3">
      <c r="A378" s="194"/>
      <c r="B378" s="195"/>
      <c r="C378" s="218"/>
      <c r="D378" s="231" t="s">
        <v>257</v>
      </c>
      <c r="E378" s="197"/>
      <c r="F378" s="343"/>
      <c r="G378" s="197"/>
      <c r="H378" s="296"/>
    </row>
    <row r="379" spans="1:9" s="260" customFormat="1" ht="12.75" hidden="1" customHeight="1" x14ac:dyDescent="0.3">
      <c r="A379" s="194"/>
      <c r="B379" s="195"/>
      <c r="C379" s="218"/>
      <c r="D379" s="487" t="s">
        <v>497</v>
      </c>
      <c r="E379" s="486"/>
      <c r="F379" s="343"/>
      <c r="G379" s="197"/>
      <c r="H379" s="296"/>
      <c r="I379" s="334"/>
    </row>
    <row r="380" spans="1:9" s="260" customFormat="1" ht="12.75" customHeight="1" x14ac:dyDescent="0.3">
      <c r="A380" s="198">
        <f>A371+1</f>
        <v>41</v>
      </c>
      <c r="B380" s="199">
        <v>4080</v>
      </c>
      <c r="C380" s="219" t="s">
        <v>237</v>
      </c>
      <c r="D380" s="277" t="str">
        <f>$D$12</f>
        <v>FTE June 2025</v>
      </c>
      <c r="E380" s="200">
        <f>'4080'!I$145</f>
        <v>-16233.16</v>
      </c>
      <c r="F380" s="342"/>
      <c r="G380" s="200">
        <f>SUBTOTAL(109,E380:F386)</f>
        <v>-16233.16</v>
      </c>
      <c r="H380" s="296"/>
      <c r="I380" s="260" t="s">
        <v>620</v>
      </c>
    </row>
    <row r="381" spans="1:9" s="260" customFormat="1" ht="12.75" hidden="1" customHeight="1" x14ac:dyDescent="0.3">
      <c r="A381" s="198"/>
      <c r="B381" s="199"/>
      <c r="C381" s="219"/>
      <c r="D381" s="232" t="s">
        <v>278</v>
      </c>
      <c r="E381" s="200"/>
      <c r="F381" s="342"/>
      <c r="G381" s="200"/>
      <c r="H381" s="296"/>
    </row>
    <row r="382" spans="1:9" s="260" customFormat="1" ht="12.75" hidden="1" customHeight="1" x14ac:dyDescent="0.3">
      <c r="A382" s="198"/>
      <c r="B382" s="199"/>
      <c r="C382" s="219"/>
      <c r="D382" s="232" t="s">
        <v>535</v>
      </c>
      <c r="E382" s="200"/>
      <c r="F382" s="342"/>
      <c r="G382" s="200"/>
      <c r="H382" s="296"/>
    </row>
    <row r="383" spans="1:9" s="260" customFormat="1" ht="12.75" hidden="1" customHeight="1" x14ac:dyDescent="0.3">
      <c r="A383" s="198"/>
      <c r="B383" s="199"/>
      <c r="C383" s="219"/>
      <c r="D383" s="232" t="s">
        <v>279</v>
      </c>
      <c r="E383" s="200"/>
      <c r="F383" s="342"/>
      <c r="G383" s="200"/>
      <c r="H383" s="296"/>
      <c r="I383" s="195"/>
    </row>
    <row r="384" spans="1:9" s="260" customFormat="1" ht="12.75" hidden="1" customHeight="1" x14ac:dyDescent="0.3">
      <c r="A384" s="198"/>
      <c r="B384" s="199"/>
      <c r="C384" s="219"/>
      <c r="D384" s="232" t="s">
        <v>288</v>
      </c>
      <c r="E384" s="200"/>
      <c r="F384" s="342"/>
      <c r="G384" s="200"/>
      <c r="H384" s="296"/>
    </row>
    <row r="385" spans="1:12" s="260" customFormat="1" ht="12.75" hidden="1" customHeight="1" x14ac:dyDescent="0.3">
      <c r="A385" s="198"/>
      <c r="B385" s="199"/>
      <c r="C385" s="219"/>
      <c r="D385" s="232" t="s">
        <v>257</v>
      </c>
      <c r="E385" s="200"/>
      <c r="F385" s="342"/>
      <c r="G385" s="200"/>
      <c r="H385" s="296"/>
    </row>
    <row r="386" spans="1:12" s="260" customFormat="1" ht="12.75" hidden="1" customHeight="1" x14ac:dyDescent="0.3">
      <c r="A386" s="198"/>
      <c r="B386" s="199"/>
      <c r="C386" s="219"/>
      <c r="D386" s="232" t="s">
        <v>359</v>
      </c>
      <c r="E386" s="200"/>
      <c r="F386" s="342"/>
      <c r="G386" s="200"/>
      <c r="H386" s="296"/>
      <c r="I386" s="195"/>
    </row>
    <row r="387" spans="1:12" s="260" customFormat="1" ht="12.75" customHeight="1" x14ac:dyDescent="0.3">
      <c r="A387" s="194">
        <f>1+A380</f>
        <v>42</v>
      </c>
      <c r="B387" s="263">
        <v>4081</v>
      </c>
      <c r="C387" s="265" t="s">
        <v>234</v>
      </c>
      <c r="D387" s="544" t="str">
        <f>$D$12</f>
        <v>FTE June 2025</v>
      </c>
      <c r="E387" s="197">
        <f>'4081'!I$145</f>
        <v>9174.91</v>
      </c>
      <c r="F387" s="343"/>
      <c r="G387" s="197">
        <f>SUBTOTAL(109,E387:F395)</f>
        <v>9174.91</v>
      </c>
      <c r="H387" s="296"/>
    </row>
    <row r="388" spans="1:12" s="260" customFormat="1" ht="12.75" hidden="1" customHeight="1" x14ac:dyDescent="0.3">
      <c r="A388" s="194"/>
      <c r="B388" s="263"/>
      <c r="C388" s="265"/>
      <c r="D388" s="231" t="s">
        <v>598</v>
      </c>
      <c r="E388" s="197"/>
      <c r="F388" s="343"/>
      <c r="G388" s="197"/>
      <c r="H388" s="296"/>
      <c r="I388" s="332"/>
    </row>
    <row r="389" spans="1:12" s="260" customFormat="1" ht="12.75" hidden="1" customHeight="1" x14ac:dyDescent="0.3">
      <c r="A389" s="194"/>
      <c r="B389" s="195"/>
      <c r="C389" s="218"/>
      <c r="D389" s="353" t="s">
        <v>535</v>
      </c>
      <c r="E389" s="197"/>
      <c r="F389" s="343"/>
      <c r="G389" s="197"/>
      <c r="H389" s="296"/>
      <c r="I389" s="332"/>
    </row>
    <row r="390" spans="1:12" s="260" customFormat="1" ht="12.75" hidden="1" customHeight="1" x14ac:dyDescent="0.3">
      <c r="A390" s="194"/>
      <c r="B390" s="263"/>
      <c r="C390" s="265"/>
      <c r="D390" s="231" t="s">
        <v>280</v>
      </c>
      <c r="E390" s="197"/>
      <c r="F390" s="343"/>
      <c r="G390" s="197"/>
      <c r="H390" s="296"/>
    </row>
    <row r="391" spans="1:12" s="260" customFormat="1" ht="12.75" hidden="1" customHeight="1" x14ac:dyDescent="0.3">
      <c r="A391" s="194"/>
      <c r="B391" s="263"/>
      <c r="C391" s="265"/>
      <c r="D391" s="231" t="s">
        <v>279</v>
      </c>
      <c r="E391" s="197"/>
      <c r="F391" s="343"/>
      <c r="G391" s="197"/>
      <c r="H391" s="296"/>
    </row>
    <row r="392" spans="1:12" s="260" customFormat="1" ht="12.75" hidden="1" customHeight="1" x14ac:dyDescent="0.3">
      <c r="A392" s="194"/>
      <c r="B392" s="263"/>
      <c r="C392" s="265"/>
      <c r="D392" s="231" t="s">
        <v>288</v>
      </c>
      <c r="E392" s="197"/>
      <c r="F392" s="343"/>
      <c r="G392" s="197"/>
      <c r="H392" s="296"/>
    </row>
    <row r="393" spans="1:12" s="260" customFormat="1" ht="12.75" hidden="1" customHeight="1" x14ac:dyDescent="0.3">
      <c r="A393" s="194"/>
      <c r="B393" s="195"/>
      <c r="C393" s="218"/>
      <c r="D393" s="231" t="s">
        <v>257</v>
      </c>
      <c r="E393" s="197"/>
      <c r="F393" s="343"/>
      <c r="G393" s="197"/>
      <c r="H393" s="296"/>
    </row>
    <row r="394" spans="1:12" s="260" customFormat="1" ht="12.75" hidden="1" customHeight="1" x14ac:dyDescent="0.3">
      <c r="A394" s="194"/>
      <c r="B394" s="195"/>
      <c r="C394" s="218"/>
      <c r="D394" s="231" t="s">
        <v>388</v>
      </c>
      <c r="E394" s="197"/>
      <c r="F394" s="343"/>
      <c r="G394" s="197"/>
      <c r="H394" s="296"/>
    </row>
    <row r="395" spans="1:12" s="260" customFormat="1" ht="12.75" hidden="1" customHeight="1" x14ac:dyDescent="0.3">
      <c r="A395" s="194"/>
      <c r="B395" s="195"/>
      <c r="C395" s="218"/>
      <c r="D395" s="276" t="s">
        <v>359</v>
      </c>
      <c r="E395" s="197"/>
      <c r="F395" s="343"/>
      <c r="G395" s="197"/>
      <c r="H395" s="296"/>
    </row>
    <row r="396" spans="1:12" s="260" customFormat="1" ht="12.75" customHeight="1" x14ac:dyDescent="0.3">
      <c r="A396" s="198">
        <f>1+A387</f>
        <v>43</v>
      </c>
      <c r="B396" s="199">
        <v>4090</v>
      </c>
      <c r="C396" s="219" t="s">
        <v>274</v>
      </c>
      <c r="D396" s="277" t="str">
        <f>$D$12</f>
        <v>FTE June 2025</v>
      </c>
      <c r="E396" s="200">
        <f>'4090'!I$145</f>
        <v>207087.16</v>
      </c>
      <c r="F396" s="342"/>
      <c r="G396" s="200">
        <f>SUBTOTAL(109,E396:F405)</f>
        <v>207087.16</v>
      </c>
      <c r="H396" s="296"/>
    </row>
    <row r="397" spans="1:12" s="260" customFormat="1" ht="12.75" hidden="1" customHeight="1" x14ac:dyDescent="0.3">
      <c r="A397" s="198"/>
      <c r="B397" s="199"/>
      <c r="C397" s="219"/>
      <c r="D397" s="232" t="s">
        <v>278</v>
      </c>
      <c r="E397" s="200"/>
      <c r="F397" s="342"/>
      <c r="G397" s="200"/>
      <c r="H397" s="296"/>
      <c r="L397" s="333"/>
    </row>
    <row r="398" spans="1:12" s="260" customFormat="1" ht="12.75" hidden="1" customHeight="1" x14ac:dyDescent="0.3">
      <c r="A398" s="198"/>
      <c r="B398" s="199"/>
      <c r="C398" s="219"/>
      <c r="D398" s="420" t="s">
        <v>396</v>
      </c>
      <c r="E398" s="200"/>
      <c r="F398" s="342"/>
      <c r="G398" s="200"/>
      <c r="H398" s="296"/>
    </row>
    <row r="399" spans="1:12" s="260" customFormat="1" ht="12.75" hidden="1" customHeight="1" x14ac:dyDescent="0.3">
      <c r="A399" s="198"/>
      <c r="B399" s="199"/>
      <c r="C399" s="219"/>
      <c r="D399" s="420" t="s">
        <v>395</v>
      </c>
      <c r="E399" s="200"/>
      <c r="F399" s="342"/>
      <c r="G399" s="200"/>
      <c r="H399" s="296"/>
      <c r="I399" s="195"/>
    </row>
    <row r="400" spans="1:12" s="260" customFormat="1" ht="12.75" hidden="1" customHeight="1" x14ac:dyDescent="0.3">
      <c r="A400" s="198"/>
      <c r="B400" s="199"/>
      <c r="C400" s="219"/>
      <c r="D400" s="232" t="s">
        <v>280</v>
      </c>
      <c r="E400" s="200"/>
      <c r="F400" s="342"/>
      <c r="G400" s="200"/>
      <c r="H400" s="296"/>
    </row>
    <row r="401" spans="1:13" s="260" customFormat="1" ht="12.75" hidden="1" customHeight="1" x14ac:dyDescent="0.3">
      <c r="A401" s="198"/>
      <c r="B401" s="199"/>
      <c r="C401" s="219"/>
      <c r="D401" s="232" t="s">
        <v>279</v>
      </c>
      <c r="E401" s="200"/>
      <c r="F401" s="342"/>
      <c r="G401" s="200"/>
      <c r="H401" s="296"/>
    </row>
    <row r="402" spans="1:13" s="260" customFormat="1" ht="12.75" hidden="1" customHeight="1" x14ac:dyDescent="0.3">
      <c r="A402" s="198"/>
      <c r="B402" s="199"/>
      <c r="C402" s="219"/>
      <c r="D402" s="232" t="s">
        <v>288</v>
      </c>
      <c r="E402" s="200"/>
      <c r="F402" s="342"/>
      <c r="G402" s="200"/>
      <c r="H402" s="296"/>
    </row>
    <row r="403" spans="1:13" s="260" customFormat="1" ht="12.75" hidden="1" customHeight="1" x14ac:dyDescent="0.3">
      <c r="A403" s="198"/>
      <c r="B403" s="199"/>
      <c r="C403" s="219"/>
      <c r="D403" s="232" t="s">
        <v>257</v>
      </c>
      <c r="E403" s="200"/>
      <c r="F403" s="342"/>
      <c r="G403" s="200"/>
      <c r="H403" s="296"/>
      <c r="I403" s="332"/>
    </row>
    <row r="404" spans="1:13" s="260" customFormat="1" ht="12.75" hidden="1" customHeight="1" x14ac:dyDescent="0.3">
      <c r="A404" s="198"/>
      <c r="B404" s="199"/>
      <c r="C404" s="219"/>
      <c r="D404" s="232" t="s">
        <v>388</v>
      </c>
      <c r="E404" s="200"/>
      <c r="F404" s="342"/>
      <c r="G404" s="200"/>
      <c r="H404" s="296"/>
      <c r="I404" s="334"/>
    </row>
    <row r="405" spans="1:13" s="260" customFormat="1" ht="12.75" hidden="1" customHeight="1" x14ac:dyDescent="0.3">
      <c r="A405" s="198"/>
      <c r="B405" s="199"/>
      <c r="C405" s="219"/>
      <c r="D405" s="232" t="s">
        <v>605</v>
      </c>
      <c r="E405" s="200"/>
      <c r="F405" s="342"/>
      <c r="G405" s="200"/>
      <c r="H405" s="296"/>
      <c r="I405" s="332"/>
    </row>
    <row r="406" spans="1:13" s="260" customFormat="1" ht="12.75" customHeight="1" x14ac:dyDescent="0.3">
      <c r="A406" s="194">
        <f>1+A396</f>
        <v>44</v>
      </c>
      <c r="B406" s="263">
        <v>4091</v>
      </c>
      <c r="C406" s="265" t="s">
        <v>275</v>
      </c>
      <c r="D406" s="544" t="str">
        <f>$D$12</f>
        <v>FTE June 2025</v>
      </c>
      <c r="E406" s="197">
        <f>'4091'!I$145</f>
        <v>-54976.35</v>
      </c>
      <c r="F406" s="343"/>
      <c r="G406" s="197">
        <f>SUBTOTAL(109,E406:F415)</f>
        <v>-54976.35</v>
      </c>
      <c r="H406" s="296"/>
      <c r="L406" s="333"/>
    </row>
    <row r="407" spans="1:13" s="260" customFormat="1" ht="12.75" hidden="1" customHeight="1" x14ac:dyDescent="0.3">
      <c r="A407" s="194"/>
      <c r="B407" s="263"/>
      <c r="C407" s="265"/>
      <c r="D407" s="231" t="s">
        <v>598</v>
      </c>
      <c r="E407" s="197"/>
      <c r="F407" s="343"/>
      <c r="G407" s="197"/>
      <c r="H407" s="296"/>
    </row>
    <row r="408" spans="1:13" s="260" customFormat="1" ht="12.75" hidden="1" customHeight="1" x14ac:dyDescent="0.3">
      <c r="A408" s="194"/>
      <c r="B408" s="195"/>
      <c r="C408" s="218"/>
      <c r="D408" s="353" t="s">
        <v>535</v>
      </c>
      <c r="E408" s="197"/>
      <c r="F408" s="343"/>
      <c r="G408" s="197"/>
      <c r="H408" s="296"/>
      <c r="I408" s="195"/>
    </row>
    <row r="409" spans="1:13" s="260" customFormat="1" ht="12.75" hidden="1" customHeight="1" x14ac:dyDescent="0.3">
      <c r="A409" s="194"/>
      <c r="B409" s="263"/>
      <c r="C409" s="265"/>
      <c r="D409" s="231" t="s">
        <v>280</v>
      </c>
      <c r="E409" s="197"/>
      <c r="F409" s="343"/>
      <c r="G409" s="197"/>
      <c r="H409" s="296"/>
      <c r="I409" s="195"/>
    </row>
    <row r="410" spans="1:13" s="260" customFormat="1" ht="12.75" hidden="1" customHeight="1" x14ac:dyDescent="0.3">
      <c r="A410" s="194"/>
      <c r="B410" s="263"/>
      <c r="C410" s="265"/>
      <c r="D410" s="231" t="s">
        <v>279</v>
      </c>
      <c r="E410" s="197"/>
      <c r="F410" s="343"/>
      <c r="G410" s="197"/>
      <c r="H410" s="296"/>
    </row>
    <row r="411" spans="1:13" s="260" customFormat="1" ht="12.75" hidden="1" customHeight="1" x14ac:dyDescent="0.3">
      <c r="A411" s="194"/>
      <c r="B411" s="263"/>
      <c r="C411" s="265"/>
      <c r="D411" s="231" t="s">
        <v>288</v>
      </c>
      <c r="E411" s="197"/>
      <c r="F411" s="343"/>
      <c r="G411" s="197"/>
      <c r="H411" s="296"/>
    </row>
    <row r="412" spans="1:13" s="260" customFormat="1" ht="12.75" hidden="1" customHeight="1" x14ac:dyDescent="0.3">
      <c r="A412" s="194"/>
      <c r="B412" s="195"/>
      <c r="C412" s="218"/>
      <c r="D412" s="231" t="s">
        <v>257</v>
      </c>
      <c r="E412" s="197"/>
      <c r="F412" s="343"/>
      <c r="G412" s="197"/>
      <c r="H412" s="296"/>
    </row>
    <row r="413" spans="1:13" s="260" customFormat="1" ht="12.75" hidden="1" customHeight="1" x14ac:dyDescent="0.3">
      <c r="A413" s="194"/>
      <c r="B413" s="195"/>
      <c r="C413" s="218"/>
      <c r="D413" s="231" t="s">
        <v>388</v>
      </c>
      <c r="E413" s="197"/>
      <c r="F413" s="343"/>
      <c r="G413" s="197"/>
      <c r="H413" s="296"/>
    </row>
    <row r="414" spans="1:13" s="260" customFormat="1" ht="12.75" hidden="1" customHeight="1" x14ac:dyDescent="0.3">
      <c r="A414" s="194"/>
      <c r="B414" s="195"/>
      <c r="C414" s="218"/>
      <c r="D414" s="276" t="s">
        <v>536</v>
      </c>
      <c r="E414" s="197"/>
      <c r="F414" s="343"/>
      <c r="G414" s="197"/>
      <c r="H414" s="296"/>
    </row>
    <row r="415" spans="1:13" s="260" customFormat="1" ht="12.75" hidden="1" customHeight="1" x14ac:dyDescent="0.3">
      <c r="A415" s="194"/>
      <c r="B415" s="195"/>
      <c r="C415" s="218"/>
      <c r="D415" s="354" t="s">
        <v>609</v>
      </c>
      <c r="E415" s="197"/>
      <c r="F415" s="343"/>
      <c r="G415" s="197"/>
      <c r="H415" s="296"/>
    </row>
    <row r="416" spans="1:13" s="260" customFormat="1" ht="12.75" customHeight="1" x14ac:dyDescent="0.3">
      <c r="A416" s="198">
        <f>1+A406</f>
        <v>45</v>
      </c>
      <c r="B416" s="199">
        <v>4100</v>
      </c>
      <c r="C416" s="219" t="s">
        <v>267</v>
      </c>
      <c r="D416" s="277" t="str">
        <f>$D$12</f>
        <v>FTE June 2025</v>
      </c>
      <c r="E416" s="200">
        <f>'4100'!I$145</f>
        <v>45241.06</v>
      </c>
      <c r="F416" s="342"/>
      <c r="G416" s="200">
        <f>SUBTOTAL(109,E416:F424)</f>
        <v>45241.06</v>
      </c>
      <c r="H416" s="296"/>
      <c r="M416" s="333"/>
    </row>
    <row r="417" spans="1:9" s="260" customFormat="1" ht="12.75" hidden="1" customHeight="1" x14ac:dyDescent="0.3">
      <c r="A417" s="198"/>
      <c r="B417" s="199"/>
      <c r="C417" s="219"/>
      <c r="D417" s="232" t="s">
        <v>278</v>
      </c>
      <c r="E417" s="200"/>
      <c r="F417" s="342"/>
      <c r="G417" s="200"/>
      <c r="H417" s="296"/>
    </row>
    <row r="418" spans="1:9" s="260" customFormat="1" ht="12.75" hidden="1" customHeight="1" x14ac:dyDescent="0.3">
      <c r="A418" s="198"/>
      <c r="B418" s="199"/>
      <c r="C418" s="219"/>
      <c r="D418" s="420" t="s">
        <v>535</v>
      </c>
      <c r="E418" s="200"/>
      <c r="F418" s="342"/>
      <c r="G418" s="200"/>
      <c r="H418" s="296"/>
      <c r="I418" s="195"/>
    </row>
    <row r="419" spans="1:9" s="260" customFormat="1" ht="12.75" hidden="1" customHeight="1" x14ac:dyDescent="0.3">
      <c r="A419" s="198"/>
      <c r="B419" s="199"/>
      <c r="C419" s="219"/>
      <c r="D419" s="232" t="s">
        <v>280</v>
      </c>
      <c r="E419" s="200"/>
      <c r="F419" s="342"/>
      <c r="G419" s="200"/>
      <c r="H419" s="296"/>
    </row>
    <row r="420" spans="1:9" s="260" customFormat="1" ht="12.75" hidden="1" customHeight="1" x14ac:dyDescent="0.3">
      <c r="A420" s="198"/>
      <c r="B420" s="199"/>
      <c r="C420" s="219"/>
      <c r="D420" s="232" t="s">
        <v>279</v>
      </c>
      <c r="E420" s="200"/>
      <c r="F420" s="342"/>
      <c r="G420" s="200"/>
      <c r="H420" s="296"/>
    </row>
    <row r="421" spans="1:9" s="260" customFormat="1" ht="12.75" hidden="1" customHeight="1" x14ac:dyDescent="0.3">
      <c r="A421" s="198"/>
      <c r="B421" s="199"/>
      <c r="C421" s="219"/>
      <c r="D421" s="232" t="s">
        <v>288</v>
      </c>
      <c r="E421" s="200"/>
      <c r="F421" s="342"/>
      <c r="G421" s="200"/>
      <c r="H421" s="296"/>
    </row>
    <row r="422" spans="1:9" s="260" customFormat="1" ht="12.75" hidden="1" customHeight="1" x14ac:dyDescent="0.3">
      <c r="A422" s="198"/>
      <c r="B422" s="199"/>
      <c r="C422" s="219"/>
      <c r="D422" s="232" t="s">
        <v>257</v>
      </c>
      <c r="E422" s="200"/>
      <c r="F422" s="342"/>
      <c r="G422" s="200"/>
      <c r="H422" s="296"/>
      <c r="I422" s="332"/>
    </row>
    <row r="423" spans="1:9" s="260" customFormat="1" ht="12.75" hidden="1" customHeight="1" x14ac:dyDescent="0.3">
      <c r="A423" s="198"/>
      <c r="B423" s="199"/>
      <c r="C423" s="219"/>
      <c r="D423" s="232" t="s">
        <v>388</v>
      </c>
      <c r="E423" s="200"/>
      <c r="F423" s="342"/>
      <c r="G423" s="200"/>
      <c r="H423" s="296"/>
      <c r="I423" s="334"/>
    </row>
    <row r="424" spans="1:9" s="260" customFormat="1" ht="12.75" hidden="1" customHeight="1" x14ac:dyDescent="0.3">
      <c r="A424" s="198"/>
      <c r="B424" s="199"/>
      <c r="C424" s="219"/>
      <c r="D424" s="232" t="s">
        <v>359</v>
      </c>
      <c r="E424" s="200"/>
      <c r="F424" s="342"/>
      <c r="G424" s="200"/>
      <c r="H424" s="296"/>
    </row>
    <row r="425" spans="1:9" s="260" customFormat="1" ht="12.75" customHeight="1" x14ac:dyDescent="0.3">
      <c r="A425" s="194">
        <f>1+A416</f>
        <v>46</v>
      </c>
      <c r="B425" s="263">
        <v>4102</v>
      </c>
      <c r="C425" s="265" t="s">
        <v>282</v>
      </c>
      <c r="D425" s="544" t="str">
        <f>$D$12</f>
        <v>FTE June 2025</v>
      </c>
      <c r="E425" s="197">
        <v>0</v>
      </c>
      <c r="F425" s="343"/>
      <c r="G425" s="197">
        <f>SUBTOTAL(109,E425:F432)</f>
        <v>0</v>
      </c>
      <c r="H425" s="296"/>
    </row>
    <row r="426" spans="1:9" s="260" customFormat="1" ht="12.75" hidden="1" customHeight="1" x14ac:dyDescent="0.3">
      <c r="A426" s="194"/>
      <c r="B426" s="263"/>
      <c r="C426" s="265"/>
      <c r="D426" s="231" t="s">
        <v>598</v>
      </c>
      <c r="E426" s="197"/>
      <c r="F426" s="343">
        <v>0</v>
      </c>
      <c r="G426" s="197"/>
      <c r="H426" s="296"/>
    </row>
    <row r="427" spans="1:9" s="260" customFormat="1" ht="12.75" hidden="1" customHeight="1" x14ac:dyDescent="0.3">
      <c r="A427" s="194"/>
      <c r="B427" s="195"/>
      <c r="C427" s="218"/>
      <c r="D427" s="353"/>
      <c r="E427" s="486"/>
      <c r="F427" s="343"/>
      <c r="G427" s="197"/>
      <c r="H427" s="296"/>
    </row>
    <row r="428" spans="1:9" s="260" customFormat="1" ht="12.75" hidden="1" customHeight="1" x14ac:dyDescent="0.3">
      <c r="A428" s="194"/>
      <c r="B428" s="263"/>
      <c r="C428" s="265"/>
      <c r="D428" s="231" t="s">
        <v>280</v>
      </c>
      <c r="E428" s="197"/>
      <c r="F428" s="343"/>
      <c r="G428" s="197"/>
      <c r="H428" s="296"/>
      <c r="I428" s="195"/>
    </row>
    <row r="429" spans="1:9" s="260" customFormat="1" ht="12.75" hidden="1" customHeight="1" x14ac:dyDescent="0.3">
      <c r="A429" s="194"/>
      <c r="B429" s="263"/>
      <c r="C429" s="265"/>
      <c r="D429" s="231" t="s">
        <v>279</v>
      </c>
      <c r="E429" s="197"/>
      <c r="F429" s="343"/>
      <c r="G429" s="197"/>
      <c r="H429" s="296"/>
    </row>
    <row r="430" spans="1:9" s="260" customFormat="1" ht="12.75" hidden="1" customHeight="1" x14ac:dyDescent="0.3">
      <c r="A430" s="194"/>
      <c r="B430" s="263"/>
      <c r="C430" s="265"/>
      <c r="D430" s="231" t="s">
        <v>288</v>
      </c>
      <c r="E430" s="197"/>
      <c r="F430" s="343"/>
      <c r="G430" s="197"/>
      <c r="H430" s="296"/>
    </row>
    <row r="431" spans="1:9" s="260" customFormat="1" ht="12.75" hidden="1" customHeight="1" x14ac:dyDescent="0.3">
      <c r="A431" s="194"/>
      <c r="B431" s="195"/>
      <c r="C431" s="218"/>
      <c r="D431" s="231" t="s">
        <v>257</v>
      </c>
      <c r="E431" s="197"/>
      <c r="F431" s="343"/>
      <c r="G431" s="197"/>
      <c r="H431" s="296"/>
    </row>
    <row r="432" spans="1:9" s="260" customFormat="1" ht="12.75" hidden="1" customHeight="1" x14ac:dyDescent="0.3">
      <c r="A432" s="194"/>
      <c r="B432" s="195"/>
      <c r="C432" s="218"/>
      <c r="D432" s="276"/>
      <c r="E432" s="197"/>
      <c r="F432" s="343"/>
      <c r="G432" s="197"/>
      <c r="H432" s="296"/>
    </row>
    <row r="433" spans="1:9" s="260" customFormat="1" ht="12.75" customHeight="1" x14ac:dyDescent="0.3">
      <c r="A433" s="198">
        <f>A425+1</f>
        <v>47</v>
      </c>
      <c r="B433" s="199">
        <v>4103</v>
      </c>
      <c r="C433" s="219" t="s">
        <v>323</v>
      </c>
      <c r="D433" s="277" t="str">
        <f>$D$12</f>
        <v>FTE June 2025</v>
      </c>
      <c r="E433" s="200">
        <f>'4103'!I$145</f>
        <v>-57339.57</v>
      </c>
      <c r="F433" s="342"/>
      <c r="G433" s="200">
        <f>SUBTOTAL(109,E433:F442)</f>
        <v>-57339.57</v>
      </c>
      <c r="H433" s="296"/>
    </row>
    <row r="434" spans="1:9" s="260" customFormat="1" ht="12.75" hidden="1" customHeight="1" x14ac:dyDescent="0.3">
      <c r="A434" s="198"/>
      <c r="B434" s="199"/>
      <c r="C434" s="219"/>
      <c r="D434" s="232" t="s">
        <v>278</v>
      </c>
      <c r="E434" s="200"/>
      <c r="F434" s="342"/>
      <c r="G434" s="200"/>
      <c r="H434" s="296"/>
    </row>
    <row r="435" spans="1:9" s="260" customFormat="1" ht="12.75" hidden="1" customHeight="1" x14ac:dyDescent="0.3">
      <c r="A435" s="198"/>
      <c r="B435" s="199"/>
      <c r="C435" s="219"/>
      <c r="D435" s="420" t="s">
        <v>535</v>
      </c>
      <c r="E435" s="200"/>
      <c r="F435" s="342"/>
      <c r="G435" s="200"/>
      <c r="H435" s="296"/>
    </row>
    <row r="436" spans="1:9" s="260" customFormat="1" ht="12.75" hidden="1" customHeight="1" x14ac:dyDescent="0.3">
      <c r="A436" s="198"/>
      <c r="B436" s="199"/>
      <c r="C436" s="219"/>
      <c r="D436" s="420" t="s">
        <v>395</v>
      </c>
      <c r="E436" s="200"/>
      <c r="F436" s="342"/>
      <c r="G436" s="200"/>
      <c r="H436" s="296"/>
    </row>
    <row r="437" spans="1:9" s="260" customFormat="1" ht="12.75" hidden="1" customHeight="1" x14ac:dyDescent="0.3">
      <c r="A437" s="198"/>
      <c r="B437" s="199"/>
      <c r="C437" s="219"/>
      <c r="D437" s="232" t="s">
        <v>280</v>
      </c>
      <c r="E437" s="200"/>
      <c r="F437" s="342"/>
      <c r="G437" s="200"/>
      <c r="H437" s="296"/>
      <c r="I437" s="195"/>
    </row>
    <row r="438" spans="1:9" s="260" customFormat="1" ht="12.75" hidden="1" customHeight="1" x14ac:dyDescent="0.3">
      <c r="A438" s="198"/>
      <c r="B438" s="199"/>
      <c r="C438" s="219"/>
      <c r="D438" s="232" t="s">
        <v>279</v>
      </c>
      <c r="E438" s="200"/>
      <c r="F438" s="342"/>
      <c r="G438" s="200"/>
      <c r="H438" s="296"/>
    </row>
    <row r="439" spans="1:9" s="260" customFormat="1" ht="12.75" hidden="1" customHeight="1" x14ac:dyDescent="0.3">
      <c r="A439" s="198"/>
      <c r="B439" s="199"/>
      <c r="C439" s="219"/>
      <c r="D439" s="232" t="s">
        <v>288</v>
      </c>
      <c r="E439" s="200"/>
      <c r="F439" s="342"/>
      <c r="G439" s="200"/>
      <c r="H439" s="296"/>
    </row>
    <row r="440" spans="1:9" s="260" customFormat="1" ht="12.75" hidden="1" customHeight="1" x14ac:dyDescent="0.3">
      <c r="A440" s="198"/>
      <c r="B440" s="199"/>
      <c r="C440" s="219"/>
      <c r="D440" s="232" t="s">
        <v>257</v>
      </c>
      <c r="E440" s="200"/>
      <c r="F440" s="342"/>
      <c r="G440" s="200"/>
      <c r="H440" s="296"/>
      <c r="I440" s="188"/>
    </row>
    <row r="441" spans="1:9" s="260" customFormat="1" ht="12.75" hidden="1" customHeight="1" x14ac:dyDescent="0.3">
      <c r="A441" s="198"/>
      <c r="B441" s="199"/>
      <c r="C441" s="219"/>
      <c r="D441" s="232" t="s">
        <v>388</v>
      </c>
      <c r="E441" s="200"/>
      <c r="F441" s="342"/>
      <c r="G441" s="200"/>
      <c r="H441" s="296"/>
      <c r="I441" s="332"/>
    </row>
    <row r="442" spans="1:9" s="260" customFormat="1" ht="12.75" hidden="1" customHeight="1" x14ac:dyDescent="0.3">
      <c r="A442" s="198"/>
      <c r="B442" s="199"/>
      <c r="C442" s="219"/>
      <c r="D442" s="232" t="s">
        <v>359</v>
      </c>
      <c r="E442" s="200"/>
      <c r="F442" s="342"/>
      <c r="G442" s="200"/>
      <c r="H442" s="296"/>
      <c r="I442" s="332"/>
    </row>
    <row r="443" spans="1:9" s="260" customFormat="1" ht="12.75" customHeight="1" x14ac:dyDescent="0.3">
      <c r="A443" s="194">
        <f>1+A433</f>
        <v>48</v>
      </c>
      <c r="B443" s="263">
        <v>4111</v>
      </c>
      <c r="C443" s="265" t="s">
        <v>355</v>
      </c>
      <c r="D443" s="544" t="str">
        <f>$D$12</f>
        <v>FTE June 2025</v>
      </c>
      <c r="E443" s="197">
        <f>'4111'!I$145</f>
        <v>-5084.51</v>
      </c>
      <c r="F443" s="343"/>
      <c r="G443" s="197">
        <f>SUBTOTAL(109,E443:F451)</f>
        <v>-5084.51</v>
      </c>
      <c r="H443" s="296"/>
    </row>
    <row r="444" spans="1:9" s="260" customFormat="1" ht="12.75" hidden="1" customHeight="1" x14ac:dyDescent="0.3">
      <c r="A444" s="194"/>
      <c r="B444" s="263"/>
      <c r="C444" s="265"/>
      <c r="D444" s="231" t="s">
        <v>598</v>
      </c>
      <c r="E444" s="197"/>
      <c r="F444" s="343"/>
      <c r="G444" s="197"/>
      <c r="H444" s="296"/>
    </row>
    <row r="445" spans="1:9" s="260" customFormat="1" ht="12.75" hidden="1" customHeight="1" x14ac:dyDescent="0.3">
      <c r="A445" s="194"/>
      <c r="B445" s="195"/>
      <c r="C445" s="218"/>
      <c r="D445" s="353" t="s">
        <v>535</v>
      </c>
      <c r="E445" s="197"/>
      <c r="F445" s="343"/>
      <c r="G445" s="197"/>
      <c r="H445" s="296"/>
      <c r="I445" s="195"/>
    </row>
    <row r="446" spans="1:9" s="260" customFormat="1" ht="12.75" hidden="1" customHeight="1" x14ac:dyDescent="0.3">
      <c r="A446" s="194"/>
      <c r="B446" s="263"/>
      <c r="C446" s="265"/>
      <c r="D446" s="231" t="s">
        <v>280</v>
      </c>
      <c r="E446" s="197"/>
      <c r="F446" s="343"/>
      <c r="G446" s="197"/>
      <c r="H446" s="296"/>
      <c r="I446" s="195"/>
    </row>
    <row r="447" spans="1:9" s="260" customFormat="1" ht="12.75" hidden="1" customHeight="1" x14ac:dyDescent="0.3">
      <c r="A447" s="194"/>
      <c r="B447" s="263"/>
      <c r="C447" s="265"/>
      <c r="D447" s="231" t="s">
        <v>279</v>
      </c>
      <c r="E447" s="197"/>
      <c r="F447" s="343"/>
      <c r="G447" s="197"/>
      <c r="H447" s="296"/>
    </row>
    <row r="448" spans="1:9" s="260" customFormat="1" ht="12.75" hidden="1" customHeight="1" x14ac:dyDescent="0.3">
      <c r="A448" s="194"/>
      <c r="B448" s="263"/>
      <c r="C448" s="265"/>
      <c r="D448" s="231" t="s">
        <v>288</v>
      </c>
      <c r="E448" s="197"/>
      <c r="F448" s="343"/>
      <c r="G448" s="197"/>
      <c r="H448" s="296"/>
    </row>
    <row r="449" spans="1:9" s="260" customFormat="1" ht="12.75" hidden="1" customHeight="1" x14ac:dyDescent="0.3">
      <c r="A449" s="194"/>
      <c r="B449" s="195"/>
      <c r="C449" s="218"/>
      <c r="D449" s="231" t="s">
        <v>257</v>
      </c>
      <c r="E449" s="197"/>
      <c r="F449" s="343"/>
      <c r="G449" s="197"/>
      <c r="H449" s="296"/>
    </row>
    <row r="450" spans="1:9" s="260" customFormat="1" ht="13.8" hidden="1" x14ac:dyDescent="0.3">
      <c r="A450" s="194"/>
      <c r="B450" s="195"/>
      <c r="C450" s="218"/>
      <c r="D450" s="231" t="s">
        <v>388</v>
      </c>
      <c r="E450" s="197"/>
      <c r="F450" s="343"/>
      <c r="G450" s="197"/>
      <c r="H450" s="296"/>
    </row>
    <row r="451" spans="1:9" s="260" customFormat="1" ht="13.8" hidden="1" x14ac:dyDescent="0.3">
      <c r="A451" s="194"/>
      <c r="B451" s="195"/>
      <c r="C451" s="218"/>
      <c r="D451" s="276" t="s">
        <v>359</v>
      </c>
      <c r="E451" s="197"/>
      <c r="F451" s="343"/>
      <c r="G451" s="197"/>
      <c r="H451" s="296"/>
    </row>
    <row r="452" spans="1:9" s="260" customFormat="1" ht="12.75" customHeight="1" x14ac:dyDescent="0.3">
      <c r="A452" s="198">
        <f>1+A443</f>
        <v>49</v>
      </c>
      <c r="B452" s="425">
        <v>4131</v>
      </c>
      <c r="C452" s="426" t="s">
        <v>412</v>
      </c>
      <c r="D452" s="277" t="str">
        <f>$D$12</f>
        <v>FTE June 2025</v>
      </c>
      <c r="E452" s="200">
        <f>'4131'!I$145</f>
        <v>-4400.3500000000004</v>
      </c>
      <c r="F452" s="342"/>
      <c r="G452" s="200">
        <f>SUBTOTAL(109,E452:F460)</f>
        <v>-4400.3500000000004</v>
      </c>
      <c r="H452" s="296"/>
    </row>
    <row r="453" spans="1:9" s="260" customFormat="1" ht="12.75" hidden="1" customHeight="1" x14ac:dyDescent="0.3">
      <c r="A453" s="198"/>
      <c r="B453" s="425"/>
      <c r="C453" s="426"/>
      <c r="D453" s="232" t="s">
        <v>278</v>
      </c>
      <c r="E453" s="200"/>
      <c r="F453" s="342"/>
      <c r="G453" s="200"/>
      <c r="H453" s="296"/>
    </row>
    <row r="454" spans="1:9" s="260" customFormat="1" ht="12.75" hidden="1" customHeight="1" x14ac:dyDescent="0.3">
      <c r="A454" s="198"/>
      <c r="B454" s="199"/>
      <c r="C454" s="219"/>
      <c r="D454" s="420" t="s">
        <v>396</v>
      </c>
      <c r="E454" s="200"/>
      <c r="F454" s="342"/>
      <c r="G454" s="200"/>
      <c r="H454" s="296"/>
    </row>
    <row r="455" spans="1:9" s="260" customFormat="1" ht="12.75" hidden="1" customHeight="1" x14ac:dyDescent="0.3">
      <c r="A455" s="198"/>
      <c r="B455" s="425"/>
      <c r="C455" s="426"/>
      <c r="D455" s="232" t="s">
        <v>280</v>
      </c>
      <c r="E455" s="200"/>
      <c r="F455" s="342"/>
      <c r="G455" s="200"/>
      <c r="H455" s="296"/>
      <c r="I455" s="195"/>
    </row>
    <row r="456" spans="1:9" s="260" customFormat="1" ht="12.75" hidden="1" customHeight="1" x14ac:dyDescent="0.3">
      <c r="A456" s="198"/>
      <c r="B456" s="425"/>
      <c r="C456" s="426"/>
      <c r="D456" s="232" t="s">
        <v>279</v>
      </c>
      <c r="E456" s="200"/>
      <c r="F456" s="342"/>
      <c r="G456" s="200"/>
      <c r="H456" s="296"/>
    </row>
    <row r="457" spans="1:9" s="260" customFormat="1" ht="12.75" hidden="1" customHeight="1" x14ac:dyDescent="0.3">
      <c r="A457" s="198"/>
      <c r="B457" s="425"/>
      <c r="C457" s="426"/>
      <c r="D457" s="232" t="s">
        <v>288</v>
      </c>
      <c r="E457" s="200"/>
      <c r="F457" s="342"/>
      <c r="G457" s="200"/>
      <c r="H457" s="296"/>
    </row>
    <row r="458" spans="1:9" s="260" customFormat="1" ht="12.75" hidden="1" customHeight="1" x14ac:dyDescent="0.3">
      <c r="A458" s="198"/>
      <c r="B458" s="199"/>
      <c r="C458" s="219"/>
      <c r="D458" s="232" t="s">
        <v>257</v>
      </c>
      <c r="E458" s="200"/>
      <c r="F458" s="342"/>
      <c r="G458" s="200"/>
      <c r="H458" s="296"/>
      <c r="I458" s="188"/>
    </row>
    <row r="459" spans="1:9" s="260" customFormat="1" ht="12.75" hidden="1" customHeight="1" x14ac:dyDescent="0.3">
      <c r="A459" s="198"/>
      <c r="B459" s="199"/>
      <c r="C459" s="219"/>
      <c r="D459" s="232" t="s">
        <v>388</v>
      </c>
      <c r="E459" s="200"/>
      <c r="F459" s="342"/>
      <c r="G459" s="200"/>
      <c r="H459" s="296"/>
      <c r="I459" s="332"/>
    </row>
    <row r="460" spans="1:9" s="260" customFormat="1" ht="12.75" hidden="1" customHeight="1" x14ac:dyDescent="0.3">
      <c r="A460" s="198"/>
      <c r="B460" s="199"/>
      <c r="C460" s="219"/>
      <c r="D460" s="278" t="s">
        <v>359</v>
      </c>
      <c r="E460" s="200"/>
      <c r="F460" s="342"/>
      <c r="G460" s="200"/>
      <c r="H460" s="296"/>
      <c r="I460" s="334"/>
    </row>
    <row r="461" spans="1:9" s="260" customFormat="1" ht="12.75" customHeight="1" x14ac:dyDescent="0.3">
      <c r="A461" s="191"/>
      <c r="B461" s="188"/>
      <c r="C461" s="188"/>
      <c r="D461" s="280"/>
      <c r="E461" s="188"/>
      <c r="F461" s="344"/>
      <c r="G461" s="188"/>
      <c r="H461" s="296"/>
      <c r="I461" s="332"/>
    </row>
    <row r="462" spans="1:9" s="260" customFormat="1" ht="12.75" customHeight="1" thickBot="1" x14ac:dyDescent="0.35">
      <c r="A462" s="188"/>
      <c r="B462" s="190"/>
      <c r="C462" s="217"/>
      <c r="D462" s="280" t="s">
        <v>184</v>
      </c>
      <c r="E462" s="202">
        <f>SUBTOTAL(109,E5:E461)</f>
        <v>-227111.69000000015</v>
      </c>
      <c r="F462" s="202">
        <f>SUBTOTAL(109,F12:F461)</f>
        <v>0</v>
      </c>
      <c r="G462" s="202">
        <f>ROUND(SUM(G5:G461),2)</f>
        <v>-227111.69</v>
      </c>
      <c r="H462" s="296"/>
    </row>
    <row r="463" spans="1:9" s="260" customFormat="1" ht="12.75" customHeight="1" thickTop="1" x14ac:dyDescent="0.3">
      <c r="A463" s="188"/>
      <c r="B463" s="190"/>
      <c r="C463" s="217"/>
      <c r="D463" s="188"/>
      <c r="E463" s="188"/>
      <c r="F463" s="238"/>
      <c r="G463" s="201">
        <f>ROUND(G462-E462-F462,2)</f>
        <v>0</v>
      </c>
      <c r="H463" s="296"/>
    </row>
    <row r="464" spans="1:9" s="260" customFormat="1" ht="12.75" customHeight="1" x14ac:dyDescent="0.3">
      <c r="A464" s="188"/>
      <c r="B464" s="190"/>
      <c r="C464" s="217"/>
      <c r="D464" s="188"/>
      <c r="E464" s="201"/>
      <c r="F464" s="238"/>
      <c r="G464" s="188"/>
      <c r="H464" s="296"/>
      <c r="I464" s="195"/>
    </row>
    <row r="465" spans="1:10" s="260" customFormat="1" ht="12.75" customHeight="1" x14ac:dyDescent="0.3">
      <c r="A465" s="188"/>
      <c r="B465" s="190"/>
      <c r="C465" s="749"/>
      <c r="D465" s="750" t="s">
        <v>621</v>
      </c>
      <c r="E465" s="201">
        <f>E263-E462+E380</f>
        <v>-11784.089999999847</v>
      </c>
      <c r="G465" s="188"/>
      <c r="H465" s="296"/>
    </row>
    <row r="466" spans="1:10" s="260" customFormat="1" ht="12.75" customHeight="1" x14ac:dyDescent="0.3">
      <c r="A466" s="188"/>
      <c r="B466" s="190"/>
      <c r="C466" s="217"/>
      <c r="D466" s="188"/>
      <c r="E466" s="188"/>
      <c r="F466" s="238"/>
      <c r="G466" s="188"/>
      <c r="H466" s="296"/>
    </row>
    <row r="467" spans="1:10" s="260" customFormat="1" ht="12.75" customHeight="1" x14ac:dyDescent="0.3">
      <c r="A467" s="188"/>
      <c r="B467" s="190"/>
      <c r="C467" s="217"/>
      <c r="D467" s="188"/>
      <c r="E467" s="188"/>
      <c r="F467" s="238"/>
      <c r="G467" s="188"/>
      <c r="H467" s="296"/>
      <c r="I467" s="188"/>
    </row>
    <row r="468" spans="1:10" s="260" customFormat="1" ht="12.75" customHeight="1" x14ac:dyDescent="0.3">
      <c r="A468" s="188"/>
      <c r="B468" s="190"/>
      <c r="C468" s="217"/>
      <c r="D468" s="188"/>
      <c r="E468" s="188"/>
      <c r="F468" s="238"/>
      <c r="G468" s="188"/>
      <c r="H468" s="296"/>
      <c r="I468" s="332"/>
    </row>
    <row r="469" spans="1:10" s="260" customFormat="1" ht="12.75" customHeight="1" x14ac:dyDescent="0.3">
      <c r="A469" s="269"/>
      <c r="B469" s="190"/>
      <c r="C469" s="241"/>
      <c r="D469" s="269" t="s">
        <v>254</v>
      </c>
      <c r="E469" s="201">
        <f>Consolidated!I146</f>
        <v>-227111.69000000015</v>
      </c>
      <c r="F469" s="238"/>
      <c r="G469" s="201">
        <f>E469+F469</f>
        <v>-227111.69000000015</v>
      </c>
      <c r="H469" s="296"/>
      <c r="I469" s="334"/>
    </row>
    <row r="470" spans="1:10" s="260" customFormat="1" ht="12.75" customHeight="1" x14ac:dyDescent="0.3">
      <c r="A470" s="188"/>
      <c r="B470" s="188"/>
      <c r="C470" s="188"/>
      <c r="D470" s="196" t="s">
        <v>278</v>
      </c>
      <c r="E470" s="188"/>
      <c r="F470" s="722">
        <f>F453+F444+F434+F417+F407+F397+F388+F381+F372+F363+F356+F345+F335+F325+F316+F307+F299+F289+F280+F264+F272+F254+F244+F235+F225+F214+F206+F195+F187+F180+F172+F163+F153+F135+F126+F119+F111++F102+F91+F81+F73+F62+F61+F54+F38+F13</f>
        <v>0</v>
      </c>
      <c r="G470" s="201">
        <f t="shared" ref="G470:G474" si="0">E470+F470</f>
        <v>0</v>
      </c>
      <c r="H470" s="296"/>
      <c r="I470" s="557"/>
    </row>
    <row r="471" spans="1:10" ht="12.75" hidden="1" customHeight="1" x14ac:dyDescent="0.3">
      <c r="D471" s="553" t="s">
        <v>535</v>
      </c>
      <c r="F471" s="259">
        <f t="shared" ref="F471:F488" si="1">SUM(SUMIF(D$12:D$461,D471,F$12:F$461))</f>
        <v>0</v>
      </c>
      <c r="G471" s="201">
        <f t="shared" si="0"/>
        <v>0</v>
      </c>
      <c r="H471" s="297"/>
    </row>
    <row r="472" spans="1:10" ht="12.75" hidden="1" customHeight="1" x14ac:dyDescent="0.3">
      <c r="D472" s="196" t="s">
        <v>397</v>
      </c>
      <c r="F472" s="259">
        <f t="shared" si="1"/>
        <v>0</v>
      </c>
      <c r="G472" s="201">
        <f t="shared" si="0"/>
        <v>0</v>
      </c>
    </row>
    <row r="473" spans="1:10" ht="12.75" hidden="1" customHeight="1" x14ac:dyDescent="0.3">
      <c r="D473" s="196" t="s">
        <v>398</v>
      </c>
      <c r="F473" s="259">
        <f t="shared" si="1"/>
        <v>0</v>
      </c>
      <c r="G473" s="201">
        <f t="shared" si="0"/>
        <v>0</v>
      </c>
    </row>
    <row r="474" spans="1:10" ht="12.75" hidden="1" customHeight="1" x14ac:dyDescent="0.3">
      <c r="D474" s="419" t="s">
        <v>395</v>
      </c>
      <c r="F474" s="259">
        <f t="shared" si="1"/>
        <v>0</v>
      </c>
      <c r="G474" s="201">
        <f t="shared" si="0"/>
        <v>0</v>
      </c>
    </row>
    <row r="475" spans="1:10" ht="12.75" hidden="1" customHeight="1" x14ac:dyDescent="0.3">
      <c r="D475" s="196" t="s">
        <v>280</v>
      </c>
      <c r="F475" s="259">
        <f t="shared" si="1"/>
        <v>0</v>
      </c>
      <c r="G475" s="201">
        <f t="shared" ref="G475:G480" si="2">E475+F475</f>
        <v>0</v>
      </c>
    </row>
    <row r="476" spans="1:10" ht="12.75" hidden="1" customHeight="1" x14ac:dyDescent="0.3">
      <c r="D476" s="196" t="s">
        <v>378</v>
      </c>
      <c r="F476" s="259">
        <f t="shared" si="1"/>
        <v>0</v>
      </c>
      <c r="G476" s="201">
        <f t="shared" si="2"/>
        <v>0</v>
      </c>
    </row>
    <row r="477" spans="1:10" ht="12.75" hidden="1" customHeight="1" x14ac:dyDescent="0.3">
      <c r="D477" s="188" t="s">
        <v>288</v>
      </c>
      <c r="F477" s="259">
        <f t="shared" si="1"/>
        <v>0</v>
      </c>
      <c r="G477" s="201">
        <f t="shared" si="2"/>
        <v>0</v>
      </c>
    </row>
    <row r="478" spans="1:10" ht="12.75" hidden="1" customHeight="1" x14ac:dyDescent="0.3">
      <c r="A478" s="194"/>
      <c r="B478" s="195"/>
      <c r="C478" s="218"/>
      <c r="D478" s="196" t="s">
        <v>257</v>
      </c>
      <c r="E478" s="197"/>
      <c r="F478" s="259">
        <f t="shared" si="1"/>
        <v>0</v>
      </c>
      <c r="G478" s="201">
        <f t="shared" si="2"/>
        <v>0</v>
      </c>
    </row>
    <row r="479" spans="1:10" ht="12.75" hidden="1" customHeight="1" x14ac:dyDescent="0.3">
      <c r="D479" s="314" t="s">
        <v>315</v>
      </c>
      <c r="F479" s="259">
        <f t="shared" si="1"/>
        <v>0</v>
      </c>
      <c r="G479" s="201">
        <f t="shared" si="2"/>
        <v>0</v>
      </c>
      <c r="J479" s="201"/>
    </row>
    <row r="480" spans="1:10" ht="12.75" customHeight="1" x14ac:dyDescent="0.3">
      <c r="D480" s="314" t="s">
        <v>284</v>
      </c>
      <c r="F480" s="259">
        <f>SUM(SUMIF(D$12:D$461,D480,F$12:F$461))</f>
        <v>0</v>
      </c>
      <c r="G480" s="201">
        <f t="shared" si="2"/>
        <v>0</v>
      </c>
      <c r="J480" s="201"/>
    </row>
    <row r="481" spans="1:10" ht="12.75" customHeight="1" x14ac:dyDescent="0.3">
      <c r="D481" s="188" t="s">
        <v>229</v>
      </c>
      <c r="F481" s="259">
        <f t="shared" si="1"/>
        <v>0</v>
      </c>
      <c r="G481" s="201">
        <f t="shared" ref="G481:G490" si="3">E481+F481</f>
        <v>0</v>
      </c>
      <c r="J481" s="201"/>
    </row>
    <row r="482" spans="1:10" ht="12.75" customHeight="1" x14ac:dyDescent="0.3">
      <c r="D482" s="188" t="s">
        <v>230</v>
      </c>
      <c r="F482" s="259">
        <f>SUM(SUMIF(D$12:D$461,D482,F$12:F$461))</f>
        <v>0</v>
      </c>
      <c r="G482" s="201">
        <f t="shared" si="3"/>
        <v>0</v>
      </c>
      <c r="J482" s="201"/>
    </row>
    <row r="483" spans="1:10" ht="12.75" customHeight="1" x14ac:dyDescent="0.3">
      <c r="D483" s="241" t="s">
        <v>496</v>
      </c>
      <c r="F483" s="259">
        <f t="shared" si="1"/>
        <v>0</v>
      </c>
      <c r="G483" s="201">
        <f t="shared" si="3"/>
        <v>0</v>
      </c>
      <c r="J483" s="201"/>
    </row>
    <row r="484" spans="1:10" ht="12.75" customHeight="1" x14ac:dyDescent="0.3">
      <c r="D484" s="188" t="s">
        <v>350</v>
      </c>
      <c r="F484" s="259">
        <f t="shared" si="1"/>
        <v>0</v>
      </c>
      <c r="G484" s="201">
        <f t="shared" si="3"/>
        <v>0</v>
      </c>
      <c r="J484" s="201"/>
    </row>
    <row r="485" spans="1:10" ht="12.75" hidden="1" customHeight="1" x14ac:dyDescent="0.3">
      <c r="A485" s="194"/>
      <c r="B485" s="195"/>
      <c r="C485" s="218"/>
      <c r="D485" s="196" t="s">
        <v>302</v>
      </c>
      <c r="E485" s="197"/>
      <c r="F485" s="259">
        <f t="shared" si="1"/>
        <v>0</v>
      </c>
      <c r="G485" s="201">
        <f t="shared" si="3"/>
        <v>0</v>
      </c>
    </row>
    <row r="486" spans="1:10" ht="12.75" hidden="1" customHeight="1" x14ac:dyDescent="0.3">
      <c r="D486" s="241" t="s">
        <v>387</v>
      </c>
      <c r="F486" s="259">
        <f t="shared" si="1"/>
        <v>0</v>
      </c>
      <c r="G486" s="201">
        <f t="shared" si="3"/>
        <v>0</v>
      </c>
    </row>
    <row r="487" spans="1:10" ht="12.75" hidden="1" customHeight="1" x14ac:dyDescent="0.3">
      <c r="D487" s="241" t="s">
        <v>382</v>
      </c>
      <c r="F487" s="259">
        <f t="shared" si="1"/>
        <v>0</v>
      </c>
      <c r="G487" s="201">
        <f t="shared" si="3"/>
        <v>0</v>
      </c>
    </row>
    <row r="488" spans="1:10" s="260" customFormat="1" ht="12.75" hidden="1" customHeight="1" x14ac:dyDescent="0.3">
      <c r="A488" s="188"/>
      <c r="B488" s="188"/>
      <c r="C488" s="188"/>
      <c r="D488" s="241" t="s">
        <v>388</v>
      </c>
      <c r="E488" s="188"/>
      <c r="F488" s="259">
        <f t="shared" si="1"/>
        <v>0</v>
      </c>
      <c r="G488" s="201">
        <f t="shared" si="3"/>
        <v>0</v>
      </c>
      <c r="H488" s="296"/>
      <c r="I488" s="332"/>
    </row>
    <row r="489" spans="1:10" ht="12.75" customHeight="1" x14ac:dyDescent="0.3">
      <c r="D489" s="196" t="s">
        <v>571</v>
      </c>
      <c r="F489" s="345">
        <f>SUM(SUMIF(D$12:D$461,"*WPB*",F$12:F$461))</f>
        <v>0</v>
      </c>
      <c r="G489" s="201">
        <f t="shared" si="3"/>
        <v>0</v>
      </c>
    </row>
    <row r="490" spans="1:10" ht="12.75" hidden="1" customHeight="1" x14ac:dyDescent="0.3">
      <c r="D490" s="196" t="s">
        <v>578</v>
      </c>
      <c r="F490" s="345">
        <f>SUM(SUMIF(D$12:D$461,"*FEFP ADJ*",F$12:F$461))</f>
        <v>0</v>
      </c>
      <c r="G490" s="201">
        <f t="shared" si="3"/>
        <v>0</v>
      </c>
    </row>
    <row r="491" spans="1:10" ht="12.75" customHeight="1" x14ac:dyDescent="0.3">
      <c r="D491" s="196"/>
      <c r="F491" s="345"/>
      <c r="G491" s="201"/>
    </row>
    <row r="492" spans="1:10" ht="12.75" customHeight="1" thickBot="1" x14ac:dyDescent="0.35">
      <c r="D492" s="283" t="s">
        <v>249</v>
      </c>
      <c r="E492" s="202">
        <f>SUM(E469:E490)</f>
        <v>-227111.69000000015</v>
      </c>
      <c r="F492" s="202">
        <f>SUM(F469:F490)</f>
        <v>0</v>
      </c>
      <c r="G492" s="202">
        <f>SUM(G469:G491)</f>
        <v>-227111.69000000015</v>
      </c>
    </row>
    <row r="493" spans="1:10" ht="12.75" customHeight="1" thickTop="1" x14ac:dyDescent="0.3">
      <c r="D493" s="283"/>
      <c r="E493" s="554"/>
      <c r="F493" s="554"/>
      <c r="G493" s="554"/>
    </row>
    <row r="494" spans="1:10" ht="12.75" customHeight="1" x14ac:dyDescent="0.3">
      <c r="D494" s="283"/>
      <c r="E494" s="554"/>
      <c r="F494" s="554"/>
      <c r="G494" s="554">
        <f>G462-G492</f>
        <v>0</v>
      </c>
    </row>
    <row r="495" spans="1:10" ht="12" customHeight="1" x14ac:dyDescent="0.3">
      <c r="D495" s="283"/>
      <c r="E495" s="554"/>
      <c r="F495" s="554"/>
      <c r="G495" s="554"/>
    </row>
    <row r="496" spans="1:10" ht="12.75" customHeight="1" thickBot="1" x14ac:dyDescent="0.35">
      <c r="E496" s="201"/>
      <c r="F496" s="201"/>
      <c r="G496" s="201"/>
    </row>
    <row r="497" spans="1:9" ht="12.75" customHeight="1" thickBot="1" x14ac:dyDescent="0.35">
      <c r="C497" s="756" t="s">
        <v>277</v>
      </c>
      <c r="D497" s="757"/>
      <c r="E497" s="757"/>
      <c r="F497" s="757"/>
      <c r="G497" s="758"/>
    </row>
    <row r="498" spans="1:9" s="260" customFormat="1" ht="12.75" customHeight="1" x14ac:dyDescent="0.3">
      <c r="A498" s="188"/>
      <c r="B498" s="188"/>
      <c r="C498" s="412"/>
      <c r="D498" s="413"/>
      <c r="E498" s="413"/>
      <c r="F498" s="545"/>
      <c r="G498" s="546"/>
      <c r="H498" s="296"/>
      <c r="I498" s="188"/>
    </row>
    <row r="499" spans="1:9" ht="12.75" customHeight="1" x14ac:dyDescent="0.3">
      <c r="C499" s="762" t="s">
        <v>619</v>
      </c>
      <c r="D499" s="763"/>
      <c r="E499" s="763"/>
      <c r="F499" s="763"/>
      <c r="G499" s="764"/>
    </row>
    <row r="500" spans="1:9" ht="12.75" customHeight="1" x14ac:dyDescent="0.3">
      <c r="C500" s="762"/>
      <c r="D500" s="763"/>
      <c r="E500" s="763"/>
      <c r="F500" s="763"/>
      <c r="G500" s="764"/>
    </row>
    <row r="501" spans="1:9" ht="12.75" customHeight="1" x14ac:dyDescent="0.3">
      <c r="C501" s="742"/>
      <c r="D501" s="413"/>
      <c r="E501" s="413"/>
      <c r="F501" s="545"/>
      <c r="G501" s="547"/>
    </row>
    <row r="502" spans="1:9" ht="12.75" customHeight="1" x14ac:dyDescent="0.3">
      <c r="C502" s="621"/>
      <c r="D502" s="619"/>
      <c r="E502" s="619"/>
      <c r="F502" s="619"/>
      <c r="G502" s="620"/>
      <c r="H502" s="307"/>
      <c r="I502" s="260"/>
    </row>
    <row r="503" spans="1:9" ht="12.75" customHeight="1" x14ac:dyDescent="0.3">
      <c r="C503" s="743"/>
      <c r="D503" s="619"/>
      <c r="E503" s="619"/>
      <c r="F503" s="619"/>
      <c r="G503" s="620"/>
      <c r="H503" s="307"/>
      <c r="I503" s="260"/>
    </row>
    <row r="504" spans="1:9" ht="12.75" customHeight="1" x14ac:dyDescent="0.3">
      <c r="C504" s="433"/>
      <c r="D504" s="555"/>
      <c r="E504" s="555"/>
      <c r="F504" s="555"/>
      <c r="G504" s="556"/>
      <c r="H504" s="307"/>
      <c r="I504" s="260"/>
    </row>
    <row r="505" spans="1:9" ht="12.75" customHeight="1" x14ac:dyDescent="0.3">
      <c r="C505" s="488"/>
      <c r="D505" s="555"/>
      <c r="E505" s="555"/>
      <c r="F505" s="555"/>
      <c r="G505" s="556"/>
      <c r="H505" s="307"/>
      <c r="I505" s="260"/>
    </row>
    <row r="506" spans="1:9" ht="12.75" customHeight="1" x14ac:dyDescent="0.3">
      <c r="C506" s="742"/>
      <c r="D506" s="555"/>
      <c r="E506" s="555"/>
      <c r="F506" s="555"/>
      <c r="G506" s="556"/>
      <c r="H506" s="307"/>
      <c r="I506" s="260"/>
    </row>
    <row r="507" spans="1:9" ht="12.75" customHeight="1" x14ac:dyDescent="0.3">
      <c r="C507" s="433"/>
      <c r="D507" s="555"/>
      <c r="E507" s="555"/>
      <c r="F507" s="555"/>
      <c r="G507" s="556"/>
      <c r="H507" s="307"/>
      <c r="I507" s="260"/>
    </row>
    <row r="508" spans="1:9" ht="12.75" customHeight="1" x14ac:dyDescent="0.3">
      <c r="C508" s="759"/>
      <c r="D508" s="760"/>
      <c r="E508" s="760"/>
      <c r="F508" s="760"/>
      <c r="G508" s="761"/>
      <c r="H508" s="307"/>
      <c r="I508" s="260"/>
    </row>
    <row r="509" spans="1:9" ht="12.75" customHeight="1" x14ac:dyDescent="0.3">
      <c r="C509" s="759"/>
      <c r="D509" s="760"/>
      <c r="E509" s="760"/>
      <c r="F509" s="760"/>
      <c r="G509" s="761"/>
      <c r="H509" s="307"/>
      <c r="I509" s="260"/>
    </row>
    <row r="510" spans="1:9" ht="12.75" customHeight="1" x14ac:dyDescent="0.3">
      <c r="C510" s="759"/>
      <c r="D510" s="760"/>
      <c r="E510" s="760"/>
      <c r="F510" s="760"/>
      <c r="G510" s="761"/>
      <c r="H510" s="307"/>
      <c r="I510" s="260"/>
    </row>
    <row r="511" spans="1:9" ht="26.4" customHeight="1" x14ac:dyDescent="0.3">
      <c r="C511" s="759"/>
      <c r="D511" s="760"/>
      <c r="E511" s="760"/>
      <c r="F511" s="760"/>
      <c r="G511" s="761"/>
      <c r="H511" s="307"/>
      <c r="I511" s="260"/>
    </row>
    <row r="512" spans="1:9" ht="12.75" customHeight="1" x14ac:dyDescent="0.3">
      <c r="C512" s="433"/>
      <c r="D512" s="555"/>
      <c r="E512" s="555"/>
      <c r="F512" s="555"/>
      <c r="G512" s="556"/>
      <c r="H512" s="307"/>
      <c r="I512" s="260"/>
    </row>
    <row r="513" spans="3:11" ht="12.75" customHeight="1" thickBot="1" x14ac:dyDescent="0.35">
      <c r="C513" s="427"/>
      <c r="D513" s="414"/>
      <c r="E513" s="414"/>
      <c r="F513" s="414"/>
      <c r="G513" s="548"/>
      <c r="H513" s="307"/>
      <c r="I513" s="260"/>
    </row>
    <row r="514" spans="3:11" ht="12.75" customHeight="1" x14ac:dyDescent="0.3">
      <c r="H514" s="307"/>
      <c r="I514" s="260"/>
    </row>
    <row r="515" spans="3:11" ht="12.75" customHeight="1" x14ac:dyDescent="0.3">
      <c r="H515" s="307"/>
      <c r="I515" s="260"/>
    </row>
    <row r="516" spans="3:11" ht="12.75" customHeight="1" x14ac:dyDescent="0.3">
      <c r="H516" s="307"/>
      <c r="I516" s="260"/>
    </row>
    <row r="517" spans="3:11" ht="12.75" customHeight="1" x14ac:dyDescent="0.3">
      <c r="H517" s="307"/>
      <c r="I517" s="260"/>
    </row>
    <row r="518" spans="3:11" ht="12.75" customHeight="1" x14ac:dyDescent="0.3">
      <c r="H518" s="307"/>
      <c r="I518" s="260"/>
    </row>
    <row r="519" spans="3:11" ht="12.75" customHeight="1" x14ac:dyDescent="0.3">
      <c r="H519" s="307"/>
      <c r="I519" s="260"/>
    </row>
    <row r="520" spans="3:11" ht="12.75" customHeight="1" x14ac:dyDescent="0.3">
      <c r="H520" s="307"/>
      <c r="I520" s="260"/>
    </row>
    <row r="521" spans="3:11" ht="12.75" customHeight="1" x14ac:dyDescent="0.3">
      <c r="H521" s="307"/>
      <c r="I521" s="260"/>
    </row>
    <row r="522" spans="3:11" ht="12.75" customHeight="1" x14ac:dyDescent="0.3">
      <c r="H522" s="307"/>
      <c r="I522" s="260"/>
    </row>
    <row r="523" spans="3:11" ht="12.75" customHeight="1" x14ac:dyDescent="0.3">
      <c r="H523" s="251"/>
    </row>
    <row r="524" spans="3:11" ht="12.75" customHeight="1" x14ac:dyDescent="0.3">
      <c r="E524" s="295"/>
      <c r="F524" s="188"/>
    </row>
    <row r="525" spans="3:11" ht="12.75" customHeight="1" x14ac:dyDescent="0.3">
      <c r="E525" s="295"/>
      <c r="F525" s="188"/>
    </row>
    <row r="527" spans="3:11" ht="12.75" customHeight="1" x14ac:dyDescent="0.3">
      <c r="K527" s="295"/>
    </row>
    <row r="528" spans="3:11" ht="12.75" customHeight="1" x14ac:dyDescent="0.3">
      <c r="K528" s="295"/>
    </row>
    <row r="534" spans="8:8" ht="12.75" customHeight="1" x14ac:dyDescent="0.3">
      <c r="H534" s="188"/>
    </row>
    <row r="535" spans="8:8" ht="12.75" customHeight="1" x14ac:dyDescent="0.3">
      <c r="H535" s="188"/>
    </row>
  </sheetData>
  <mergeCells count="4">
    <mergeCell ref="F3:G3"/>
    <mergeCell ref="C497:G497"/>
    <mergeCell ref="C508:G511"/>
    <mergeCell ref="C499:G500"/>
  </mergeCells>
  <conditionalFormatting sqref="A12:A461">
    <cfRule type="cellIs" dxfId="19" priority="1" operator="equal">
      <formula>0</formula>
    </cfRule>
  </conditionalFormatting>
  <conditionalFormatting sqref="A478">
    <cfRule type="cellIs" dxfId="18" priority="178" operator="equal">
      <formula>0</formula>
    </cfRule>
  </conditionalFormatting>
  <conditionalFormatting sqref="A485">
    <cfRule type="cellIs" dxfId="17" priority="307" operator="equal">
      <formula>0</formula>
    </cfRule>
  </conditionalFormatting>
  <conditionalFormatting sqref="H480:H487 H489:H497">
    <cfRule type="cellIs" dxfId="16" priority="301" stopIfTrue="1" operator="notEqual">
      <formula>0</formula>
    </cfRule>
    <cfRule type="cellIs" dxfId="15" priority="302" stopIfTrue="1" operator="equal">
      <formula>0</formula>
    </cfRule>
  </conditionalFormatting>
  <conditionalFormatting sqref="H499:H501">
    <cfRule type="cellIs" dxfId="14" priority="299" stopIfTrue="1" operator="notEqual">
      <formula>0</formula>
    </cfRule>
    <cfRule type="cellIs" dxfId="13" priority="300" stopIfTrue="1" operator="equal">
      <formula>0</formula>
    </cfRule>
  </conditionalFormatting>
  <pageMargins left="1" right="0.1" top="0.5" bottom="0.5" header="0" footer="0.1"/>
  <pageSetup fitToHeight="0" orientation="landscape" r:id="rId1"/>
  <headerFooter>
    <oddFooter>&amp;L&amp;8&amp;Z&amp;F&amp;R&amp;8&amp;P / &amp;N</oddFooter>
  </headerFooter>
  <ignoredErrors>
    <ignoredError sqref="B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Z63"/>
  <sheetViews>
    <sheetView topLeftCell="A34" workbookViewId="0">
      <selection activeCell="D57" sqref="D57"/>
    </sheetView>
  </sheetViews>
  <sheetFormatPr defaultColWidth="9.109375" defaultRowHeight="13.8" x14ac:dyDescent="0.3"/>
  <cols>
    <col min="1" max="1" width="4" style="188" bestFit="1" customWidth="1"/>
    <col min="2" max="2" width="6" style="188" customWidth="1"/>
    <col min="3" max="3" width="36.33203125" style="188" bestFit="1" customWidth="1"/>
    <col min="4" max="4" width="4" style="191" bestFit="1" customWidth="1"/>
    <col min="5" max="5" width="4.33203125" style="191" bestFit="1" customWidth="1"/>
    <col min="6" max="7" width="9.109375" style="188"/>
    <col min="8" max="8" width="2.6640625" style="188" customWidth="1"/>
    <col min="9" max="10" width="14.5546875" style="188" bestFit="1" customWidth="1"/>
    <col min="11" max="11" width="13.109375" style="188" bestFit="1" customWidth="1"/>
    <col min="12" max="13" width="14.5546875" style="188" bestFit="1" customWidth="1"/>
    <col min="14" max="14" width="2.6640625" style="188" customWidth="1"/>
    <col min="15" max="15" width="10" style="188" bestFit="1" customWidth="1"/>
    <col min="16" max="16" width="2.6640625" style="188" customWidth="1"/>
    <col min="17" max="17" width="11" style="238" bestFit="1" customWidth="1"/>
    <col min="18" max="18" width="8.109375" style="238" bestFit="1" customWidth="1"/>
    <col min="19" max="19" width="10" style="238" bestFit="1" customWidth="1"/>
    <col min="20" max="20" width="2.6640625" style="188" customWidth="1"/>
    <col min="21" max="21" width="9.109375" style="188"/>
    <col min="22" max="23" width="10" style="188" bestFit="1" customWidth="1"/>
    <col min="24" max="16384" width="9.109375" style="188"/>
  </cols>
  <sheetData>
    <row r="4" spans="1:23" x14ac:dyDescent="0.3">
      <c r="D4" s="316"/>
      <c r="E4" s="324">
        <v>0.75</v>
      </c>
      <c r="F4" s="316" t="s">
        <v>289</v>
      </c>
      <c r="G4" s="316" t="s">
        <v>291</v>
      </c>
      <c r="H4" s="317"/>
      <c r="I4" s="751" t="s">
        <v>290</v>
      </c>
      <c r="J4" s="752"/>
      <c r="K4" s="752"/>
      <c r="L4" s="753"/>
      <c r="M4" s="316" t="s">
        <v>312</v>
      </c>
      <c r="N4" s="194"/>
      <c r="Q4" s="765" t="s">
        <v>325</v>
      </c>
      <c r="R4" s="765"/>
      <c r="S4" s="765"/>
      <c r="U4" s="766" t="s">
        <v>310</v>
      </c>
      <c r="V4" s="766"/>
      <c r="W4" s="766"/>
    </row>
    <row r="5" spans="1:23" x14ac:dyDescent="0.3">
      <c r="A5" s="188" t="s">
        <v>328</v>
      </c>
      <c r="B5" s="188" t="s">
        <v>328</v>
      </c>
      <c r="C5" s="188" t="s">
        <v>328</v>
      </c>
      <c r="D5" s="318" t="s">
        <v>304</v>
      </c>
      <c r="E5" s="318" t="s">
        <v>303</v>
      </c>
      <c r="F5" s="318" t="s">
        <v>291</v>
      </c>
      <c r="G5" s="432" t="s">
        <v>422</v>
      </c>
      <c r="H5" s="317" t="s">
        <v>328</v>
      </c>
      <c r="I5" s="233" t="s">
        <v>292</v>
      </c>
      <c r="J5" s="233" t="s">
        <v>421</v>
      </c>
      <c r="K5" s="233" t="s">
        <v>293</v>
      </c>
      <c r="L5" s="319" t="s">
        <v>294</v>
      </c>
      <c r="M5" s="720" t="s">
        <v>313</v>
      </c>
      <c r="N5" s="194" t="s">
        <v>328</v>
      </c>
      <c r="O5" s="233" t="s">
        <v>305</v>
      </c>
      <c r="P5" s="188" t="s">
        <v>328</v>
      </c>
      <c r="Q5" s="327" t="s">
        <v>306</v>
      </c>
      <c r="R5" s="327" t="s">
        <v>307</v>
      </c>
      <c r="S5" s="327" t="s">
        <v>308</v>
      </c>
      <c r="T5" s="188" t="s">
        <v>328</v>
      </c>
      <c r="U5" s="233" t="s">
        <v>304</v>
      </c>
      <c r="V5" s="233" t="s">
        <v>309</v>
      </c>
      <c r="W5" s="233" t="s">
        <v>311</v>
      </c>
    </row>
    <row r="6" spans="1:23" x14ac:dyDescent="0.3">
      <c r="A6" s="191">
        <v>1</v>
      </c>
      <c r="B6" s="726" t="s">
        <v>584</v>
      </c>
      <c r="C6" s="321" t="s">
        <v>587</v>
      </c>
      <c r="D6" s="376">
        <v>0</v>
      </c>
      <c r="E6" s="376" t="str">
        <f>'0040'!H$133</f>
        <v/>
      </c>
      <c r="F6" s="328">
        <f>-K6/I6</f>
        <v>4.7752258399528735E-2</v>
      </c>
      <c r="G6" s="431">
        <f>-K6/J6</f>
        <v>4.9999999999999996E-2</v>
      </c>
      <c r="H6" s="322"/>
      <c r="I6" s="329">
        <f>'0040'!I$128</f>
        <v>303811.39</v>
      </c>
      <c r="J6" s="329">
        <f>I6-'0040'!I$53</f>
        <v>290153.60000000003</v>
      </c>
      <c r="K6" s="329">
        <f>'0040'!I$135</f>
        <v>-14507.68</v>
      </c>
      <c r="L6" s="329">
        <f>I6+K6</f>
        <v>289303.71000000002</v>
      </c>
      <c r="M6" s="330">
        <f>'0040'!I$145</f>
        <v>-4114.0200000000004</v>
      </c>
      <c r="N6" s="201"/>
      <c r="O6" s="329">
        <f>'0040'!E30</f>
        <v>35.4</v>
      </c>
      <c r="Q6" s="330">
        <f>I6/O6</f>
        <v>8582.2426553672321</v>
      </c>
      <c r="R6" s="330">
        <f>K6/O6</f>
        <v>-409.82146892655368</v>
      </c>
      <c r="S6" s="330">
        <f>L6/O6</f>
        <v>8172.4211864406789</v>
      </c>
      <c r="U6" s="330">
        <f>IF(D6="H",S6,0)</f>
        <v>0</v>
      </c>
      <c r="V6" s="330">
        <f t="shared" ref="V6:V7" si="0">ROUND(IF(E6=1,S6,0),2)</f>
        <v>0</v>
      </c>
      <c r="W6" s="330">
        <f t="shared" ref="W6:W7" si="1">IF(AND(U6=0,V6=0),S6,)</f>
        <v>8172.4211864406789</v>
      </c>
    </row>
    <row r="7" spans="1:23" x14ac:dyDescent="0.3">
      <c r="A7" s="191">
        <v>2</v>
      </c>
      <c r="B7" s="727" t="s">
        <v>585</v>
      </c>
      <c r="C7" s="188" t="s">
        <v>588</v>
      </c>
      <c r="D7" s="376">
        <v>0</v>
      </c>
      <c r="E7" s="376">
        <f>'0100'!H$133</f>
        <v>1</v>
      </c>
      <c r="F7" s="328">
        <f>-K7/I7</f>
        <v>1.2066483843139545E-2</v>
      </c>
      <c r="G7" s="431">
        <f t="shared" ref="G7:G56" si="2">-K7/J7</f>
        <v>1.257738635974453E-2</v>
      </c>
      <c r="H7" s="693"/>
      <c r="I7" s="329">
        <f>'0100'!I$128</f>
        <v>320480.27000000008</v>
      </c>
      <c r="J7" s="329">
        <f>I7-'0100'!I$53</f>
        <v>307462.13000000006</v>
      </c>
      <c r="K7" s="329">
        <f>'0100'!I$135</f>
        <v>-3867.07</v>
      </c>
      <c r="L7" s="329">
        <f>I7+K7</f>
        <v>316613.20000000007</v>
      </c>
      <c r="M7" s="330">
        <f>'0100'!I$145</f>
        <v>49096.51</v>
      </c>
      <c r="N7" s="194"/>
      <c r="O7" s="702">
        <f>'0100'!E30</f>
        <v>11.459999999999999</v>
      </c>
      <c r="Q7" s="330">
        <f>I7/O7</f>
        <v>27965.119546247828</v>
      </c>
      <c r="R7" s="330">
        <f t="shared" ref="R7:R50" si="3">K7/O7</f>
        <v>-337.44066317626533</v>
      </c>
      <c r="S7" s="330">
        <f>L7/O7</f>
        <v>27627.678883071563</v>
      </c>
      <c r="U7" s="330">
        <f>IF(D7="H",S7,0)</f>
        <v>0</v>
      </c>
      <c r="V7" s="330">
        <f t="shared" si="0"/>
        <v>27627.68</v>
      </c>
      <c r="W7" s="330">
        <f t="shared" si="1"/>
        <v>0</v>
      </c>
    </row>
    <row r="8" spans="1:23" x14ac:dyDescent="0.3">
      <c r="A8" s="191">
        <v>3</v>
      </c>
      <c r="B8" s="728" t="s">
        <v>158</v>
      </c>
      <c r="C8" s="321" t="s">
        <v>190</v>
      </c>
      <c r="D8" s="376" t="str">
        <f>'1461'!G$135</f>
        <v>H</v>
      </c>
      <c r="E8" s="376" t="str">
        <f>'1461'!H$133</f>
        <v/>
      </c>
      <c r="F8" s="328">
        <f>-K8/I8</f>
        <v>6.8015465112471743E-3</v>
      </c>
      <c r="G8" s="431">
        <f t="shared" si="2"/>
        <v>7.1576845634695897E-3</v>
      </c>
      <c r="H8" s="322"/>
      <c r="I8" s="329">
        <f>'1461'!I$128</f>
        <v>5820476.2599999998</v>
      </c>
      <c r="J8" s="329">
        <f>I8-'1461'!I$53</f>
        <v>5530872.3999999994</v>
      </c>
      <c r="K8" s="329">
        <f>'1461'!I$135</f>
        <v>-39588.239999999998</v>
      </c>
      <c r="L8" s="329">
        <f>I8+K8</f>
        <v>5780888.0199999996</v>
      </c>
      <c r="M8" s="330">
        <f>'1461'!I$145</f>
        <v>-43892.07</v>
      </c>
      <c r="N8" s="201"/>
      <c r="O8" s="329">
        <f>'1461'!E$30</f>
        <v>698.55</v>
      </c>
      <c r="Q8" s="330">
        <f>I8/O8</f>
        <v>8332.2256960847481</v>
      </c>
      <c r="R8" s="330">
        <f t="shared" si="3"/>
        <v>-56.672020614129266</v>
      </c>
      <c r="S8" s="330">
        <f t="shared" ref="S8:S50" si="4">L8/O8</f>
        <v>8275.5536754706172</v>
      </c>
      <c r="U8" s="330">
        <f>IF(D8="H",S8,0)</f>
        <v>8275.5536754706172</v>
      </c>
      <c r="V8" s="330">
        <f t="shared" ref="V8:V54" si="5">ROUND(IF(E8=1,S8,0),2)</f>
        <v>0</v>
      </c>
      <c r="W8" s="330">
        <f t="shared" ref="W8:W50" si="6">IF(AND(U8=0,V8=0),S8,)</f>
        <v>0</v>
      </c>
    </row>
    <row r="9" spans="1:23" x14ac:dyDescent="0.3">
      <c r="A9" s="191">
        <v>4</v>
      </c>
      <c r="B9" s="728" t="s">
        <v>159</v>
      </c>
      <c r="C9" s="321" t="s">
        <v>192</v>
      </c>
      <c r="D9" s="376" t="str">
        <f>'1571'!G$135</f>
        <v>H</v>
      </c>
      <c r="E9" s="376" t="str">
        <f>'1571'!H$133</f>
        <v/>
      </c>
      <c r="F9" s="328">
        <f t="shared" ref="F9:F51" si="7">-K9/I9</f>
        <v>4.3684963973284934E-3</v>
      </c>
      <c r="G9" s="431">
        <f t="shared" si="2"/>
        <v>4.5569293836128962E-3</v>
      </c>
      <c r="H9" s="322"/>
      <c r="I9" s="329">
        <f>'1571'!I$128</f>
        <v>9398950.1800000016</v>
      </c>
      <c r="J9" s="329">
        <f>I9-'1571'!I$53</f>
        <v>9010295.4300000016</v>
      </c>
      <c r="K9" s="329">
        <f>'1571'!I$135</f>
        <v>-41059.279999999999</v>
      </c>
      <c r="L9" s="329">
        <f t="shared" ref="L9:L53" si="8">I9+K9</f>
        <v>9357890.9000000022</v>
      </c>
      <c r="M9" s="330">
        <f>'1571'!I$145</f>
        <v>-184087.4</v>
      </c>
      <c r="N9" s="201"/>
      <c r="O9" s="329">
        <f>'1571'!E$30</f>
        <v>1097.23</v>
      </c>
      <c r="Q9" s="330">
        <f t="shared" ref="Q9:Q50" si="9">I9/O9</f>
        <v>8566.0710881036812</v>
      </c>
      <c r="R9" s="330">
        <f t="shared" si="3"/>
        <v>-37.420850687640694</v>
      </c>
      <c r="S9" s="330">
        <f t="shared" si="4"/>
        <v>8528.6502374160409</v>
      </c>
      <c r="U9" s="330">
        <f t="shared" ref="U9:U54" si="10">IF(D9="H",S9,0)</f>
        <v>8528.6502374160409</v>
      </c>
      <c r="V9" s="330">
        <f t="shared" si="5"/>
        <v>0</v>
      </c>
      <c r="W9" s="330">
        <f t="shared" si="6"/>
        <v>0</v>
      </c>
    </row>
    <row r="10" spans="1:23" x14ac:dyDescent="0.3">
      <c r="A10" s="191">
        <v>5</v>
      </c>
      <c r="B10" s="320" t="s">
        <v>160</v>
      </c>
      <c r="C10" s="321" t="s">
        <v>193</v>
      </c>
      <c r="D10" s="376">
        <f>'2521'!G$135</f>
        <v>0</v>
      </c>
      <c r="E10" s="376">
        <f>'2521'!H$133</f>
        <v>1</v>
      </c>
      <c r="F10" s="328">
        <f t="shared" si="7"/>
        <v>2.0768488093084826E-2</v>
      </c>
      <c r="G10" s="431">
        <f t="shared" si="2"/>
        <v>2.1341576938413771E-2</v>
      </c>
      <c r="H10" s="322"/>
      <c r="I10" s="329">
        <f>'2521'!I$128</f>
        <v>1342867.1300000004</v>
      </c>
      <c r="J10" s="329">
        <f>I10-'2521'!I$53</f>
        <v>1306806.9000000004</v>
      </c>
      <c r="K10" s="329">
        <f>'2521'!I$135</f>
        <v>-27889.32</v>
      </c>
      <c r="L10" s="329">
        <f t="shared" si="8"/>
        <v>1314977.8100000003</v>
      </c>
      <c r="M10" s="330">
        <f>'2521'!I$145</f>
        <v>-31428.62</v>
      </c>
      <c r="N10" s="201"/>
      <c r="O10" s="329">
        <f>'2521'!E$30</f>
        <v>72.699999999999989</v>
      </c>
      <c r="Q10" s="330">
        <f t="shared" si="9"/>
        <v>18471.349793672634</v>
      </c>
      <c r="R10" s="330">
        <f t="shared" si="3"/>
        <v>-383.62200825309498</v>
      </c>
      <c r="S10" s="330">
        <f t="shared" si="4"/>
        <v>18087.727785419538</v>
      </c>
      <c r="U10" s="330">
        <f t="shared" si="10"/>
        <v>0</v>
      </c>
      <c r="V10" s="330">
        <f t="shared" si="5"/>
        <v>18087.73</v>
      </c>
      <c r="W10" s="330">
        <f t="shared" si="6"/>
        <v>0</v>
      </c>
    </row>
    <row r="11" spans="1:23" x14ac:dyDescent="0.3">
      <c r="A11" s="191">
        <v>6</v>
      </c>
      <c r="B11" s="320" t="s">
        <v>161</v>
      </c>
      <c r="C11" s="321" t="s">
        <v>194</v>
      </c>
      <c r="D11" s="376">
        <f>'2531'!G$135</f>
        <v>0</v>
      </c>
      <c r="E11" s="376">
        <f>'2531'!H$133</f>
        <v>1</v>
      </c>
      <c r="F11" s="328">
        <f t="shared" si="7"/>
        <v>1.0855888688712107E-2</v>
      </c>
      <c r="G11" s="431">
        <f t="shared" si="2"/>
        <v>1.134642432783352E-2</v>
      </c>
      <c r="H11" s="322"/>
      <c r="I11" s="329">
        <f>'2531'!I$128</f>
        <v>1597238.19</v>
      </c>
      <c r="J11" s="329">
        <f>I11-'2531'!I$53</f>
        <v>1528185.4</v>
      </c>
      <c r="K11" s="329">
        <f>'2531'!I$135</f>
        <v>-17339.439999999999</v>
      </c>
      <c r="L11" s="329">
        <f t="shared" si="8"/>
        <v>1579898.75</v>
      </c>
      <c r="M11" s="330">
        <f>'2531'!I$145</f>
        <v>38314.17</v>
      </c>
      <c r="N11" s="201"/>
      <c r="O11" s="329">
        <f>'2531'!E$30</f>
        <v>50.91</v>
      </c>
      <c r="Q11" s="330">
        <f t="shared" si="9"/>
        <v>31373.761343547438</v>
      </c>
      <c r="R11" s="330">
        <f t="shared" si="3"/>
        <v>-340.59006089176978</v>
      </c>
      <c r="S11" s="330">
        <f t="shared" si="4"/>
        <v>31033.171282655669</v>
      </c>
      <c r="U11" s="330">
        <f t="shared" si="10"/>
        <v>0</v>
      </c>
      <c r="V11" s="330">
        <f t="shared" si="5"/>
        <v>31033.17</v>
      </c>
      <c r="W11" s="330">
        <f t="shared" si="6"/>
        <v>0</v>
      </c>
    </row>
    <row r="12" spans="1:23" x14ac:dyDescent="0.3">
      <c r="A12" s="191">
        <v>7</v>
      </c>
      <c r="B12" s="726" t="s">
        <v>162</v>
      </c>
      <c r="C12" s="321" t="s">
        <v>295</v>
      </c>
      <c r="D12" s="376">
        <f>'2791'!G$135</f>
        <v>0</v>
      </c>
      <c r="E12" s="376">
        <f>'2791'!H$133</f>
        <v>1</v>
      </c>
      <c r="F12" s="328">
        <f t="shared" si="7"/>
        <v>1.0015488655908678E-2</v>
      </c>
      <c r="G12" s="431">
        <f t="shared" si="2"/>
        <v>1.0437148313841998E-2</v>
      </c>
      <c r="H12" s="322"/>
      <c r="I12" s="329">
        <f>'2791'!I$128</f>
        <v>5408468.0100000016</v>
      </c>
      <c r="J12" s="329">
        <f>I12-'2791'!I$53</f>
        <v>5189966.4900000021</v>
      </c>
      <c r="K12" s="329">
        <f>'2791'!I$135</f>
        <v>-54168.45</v>
      </c>
      <c r="L12" s="329">
        <f t="shared" si="8"/>
        <v>5354299.5600000015</v>
      </c>
      <c r="M12" s="330">
        <f>'2791'!I$145</f>
        <v>71313.19</v>
      </c>
      <c r="N12" s="201"/>
      <c r="O12" s="329">
        <f>'2791'!E$30</f>
        <v>164.59</v>
      </c>
      <c r="Q12" s="330">
        <f t="shared" si="9"/>
        <v>32860.246734309505</v>
      </c>
      <c r="R12" s="330">
        <f t="shared" si="3"/>
        <v>-329.11142839783702</v>
      </c>
      <c r="S12" s="330">
        <f t="shared" si="4"/>
        <v>32531.135305911666</v>
      </c>
      <c r="U12" s="330">
        <f t="shared" si="10"/>
        <v>0</v>
      </c>
      <c r="V12" s="330">
        <f t="shared" si="5"/>
        <v>32531.14</v>
      </c>
      <c r="W12" s="330">
        <f t="shared" si="6"/>
        <v>0</v>
      </c>
    </row>
    <row r="13" spans="1:23" x14ac:dyDescent="0.3">
      <c r="A13" s="191">
        <v>8</v>
      </c>
      <c r="B13" s="320" t="s">
        <v>163</v>
      </c>
      <c r="C13" s="323" t="s">
        <v>415</v>
      </c>
      <c r="D13" s="376">
        <f>'2801'!G$135</f>
        <v>0</v>
      </c>
      <c r="E13" s="376" t="str">
        <f>'2801'!H$133</f>
        <v/>
      </c>
      <c r="F13" s="328">
        <f t="shared" si="7"/>
        <v>2.0509138308225247E-2</v>
      </c>
      <c r="G13" s="431">
        <f t="shared" si="2"/>
        <v>2.1478400460053285E-2</v>
      </c>
      <c r="H13" s="322"/>
      <c r="I13" s="329">
        <f>'2801'!I$128</f>
        <v>5320265.9400000004</v>
      </c>
      <c r="J13" s="329">
        <f>I13-'2801'!I$53</f>
        <v>5080176.7200000007</v>
      </c>
      <c r="K13" s="329">
        <f>'2801'!I$135</f>
        <v>-109114.07</v>
      </c>
      <c r="L13" s="329">
        <f t="shared" si="8"/>
        <v>5211151.87</v>
      </c>
      <c r="M13" s="330">
        <f>'2801'!I$145</f>
        <v>5817.12</v>
      </c>
      <c r="N13" s="201"/>
      <c r="O13" s="329">
        <f>'2801'!E$30</f>
        <v>581.98</v>
      </c>
      <c r="Q13" s="330">
        <f t="shared" si="9"/>
        <v>9141.6645589195505</v>
      </c>
      <c r="R13" s="330">
        <f t="shared" si="3"/>
        <v>-187.487662806282</v>
      </c>
      <c r="S13" s="330">
        <f t="shared" si="4"/>
        <v>8954.1768961132675</v>
      </c>
      <c r="U13" s="330">
        <f t="shared" si="10"/>
        <v>0</v>
      </c>
      <c r="V13" s="330">
        <f t="shared" si="5"/>
        <v>0</v>
      </c>
      <c r="W13" s="330">
        <f t="shared" si="6"/>
        <v>8954.1768961132675</v>
      </c>
    </row>
    <row r="14" spans="1:23" x14ac:dyDescent="0.3">
      <c r="A14" s="191">
        <v>9</v>
      </c>
      <c r="B14" s="320" t="s">
        <v>164</v>
      </c>
      <c r="C14" s="321" t="s">
        <v>196</v>
      </c>
      <c r="D14" s="376" t="str">
        <f>'2911'!G$135</f>
        <v>H</v>
      </c>
      <c r="E14" s="376" t="str">
        <f>'2911'!H$133</f>
        <v/>
      </c>
      <c r="F14" s="328">
        <f t="shared" si="7"/>
        <v>6.7857718280520422E-3</v>
      </c>
      <c r="G14" s="431">
        <f t="shared" si="2"/>
        <v>7.0761400456201889E-3</v>
      </c>
      <c r="H14" s="322"/>
      <c r="I14" s="329">
        <f>'2911'!I$128</f>
        <v>6070375.0499999989</v>
      </c>
      <c r="J14" s="329">
        <f>I14-'2911'!I$53</f>
        <v>5821278.2299999986</v>
      </c>
      <c r="K14" s="329">
        <f>'2911'!I$135</f>
        <v>-41192.18</v>
      </c>
      <c r="L14" s="329">
        <f t="shared" si="8"/>
        <v>6029182.8699999992</v>
      </c>
      <c r="M14" s="330">
        <f>'2911'!I$145</f>
        <v>-34008.26</v>
      </c>
      <c r="N14" s="201"/>
      <c r="O14" s="329">
        <f>'2911'!E$30</f>
        <v>706.60000000000014</v>
      </c>
      <c r="Q14" s="330">
        <f t="shared" si="9"/>
        <v>8590.9638409283871</v>
      </c>
      <c r="R14" s="330">
        <f t="shared" si="3"/>
        <v>-58.296320407585611</v>
      </c>
      <c r="S14" s="330">
        <f t="shared" si="4"/>
        <v>8532.6675205208012</v>
      </c>
      <c r="U14" s="330">
        <f t="shared" si="10"/>
        <v>8532.6675205208012</v>
      </c>
      <c r="V14" s="330">
        <f t="shared" si="5"/>
        <v>0</v>
      </c>
      <c r="W14" s="330">
        <f t="shared" si="6"/>
        <v>0</v>
      </c>
    </row>
    <row r="15" spans="1:23" x14ac:dyDescent="0.3">
      <c r="A15" s="191">
        <v>10</v>
      </c>
      <c r="B15" s="320" t="s">
        <v>165</v>
      </c>
      <c r="C15" s="321" t="s">
        <v>197</v>
      </c>
      <c r="D15" s="376">
        <f>'2941'!G$135</f>
        <v>0</v>
      </c>
      <c r="E15" s="376">
        <f>'2941'!H$133</f>
        <v>1</v>
      </c>
      <c r="F15" s="328">
        <f t="shared" si="7"/>
        <v>7.8529121297143713E-3</v>
      </c>
      <c r="G15" s="431">
        <f t="shared" si="2"/>
        <v>8.2247811058014653E-3</v>
      </c>
      <c r="H15" s="322"/>
      <c r="I15" s="329">
        <f>'2941'!I$128</f>
        <v>10564042.819999998</v>
      </c>
      <c r="J15" s="329">
        <f>I15-'2941'!I$53</f>
        <v>10086408.249999998</v>
      </c>
      <c r="K15" s="329">
        <f>'2941'!I$135</f>
        <v>-82958.5</v>
      </c>
      <c r="L15" s="329">
        <f t="shared" si="8"/>
        <v>10481084.319999998</v>
      </c>
      <c r="M15" s="330">
        <f>'2941'!I$145</f>
        <v>174701.34</v>
      </c>
      <c r="N15" s="201"/>
      <c r="O15" s="329">
        <f>'2941'!E$30</f>
        <v>376.88000000000005</v>
      </c>
      <c r="Q15" s="330">
        <f t="shared" si="9"/>
        <v>28030.255837401819</v>
      </c>
      <c r="R15" s="330">
        <f t="shared" si="3"/>
        <v>-220.11913606452978</v>
      </c>
      <c r="S15" s="330">
        <f t="shared" si="4"/>
        <v>27810.136701337287</v>
      </c>
      <c r="U15" s="330">
        <f t="shared" si="10"/>
        <v>0</v>
      </c>
      <c r="V15" s="330">
        <f t="shared" si="5"/>
        <v>27810.14</v>
      </c>
      <c r="W15" s="330">
        <f t="shared" si="6"/>
        <v>0</v>
      </c>
    </row>
    <row r="16" spans="1:23" x14ac:dyDescent="0.3">
      <c r="A16" s="191">
        <v>11</v>
      </c>
      <c r="B16" s="320" t="s">
        <v>166</v>
      </c>
      <c r="C16" s="323" t="s">
        <v>427</v>
      </c>
      <c r="D16" s="376">
        <f>'3083'!G$135</f>
        <v>0</v>
      </c>
      <c r="E16" s="376">
        <f>'3083'!H$133</f>
        <v>1</v>
      </c>
      <c r="F16" s="328">
        <f t="shared" si="7"/>
        <v>8.8102832553922667E-3</v>
      </c>
      <c r="G16" s="431">
        <f t="shared" si="2"/>
        <v>9.1863074833580249E-3</v>
      </c>
      <c r="H16" s="322"/>
      <c r="I16" s="329">
        <f>'3083'!I$128</f>
        <v>5937806.8200000003</v>
      </c>
      <c r="J16" s="329">
        <f>I16-'3083'!I$53</f>
        <v>5694753.8600000003</v>
      </c>
      <c r="K16" s="329">
        <f>'3083'!I$135</f>
        <v>-52313.760000000002</v>
      </c>
      <c r="L16" s="329">
        <f t="shared" si="8"/>
        <v>5885493.0600000005</v>
      </c>
      <c r="M16" s="330">
        <f>'3083'!I$145</f>
        <v>67173.14</v>
      </c>
      <c r="N16" s="201"/>
      <c r="O16" s="329">
        <f>'3083'!E$30</f>
        <v>163.27999999999997</v>
      </c>
      <c r="Q16" s="330">
        <f t="shared" si="9"/>
        <v>36365.793851053415</v>
      </c>
      <c r="R16" s="330">
        <f t="shared" si="3"/>
        <v>-320.39294463498294</v>
      </c>
      <c r="S16" s="330">
        <f t="shared" si="4"/>
        <v>36045.400906418428</v>
      </c>
      <c r="U16" s="330">
        <f t="shared" si="10"/>
        <v>0</v>
      </c>
      <c r="V16" s="330">
        <f t="shared" si="5"/>
        <v>36045.4</v>
      </c>
      <c r="W16" s="330">
        <f t="shared" si="6"/>
        <v>0</v>
      </c>
    </row>
    <row r="17" spans="1:26" x14ac:dyDescent="0.3">
      <c r="A17" s="191">
        <v>12</v>
      </c>
      <c r="B17" s="320" t="s">
        <v>167</v>
      </c>
      <c r="C17" s="323" t="s">
        <v>426</v>
      </c>
      <c r="D17" s="377">
        <f>'3345'!G$135</f>
        <v>0</v>
      </c>
      <c r="E17" s="377">
        <f>'3345'!H$133</f>
        <v>1</v>
      </c>
      <c r="F17" s="328">
        <f t="shared" si="7"/>
        <v>2.7890223542057963E-2</v>
      </c>
      <c r="G17" s="431">
        <f t="shared" si="2"/>
        <v>2.8549182740871253E-2</v>
      </c>
      <c r="H17" s="322"/>
      <c r="I17" s="329">
        <f>'3345'!I$128</f>
        <v>1134700.1200000001</v>
      </c>
      <c r="J17" s="329">
        <f>I17-'3345'!I$53</f>
        <v>1108509.4900000002</v>
      </c>
      <c r="K17" s="329">
        <f>'3345'!I$135</f>
        <v>-31647.040000000001</v>
      </c>
      <c r="L17" s="329">
        <f t="shared" si="8"/>
        <v>1103053.08</v>
      </c>
      <c r="M17" s="330">
        <f>'3345'!I$145</f>
        <v>18014.810000000001</v>
      </c>
      <c r="N17" s="201"/>
      <c r="O17" s="329">
        <f>'3345'!E$30</f>
        <v>78.47</v>
      </c>
      <c r="Q17" s="330">
        <f t="shared" si="9"/>
        <v>14460.304829871289</v>
      </c>
      <c r="R17" s="330">
        <f t="shared" si="3"/>
        <v>-403.30113419141077</v>
      </c>
      <c r="S17" s="330">
        <f t="shared" si="4"/>
        <v>14057.003695679879</v>
      </c>
      <c r="U17" s="330">
        <f t="shared" si="10"/>
        <v>0</v>
      </c>
      <c r="V17" s="330">
        <f t="shared" si="5"/>
        <v>14057</v>
      </c>
      <c r="W17" s="330">
        <f t="shared" si="6"/>
        <v>0</v>
      </c>
      <c r="Z17" s="295"/>
    </row>
    <row r="18" spans="1:26" x14ac:dyDescent="0.3">
      <c r="A18" s="191">
        <v>13</v>
      </c>
      <c r="B18" s="320" t="s">
        <v>168</v>
      </c>
      <c r="C18" s="321" t="s">
        <v>200</v>
      </c>
      <c r="D18" s="376" t="str">
        <f>'3381'!G$135</f>
        <v>H</v>
      </c>
      <c r="E18" s="376" t="str">
        <f>'3381'!H$133</f>
        <v/>
      </c>
      <c r="F18" s="328">
        <f t="shared" si="7"/>
        <v>4.5500397713478585E-3</v>
      </c>
      <c r="G18" s="431">
        <f t="shared" si="2"/>
        <v>4.7656259424425215E-3</v>
      </c>
      <c r="H18" s="322"/>
      <c r="I18" s="329">
        <f>'3381'!I$128</f>
        <v>9049668.1500000004</v>
      </c>
      <c r="J18" s="329">
        <f>I18-'3381'!I$53</f>
        <v>8640281.5700000003</v>
      </c>
      <c r="K18" s="329">
        <f>'3381'!I$135</f>
        <v>-41176.35</v>
      </c>
      <c r="L18" s="329">
        <f t="shared" si="8"/>
        <v>9008491.8000000007</v>
      </c>
      <c r="M18" s="330">
        <f>'3381'!I$145</f>
        <v>-2236.23</v>
      </c>
      <c r="N18" s="201"/>
      <c r="O18" s="329">
        <f>'3381'!E$30</f>
        <v>1049.18</v>
      </c>
      <c r="Q18" s="330">
        <f t="shared" si="9"/>
        <v>8625.4676509273904</v>
      </c>
      <c r="R18" s="330">
        <f t="shared" si="3"/>
        <v>-39.246220858194015</v>
      </c>
      <c r="S18" s="330">
        <f t="shared" si="4"/>
        <v>8586.2214300691976</v>
      </c>
      <c r="U18" s="330">
        <f t="shared" si="10"/>
        <v>8586.2214300691976</v>
      </c>
      <c r="V18" s="330">
        <f t="shared" si="5"/>
        <v>0</v>
      </c>
      <c r="W18" s="330">
        <f t="shared" si="6"/>
        <v>0</v>
      </c>
      <c r="Z18" s="295"/>
    </row>
    <row r="19" spans="1:26" x14ac:dyDescent="0.3">
      <c r="A19" s="191">
        <v>14</v>
      </c>
      <c r="B19" s="320" t="s">
        <v>169</v>
      </c>
      <c r="C19" s="321" t="s">
        <v>202</v>
      </c>
      <c r="D19" s="376">
        <f>'3382'!G$135</f>
        <v>0</v>
      </c>
      <c r="E19" s="376" t="str">
        <f>'3382'!H$133</f>
        <v/>
      </c>
      <c r="F19" s="328">
        <f t="shared" si="7"/>
        <v>4.4886451801484741E-2</v>
      </c>
      <c r="G19" s="431">
        <f t="shared" si="2"/>
        <v>4.6769184271136181E-2</v>
      </c>
      <c r="H19" s="322"/>
      <c r="I19" s="329">
        <f>'3382'!I$128</f>
        <v>2456779.62</v>
      </c>
      <c r="J19" s="329">
        <f>I19-'3382'!I$53</f>
        <v>2357879.91</v>
      </c>
      <c r="K19" s="329">
        <f>'3382'!I$135</f>
        <v>-110276.12</v>
      </c>
      <c r="L19" s="329">
        <f t="shared" si="8"/>
        <v>2346503.5</v>
      </c>
      <c r="M19" s="330">
        <f>'3382'!I$145</f>
        <v>-47260.88</v>
      </c>
      <c r="N19" s="201"/>
      <c r="O19" s="329">
        <f>'3382'!E$30</f>
        <v>267.27000000000004</v>
      </c>
      <c r="Q19" s="330">
        <f t="shared" si="9"/>
        <v>9192.1263890447844</v>
      </c>
      <c r="R19" s="330">
        <f t="shared" si="3"/>
        <v>-412.60193811501472</v>
      </c>
      <c r="S19" s="330">
        <f t="shared" si="4"/>
        <v>8779.52445092977</v>
      </c>
      <c r="U19" s="330">
        <f t="shared" si="10"/>
        <v>0</v>
      </c>
      <c r="V19" s="330">
        <f t="shared" si="5"/>
        <v>0</v>
      </c>
      <c r="W19" s="330">
        <f t="shared" si="6"/>
        <v>8779.52445092977</v>
      </c>
    </row>
    <row r="20" spans="1:26" x14ac:dyDescent="0.3">
      <c r="A20" s="191">
        <v>15</v>
      </c>
      <c r="B20" s="320" t="s">
        <v>170</v>
      </c>
      <c r="C20" s="321" t="s">
        <v>204</v>
      </c>
      <c r="D20" s="376">
        <f>'3391'!G$135</f>
        <v>0</v>
      </c>
      <c r="E20" s="376"/>
      <c r="F20" s="328" t="e">
        <f t="shared" si="7"/>
        <v>#DIV/0!</v>
      </c>
      <c r="G20" s="431" t="e">
        <f t="shared" si="2"/>
        <v>#DIV/0!</v>
      </c>
      <c r="H20" s="322"/>
      <c r="I20" s="329">
        <v>0</v>
      </c>
      <c r="J20" s="329"/>
      <c r="K20" s="329">
        <f>'3391'!I$135</f>
        <v>0</v>
      </c>
      <c r="L20" s="329">
        <f t="shared" si="8"/>
        <v>0</v>
      </c>
      <c r="M20" s="330">
        <f>'3391'!I$145</f>
        <v>0</v>
      </c>
      <c r="N20" s="201"/>
      <c r="O20" s="329">
        <f>'3391'!E$30</f>
        <v>0</v>
      </c>
      <c r="Q20" s="330">
        <v>0</v>
      </c>
      <c r="R20" s="330">
        <v>0</v>
      </c>
      <c r="S20" s="330">
        <v>0</v>
      </c>
      <c r="U20" s="330">
        <f t="shared" si="10"/>
        <v>0</v>
      </c>
      <c r="V20" s="330">
        <f t="shared" si="5"/>
        <v>0</v>
      </c>
      <c r="W20" s="330">
        <f t="shared" si="6"/>
        <v>0</v>
      </c>
    </row>
    <row r="21" spans="1:26" x14ac:dyDescent="0.3">
      <c r="A21" s="191">
        <v>16</v>
      </c>
      <c r="B21" s="320" t="s">
        <v>171</v>
      </c>
      <c r="C21" s="321" t="s">
        <v>205</v>
      </c>
      <c r="D21" s="376">
        <f>'3394'!G$135</f>
        <v>0</v>
      </c>
      <c r="E21" s="376" t="str">
        <f>'3394'!H$133</f>
        <v/>
      </c>
      <c r="F21" s="328">
        <f t="shared" si="7"/>
        <v>4.7562062012527356E-2</v>
      </c>
      <c r="G21" s="431">
        <f t="shared" si="2"/>
        <v>5.0000001233691242E-2</v>
      </c>
      <c r="H21" s="322"/>
      <c r="I21" s="329">
        <f>'3394'!I$128</f>
        <v>1704248.2300000002</v>
      </c>
      <c r="J21" s="329">
        <f>I21-'3394'!I$53</f>
        <v>1621151.1600000001</v>
      </c>
      <c r="K21" s="329">
        <f>'3394'!I$135</f>
        <v>-81057.56</v>
      </c>
      <c r="L21" s="329">
        <f t="shared" si="8"/>
        <v>1623190.6700000002</v>
      </c>
      <c r="M21" s="330">
        <f>'3394'!I$145</f>
        <v>-16571.419999999998</v>
      </c>
      <c r="N21" s="201"/>
      <c r="O21" s="329">
        <f>'3394'!E$30</f>
        <v>190.99</v>
      </c>
      <c r="Q21" s="330">
        <f t="shared" si="9"/>
        <v>8923.2327870569152</v>
      </c>
      <c r="R21" s="330">
        <f t="shared" si="3"/>
        <v>-424.40735117021831</v>
      </c>
      <c r="S21" s="330">
        <f t="shared" si="4"/>
        <v>8498.8254358866961</v>
      </c>
      <c r="U21" s="330">
        <f t="shared" si="10"/>
        <v>0</v>
      </c>
      <c r="V21" s="330">
        <f t="shared" si="5"/>
        <v>0</v>
      </c>
      <c r="W21" s="330">
        <f t="shared" si="6"/>
        <v>8498.8254358866961</v>
      </c>
    </row>
    <row r="22" spans="1:26" x14ac:dyDescent="0.3">
      <c r="A22" s="191">
        <v>17</v>
      </c>
      <c r="B22" s="320" t="s">
        <v>172</v>
      </c>
      <c r="C22" s="323" t="s">
        <v>296</v>
      </c>
      <c r="D22" s="377">
        <f>'3395'!G$135</f>
        <v>0</v>
      </c>
      <c r="E22" s="377" t="str">
        <f>'3395'!H$133</f>
        <v/>
      </c>
      <c r="F22" s="328">
        <f t="shared" si="7"/>
        <v>2.3225876544488044E-2</v>
      </c>
      <c r="G22" s="431">
        <f t="shared" si="2"/>
        <v>2.437122152883188E-2</v>
      </c>
      <c r="H22" s="322"/>
      <c r="I22" s="329">
        <f>'3395'!I$128</f>
        <v>4440007.67</v>
      </c>
      <c r="J22" s="329">
        <f>I22-'3395'!I$53</f>
        <v>4231345.97</v>
      </c>
      <c r="K22" s="329">
        <f>'3395'!I$135</f>
        <v>-103123.07</v>
      </c>
      <c r="L22" s="329">
        <f t="shared" si="8"/>
        <v>4336884.5999999996</v>
      </c>
      <c r="M22" s="330">
        <f>'3395'!I$145</f>
        <v>-30669.84</v>
      </c>
      <c r="N22" s="201"/>
      <c r="O22" s="329">
        <f>'3395'!E$30</f>
        <v>512.9</v>
      </c>
      <c r="Q22" s="330">
        <f t="shared" si="9"/>
        <v>8656.6731721583164</v>
      </c>
      <c r="R22" s="330">
        <f t="shared" si="3"/>
        <v>-201.05882238253074</v>
      </c>
      <c r="S22" s="330">
        <f t="shared" si="4"/>
        <v>8455.6143497757839</v>
      </c>
      <c r="U22" s="330">
        <f t="shared" si="10"/>
        <v>0</v>
      </c>
      <c r="V22" s="330">
        <f t="shared" si="5"/>
        <v>0</v>
      </c>
      <c r="W22" s="330">
        <f t="shared" si="6"/>
        <v>8455.6143497757839</v>
      </c>
    </row>
    <row r="23" spans="1:26" x14ac:dyDescent="0.3">
      <c r="A23" s="191">
        <v>18</v>
      </c>
      <c r="B23" s="320" t="s">
        <v>173</v>
      </c>
      <c r="C23" s="323" t="s">
        <v>227</v>
      </c>
      <c r="D23" s="377" t="str">
        <f>'3396'!G$135</f>
        <v>H</v>
      </c>
      <c r="E23" s="377" t="str">
        <f>'3396'!H$133</f>
        <v/>
      </c>
      <c r="F23" s="328">
        <f t="shared" si="7"/>
        <v>6.8626103272448023E-3</v>
      </c>
      <c r="G23" s="431">
        <f t="shared" si="2"/>
        <v>7.1729828924735608E-3</v>
      </c>
      <c r="H23" s="322"/>
      <c r="I23" s="329">
        <f>'3396'!I$128</f>
        <v>5720460.3099999996</v>
      </c>
      <c r="J23" s="329">
        <f>I23-'3396'!I$53</f>
        <v>5472937.9099999992</v>
      </c>
      <c r="K23" s="329">
        <f>'3396'!I$135</f>
        <v>-39257.29</v>
      </c>
      <c r="L23" s="329">
        <f t="shared" si="8"/>
        <v>5681203.0199999996</v>
      </c>
      <c r="M23" s="330">
        <f>'3396'!I$145</f>
        <v>-95042.81</v>
      </c>
      <c r="N23" s="201"/>
      <c r="O23" s="329">
        <f>'3396'!E$30</f>
        <v>697.06000000000017</v>
      </c>
      <c r="Q23" s="330">
        <f t="shared" si="9"/>
        <v>8206.553682609816</v>
      </c>
      <c r="R23" s="330">
        <f t="shared" si="3"/>
        <v>-56.318380053366987</v>
      </c>
      <c r="S23" s="330">
        <f t="shared" si="4"/>
        <v>8150.2353025564489</v>
      </c>
      <c r="U23" s="330">
        <f t="shared" si="10"/>
        <v>8150.2353025564489</v>
      </c>
      <c r="V23" s="330">
        <f t="shared" si="5"/>
        <v>0</v>
      </c>
      <c r="W23" s="330">
        <f t="shared" si="6"/>
        <v>0</v>
      </c>
    </row>
    <row r="24" spans="1:26" x14ac:dyDescent="0.3">
      <c r="A24" s="191">
        <v>19</v>
      </c>
      <c r="B24" s="320" t="s">
        <v>174</v>
      </c>
      <c r="C24" s="321" t="s">
        <v>195</v>
      </c>
      <c r="D24" s="376">
        <f>'3398'!G$135</f>
        <v>0</v>
      </c>
      <c r="E24" s="376" t="str">
        <f>'3398'!H$133</f>
        <v/>
      </c>
      <c r="F24" s="328">
        <f t="shared" si="7"/>
        <v>4.7677728929532988E-2</v>
      </c>
      <c r="G24" s="431">
        <f t="shared" si="2"/>
        <v>5.0000005458952113E-2</v>
      </c>
      <c r="H24" s="322"/>
      <c r="I24" s="329">
        <f>'3398'!I$128</f>
        <v>960539.46000000008</v>
      </c>
      <c r="J24" s="329">
        <f>I24-'3398'!I$53</f>
        <v>915926.70000000007</v>
      </c>
      <c r="K24" s="329">
        <f>'3398'!I$135</f>
        <v>-45796.34</v>
      </c>
      <c r="L24" s="329">
        <f t="shared" si="8"/>
        <v>914743.12000000011</v>
      </c>
      <c r="M24" s="330">
        <f>'3398'!I$145</f>
        <v>10301.35</v>
      </c>
      <c r="N24" s="201"/>
      <c r="O24" s="329">
        <f>'3398'!E$30</f>
        <v>114.65</v>
      </c>
      <c r="Q24" s="330">
        <f t="shared" si="9"/>
        <v>8378.0153510684704</v>
      </c>
      <c r="R24" s="330">
        <f t="shared" si="3"/>
        <v>-399.44474487570864</v>
      </c>
      <c r="S24" s="330">
        <f t="shared" si="4"/>
        <v>7978.5706061927613</v>
      </c>
      <c r="U24" s="330">
        <f t="shared" si="10"/>
        <v>0</v>
      </c>
      <c r="V24" s="330">
        <f t="shared" si="5"/>
        <v>0</v>
      </c>
      <c r="W24" s="330">
        <f t="shared" si="6"/>
        <v>7978.5706061927613</v>
      </c>
    </row>
    <row r="25" spans="1:26" x14ac:dyDescent="0.3">
      <c r="A25" s="191">
        <v>20</v>
      </c>
      <c r="B25" s="320" t="s">
        <v>175</v>
      </c>
      <c r="C25" s="321" t="s">
        <v>189</v>
      </c>
      <c r="D25" s="376">
        <f>'3400'!G$135</f>
        <v>0</v>
      </c>
      <c r="E25" s="376">
        <f>'3400'!H$133</f>
        <v>1</v>
      </c>
      <c r="F25" s="328">
        <f t="shared" si="7"/>
        <v>3.2294385171728709E-2</v>
      </c>
      <c r="G25" s="431">
        <f t="shared" si="2"/>
        <v>3.3226347953985214E-2</v>
      </c>
      <c r="H25" s="322"/>
      <c r="I25" s="329">
        <f>'3400'!I$128</f>
        <v>1207932.58</v>
      </c>
      <c r="J25" s="329">
        <f>I25-'3400'!I$53</f>
        <v>1174051.3900000001</v>
      </c>
      <c r="K25" s="329">
        <f>'3400'!I$135</f>
        <v>-39009.440000000002</v>
      </c>
      <c r="L25" s="329">
        <f t="shared" si="8"/>
        <v>1168923.1400000001</v>
      </c>
      <c r="M25" s="330">
        <f>'3400'!I$145</f>
        <v>46433.98</v>
      </c>
      <c r="N25" s="201"/>
      <c r="O25" s="329">
        <f>'3400'!E$30</f>
        <v>100.2</v>
      </c>
      <c r="Q25" s="330">
        <f t="shared" si="9"/>
        <v>12055.215369261477</v>
      </c>
      <c r="R25" s="330">
        <f t="shared" si="3"/>
        <v>-389.31576846307388</v>
      </c>
      <c r="S25" s="330">
        <f t="shared" si="4"/>
        <v>11665.899600798404</v>
      </c>
      <c r="U25" s="330">
        <f t="shared" si="10"/>
        <v>0</v>
      </c>
      <c r="V25" s="330">
        <f t="shared" si="5"/>
        <v>11665.9</v>
      </c>
      <c r="W25" s="330">
        <f t="shared" si="6"/>
        <v>0</v>
      </c>
    </row>
    <row r="26" spans="1:26" x14ac:dyDescent="0.3">
      <c r="A26" s="191">
        <v>21</v>
      </c>
      <c r="B26" s="320" t="s">
        <v>176</v>
      </c>
      <c r="C26" s="321" t="s">
        <v>206</v>
      </c>
      <c r="D26" s="376">
        <f>'3401'!G$135</f>
        <v>0</v>
      </c>
      <c r="E26" s="376">
        <f>'3401'!H$133</f>
        <v>0</v>
      </c>
      <c r="F26" s="328">
        <f t="shared" si="7"/>
        <v>2.7554983931901176E-2</v>
      </c>
      <c r="G26" s="431">
        <f t="shared" si="2"/>
        <v>2.8645414411096873E-2</v>
      </c>
      <c r="H26" s="322"/>
      <c r="I26" s="329">
        <f>'3401'!I$128</f>
        <v>3674943.1700000009</v>
      </c>
      <c r="J26" s="329">
        <f>I26-'3401'!I$53</f>
        <v>3535050.9700000007</v>
      </c>
      <c r="K26" s="329">
        <f>'3401'!I$135</f>
        <v>-101263</v>
      </c>
      <c r="L26" s="329">
        <f t="shared" si="8"/>
        <v>3573680.1700000009</v>
      </c>
      <c r="M26" s="330">
        <f>'3401'!I$145</f>
        <v>76861.53</v>
      </c>
      <c r="N26" s="201"/>
      <c r="O26" s="329">
        <f>'3401'!E$30</f>
        <v>436.37</v>
      </c>
      <c r="Q26" s="330">
        <f t="shared" si="9"/>
        <v>8421.6219492632426</v>
      </c>
      <c r="R26" s="330">
        <f t="shared" si="3"/>
        <v>-232.05765749249491</v>
      </c>
      <c r="S26" s="330">
        <f t="shared" si="4"/>
        <v>8189.5642917707473</v>
      </c>
      <c r="U26" s="330">
        <f t="shared" si="10"/>
        <v>0</v>
      </c>
      <c r="V26" s="330">
        <f t="shared" si="5"/>
        <v>0</v>
      </c>
      <c r="W26" s="330">
        <f t="shared" si="6"/>
        <v>8189.5642917707473</v>
      </c>
    </row>
    <row r="27" spans="1:26" x14ac:dyDescent="0.3">
      <c r="A27" s="191">
        <v>22</v>
      </c>
      <c r="B27" s="320" t="s">
        <v>177</v>
      </c>
      <c r="C27" s="321" t="s">
        <v>207</v>
      </c>
      <c r="D27" s="376" t="str">
        <f>'3413'!G$135</f>
        <v>H</v>
      </c>
      <c r="E27" s="376" t="str">
        <f>'3413'!H$133</f>
        <v/>
      </c>
      <c r="F27" s="328">
        <f t="shared" si="7"/>
        <v>1.226159262389988E-2</v>
      </c>
      <c r="G27" s="431">
        <f t="shared" si="2"/>
        <v>1.2820184995392368E-2</v>
      </c>
      <c r="H27" s="322"/>
      <c r="I27" s="329">
        <f>'3413'!I$128</f>
        <v>3429801.5999999996</v>
      </c>
      <c r="J27" s="329">
        <f>I27-'3413'!I$53</f>
        <v>3280360.6199999996</v>
      </c>
      <c r="K27" s="329">
        <f>'3413'!I$135</f>
        <v>-42054.83</v>
      </c>
      <c r="L27" s="329">
        <f t="shared" si="8"/>
        <v>3387746.7699999996</v>
      </c>
      <c r="M27" s="330">
        <f>'3413'!I$145</f>
        <v>-5440.91</v>
      </c>
      <c r="N27" s="201"/>
      <c r="O27" s="329">
        <f>'3413'!E$30</f>
        <v>390.01</v>
      </c>
      <c r="Q27" s="330">
        <f t="shared" si="9"/>
        <v>8794.1375862157365</v>
      </c>
      <c r="R27" s="330">
        <f t="shared" si="3"/>
        <v>-107.83013256070357</v>
      </c>
      <c r="S27" s="330">
        <f t="shared" si="4"/>
        <v>8686.3074536550339</v>
      </c>
      <c r="U27" s="330">
        <f t="shared" si="10"/>
        <v>8686.3074536550339</v>
      </c>
      <c r="V27" s="330">
        <f t="shared" si="5"/>
        <v>0</v>
      </c>
      <c r="W27" s="330">
        <f t="shared" si="6"/>
        <v>0</v>
      </c>
    </row>
    <row r="28" spans="1:26" x14ac:dyDescent="0.3">
      <c r="A28" s="191">
        <v>23</v>
      </c>
      <c r="B28" s="320" t="s">
        <v>178</v>
      </c>
      <c r="C28" s="321" t="s">
        <v>208</v>
      </c>
      <c r="D28" s="376">
        <f>'3421'!G$135</f>
        <v>0</v>
      </c>
      <c r="E28" s="376" t="str">
        <f>'3421'!H$133</f>
        <v/>
      </c>
      <c r="F28" s="328">
        <f t="shared" si="7"/>
        <v>2.296371518488358E-2</v>
      </c>
      <c r="G28" s="431">
        <f t="shared" si="2"/>
        <v>2.3794114067179982E-2</v>
      </c>
      <c r="H28" s="322"/>
      <c r="I28" s="329">
        <f>'3421'!I$128</f>
        <v>4262690.04</v>
      </c>
      <c r="J28" s="329">
        <f>I28-'3421'!I$53</f>
        <v>4113924.97</v>
      </c>
      <c r="K28" s="329">
        <f>'3421'!I$135</f>
        <v>-97887.2</v>
      </c>
      <c r="L28" s="329">
        <f t="shared" si="8"/>
        <v>4164802.84</v>
      </c>
      <c r="M28" s="330">
        <f>'3421'!I$145</f>
        <v>340563.09</v>
      </c>
      <c r="N28" s="201"/>
      <c r="O28" s="329">
        <f>'3421'!E$30</f>
        <v>525.33999999999992</v>
      </c>
      <c r="Q28" s="330">
        <f t="shared" si="9"/>
        <v>8114.1547188487466</v>
      </c>
      <c r="R28" s="330">
        <f t="shared" si="3"/>
        <v>-186.33113792972173</v>
      </c>
      <c r="S28" s="330">
        <f t="shared" si="4"/>
        <v>7927.8235809190246</v>
      </c>
      <c r="U28" s="330">
        <f t="shared" si="10"/>
        <v>0</v>
      </c>
      <c r="V28" s="330">
        <f t="shared" si="5"/>
        <v>0</v>
      </c>
      <c r="W28" s="330">
        <f t="shared" si="6"/>
        <v>7927.8235809190246</v>
      </c>
    </row>
    <row r="29" spans="1:26" x14ac:dyDescent="0.3">
      <c r="A29" s="191">
        <v>24</v>
      </c>
      <c r="B29" s="320" t="s">
        <v>179</v>
      </c>
      <c r="C29" s="321" t="s">
        <v>210</v>
      </c>
      <c r="D29" s="376" t="str">
        <f>'3431'!G$135</f>
        <v>H</v>
      </c>
      <c r="E29" s="376" t="str">
        <f>'3431'!H$133</f>
        <v/>
      </c>
      <c r="F29" s="328">
        <f t="shared" si="7"/>
        <v>4.7704520070999575E-3</v>
      </c>
      <c r="G29" s="431">
        <f t="shared" si="2"/>
        <v>4.9941067707248996E-3</v>
      </c>
      <c r="H29" s="322"/>
      <c r="I29" s="329">
        <f>'3431'!I$128</f>
        <v>8628182.3899999987</v>
      </c>
      <c r="J29" s="329">
        <f>I29-'3431'!I$53</f>
        <v>8241780.1399999987</v>
      </c>
      <c r="K29" s="329">
        <f>'3431'!I$135</f>
        <v>-41160.33</v>
      </c>
      <c r="L29" s="329">
        <f t="shared" si="8"/>
        <v>8587022.0599999987</v>
      </c>
      <c r="M29" s="330">
        <f>'3431'!I$145</f>
        <v>-140471.45000000001</v>
      </c>
      <c r="N29" s="201"/>
      <c r="O29" s="329">
        <f>'3431'!E$30</f>
        <v>1001.1800000000001</v>
      </c>
      <c r="Q29" s="330">
        <f t="shared" si="9"/>
        <v>8618.0131345012869</v>
      </c>
      <c r="R29" s="330">
        <f t="shared" si="3"/>
        <v>-41.111818054695462</v>
      </c>
      <c r="S29" s="330">
        <f t="shared" si="4"/>
        <v>8576.9013164465905</v>
      </c>
      <c r="U29" s="330">
        <f t="shared" si="10"/>
        <v>8576.9013164465905</v>
      </c>
      <c r="V29" s="330">
        <f t="shared" si="5"/>
        <v>0</v>
      </c>
      <c r="W29" s="330">
        <f t="shared" si="6"/>
        <v>0</v>
      </c>
    </row>
    <row r="30" spans="1:26" x14ac:dyDescent="0.3">
      <c r="A30" s="191">
        <v>25</v>
      </c>
      <c r="B30" s="320">
        <v>3441</v>
      </c>
      <c r="C30" s="323" t="s">
        <v>228</v>
      </c>
      <c r="D30" s="377">
        <f>'3441'!G$135</f>
        <v>0</v>
      </c>
      <c r="E30" s="377" t="str">
        <f>'3441'!H$133</f>
        <v/>
      </c>
      <c r="F30" s="328">
        <f t="shared" si="7"/>
        <v>2.2678255499566403E-2</v>
      </c>
      <c r="G30" s="431">
        <f t="shared" si="2"/>
        <v>2.3711966899502706E-2</v>
      </c>
      <c r="H30" s="322"/>
      <c r="I30" s="329">
        <f>'3441'!I$128</f>
        <v>4455154.4099999992</v>
      </c>
      <c r="J30" s="329">
        <f>I30-'3441'!I$53</f>
        <v>4260934.169999999</v>
      </c>
      <c r="K30" s="329">
        <f>'3441'!I$135</f>
        <v>-101035.13</v>
      </c>
      <c r="L30" s="329">
        <f t="shared" si="8"/>
        <v>4354119.2799999993</v>
      </c>
      <c r="M30" s="330">
        <f>'3441'!I$145</f>
        <v>-26501.95</v>
      </c>
      <c r="N30" s="201"/>
      <c r="O30" s="329">
        <f>'3441'!E$30</f>
        <v>527.16</v>
      </c>
      <c r="Q30" s="330">
        <f t="shared" si="9"/>
        <v>8451.2375938993846</v>
      </c>
      <c r="R30" s="330">
        <f t="shared" si="3"/>
        <v>-191.65932544199106</v>
      </c>
      <c r="S30" s="330">
        <f t="shared" si="4"/>
        <v>8259.5782684573933</v>
      </c>
      <c r="U30" s="330">
        <f t="shared" si="10"/>
        <v>0</v>
      </c>
      <c r="V30" s="330">
        <f t="shared" si="5"/>
        <v>0</v>
      </c>
      <c r="W30" s="330">
        <f t="shared" si="6"/>
        <v>8259.5782684573933</v>
      </c>
    </row>
    <row r="31" spans="1:26" x14ac:dyDescent="0.3">
      <c r="A31" s="191">
        <v>26</v>
      </c>
      <c r="B31" s="320">
        <v>3924</v>
      </c>
      <c r="C31" s="323" t="s">
        <v>414</v>
      </c>
      <c r="D31" s="376">
        <f>'3924'!G$135</f>
        <v>0</v>
      </c>
      <c r="E31" s="376" t="str">
        <f>'3924'!H$133</f>
        <v/>
      </c>
      <c r="F31" s="328">
        <f t="shared" si="7"/>
        <v>2.7423952311805402E-2</v>
      </c>
      <c r="G31" s="431">
        <f t="shared" si="2"/>
        <v>2.8774661146933857E-2</v>
      </c>
      <c r="H31" s="322"/>
      <c r="I31" s="329">
        <f>'3924'!I$128</f>
        <v>3701370.5700000008</v>
      </c>
      <c r="J31" s="329">
        <f>I31-'3924'!I$53</f>
        <v>3527624.8600000008</v>
      </c>
      <c r="K31" s="329">
        <f>'3924'!I$135</f>
        <v>-101506.21</v>
      </c>
      <c r="L31" s="329">
        <f t="shared" si="8"/>
        <v>3599864.3600000008</v>
      </c>
      <c r="M31" s="330">
        <f>'3924'!I$145</f>
        <v>-37604.04</v>
      </c>
      <c r="N31" s="201"/>
      <c r="O31" s="329">
        <f>'3924'!E$30</f>
        <v>434.41</v>
      </c>
      <c r="Q31" s="330">
        <f t="shared" si="9"/>
        <v>8520.4543403696989</v>
      </c>
      <c r="R31" s="330">
        <f t="shared" si="3"/>
        <v>-233.66453350521397</v>
      </c>
      <c r="S31" s="330">
        <f t="shared" si="4"/>
        <v>8286.7898068644845</v>
      </c>
      <c r="U31" s="330">
        <f t="shared" si="10"/>
        <v>0</v>
      </c>
      <c r="V31" s="330">
        <f t="shared" si="5"/>
        <v>0</v>
      </c>
      <c r="W31" s="330">
        <f t="shared" si="6"/>
        <v>8286.7898068644845</v>
      </c>
    </row>
    <row r="32" spans="1:26" x14ac:dyDescent="0.3">
      <c r="A32" s="191">
        <v>27</v>
      </c>
      <c r="B32" s="320" t="s">
        <v>180</v>
      </c>
      <c r="C32" s="321" t="s">
        <v>191</v>
      </c>
      <c r="D32" s="376" t="str">
        <f>'3941'!G$135</f>
        <v>H</v>
      </c>
      <c r="E32" s="376" t="str">
        <f>'3941'!H$133</f>
        <v/>
      </c>
      <c r="F32" s="328">
        <f t="shared" si="7"/>
        <v>1.9004987704145861E-2</v>
      </c>
      <c r="G32" s="431">
        <f t="shared" si="2"/>
        <v>1.9999999689387302E-2</v>
      </c>
      <c r="H32" s="322"/>
      <c r="I32" s="329">
        <f>'3941'!I$128</f>
        <v>2032799</v>
      </c>
      <c r="J32" s="329">
        <f>I32-'3941'!I$53</f>
        <v>1931666.03</v>
      </c>
      <c r="K32" s="329">
        <f>'3941'!I$135</f>
        <v>-38633.32</v>
      </c>
      <c r="L32" s="329">
        <f>I32+K32</f>
        <v>1994165.68</v>
      </c>
      <c r="M32" s="330">
        <f>'3941'!I$145</f>
        <v>-3878.68</v>
      </c>
      <c r="N32" s="201"/>
      <c r="O32" s="329">
        <f>'3941'!E$30</f>
        <v>229.15</v>
      </c>
      <c r="Q32" s="330">
        <f t="shared" si="9"/>
        <v>8871.0408029674891</v>
      </c>
      <c r="R32" s="330">
        <f t="shared" si="3"/>
        <v>-168.59402138337333</v>
      </c>
      <c r="S32" s="330">
        <f t="shared" si="4"/>
        <v>8702.4467815841144</v>
      </c>
      <c r="U32" s="330">
        <f t="shared" si="10"/>
        <v>8702.4467815841144</v>
      </c>
      <c r="V32" s="330">
        <f t="shared" si="5"/>
        <v>0</v>
      </c>
      <c r="W32" s="330">
        <f t="shared" si="6"/>
        <v>0</v>
      </c>
    </row>
    <row r="33" spans="1:23" x14ac:dyDescent="0.3">
      <c r="A33" s="191">
        <v>28</v>
      </c>
      <c r="B33" s="320" t="s">
        <v>181</v>
      </c>
      <c r="C33" s="321" t="s">
        <v>201</v>
      </c>
      <c r="D33" s="376">
        <f>'3961'!G$135</f>
        <v>0</v>
      </c>
      <c r="E33" s="376" t="str">
        <f>'3961'!H$133</f>
        <v/>
      </c>
      <c r="F33" s="328">
        <f t="shared" si="7"/>
        <v>4.2891855293455051E-2</v>
      </c>
      <c r="G33" s="431">
        <f t="shared" si="2"/>
        <v>4.5339136865431728E-2</v>
      </c>
      <c r="H33" s="322"/>
      <c r="I33" s="329">
        <f>'3961'!I$128</f>
        <v>2345573.52</v>
      </c>
      <c r="J33" s="329">
        <f>I33-'3961'!I$53</f>
        <v>2218965.9300000002</v>
      </c>
      <c r="K33" s="329">
        <f>'3961'!I$135</f>
        <v>-100606</v>
      </c>
      <c r="L33" s="329">
        <f t="shared" si="8"/>
        <v>2244967.52</v>
      </c>
      <c r="M33" s="330">
        <f>'3961'!I$145</f>
        <v>-222662.62</v>
      </c>
      <c r="N33" s="201"/>
      <c r="O33" s="329">
        <f>'3961'!E$30</f>
        <v>275.7</v>
      </c>
      <c r="Q33" s="330">
        <f t="shared" si="9"/>
        <v>8507.7022850924914</v>
      </c>
      <c r="R33" s="330">
        <f t="shared" si="3"/>
        <v>-364.91113529198407</v>
      </c>
      <c r="S33" s="330">
        <f t="shared" si="4"/>
        <v>8142.7911498005078</v>
      </c>
      <c r="U33" s="330">
        <f t="shared" si="10"/>
        <v>0</v>
      </c>
      <c r="V33" s="330">
        <f t="shared" si="5"/>
        <v>0</v>
      </c>
      <c r="W33" s="330">
        <f t="shared" si="6"/>
        <v>8142.7911498005078</v>
      </c>
    </row>
    <row r="34" spans="1:23" x14ac:dyDescent="0.3">
      <c r="A34" s="191">
        <v>29</v>
      </c>
      <c r="B34" s="320" t="s">
        <v>182</v>
      </c>
      <c r="C34" s="321" t="s">
        <v>354</v>
      </c>
      <c r="D34" s="376">
        <f>'3971'!G$135</f>
        <v>0</v>
      </c>
      <c r="E34" s="376" t="str">
        <f>'3971'!H$133</f>
        <v/>
      </c>
      <c r="F34" s="328">
        <f t="shared" si="7"/>
        <v>1.756855620474081E-2</v>
      </c>
      <c r="G34" s="431">
        <f t="shared" si="2"/>
        <v>1.8390195680250986E-2</v>
      </c>
      <c r="H34" s="322"/>
      <c r="I34" s="329">
        <f>'3971'!I$128</f>
        <v>5487447.5099999998</v>
      </c>
      <c r="J34" s="329">
        <f>I34-'3971'!I$53</f>
        <v>5242278.6399999997</v>
      </c>
      <c r="K34" s="329">
        <f>'3971'!I$135</f>
        <v>-96406.53</v>
      </c>
      <c r="L34" s="329">
        <f t="shared" si="8"/>
        <v>5391040.9799999995</v>
      </c>
      <c r="M34" s="330">
        <f>'3971'!I$145</f>
        <v>372629.83</v>
      </c>
      <c r="N34" s="201"/>
      <c r="O34" s="329">
        <f>'3971'!E$30</f>
        <v>679.71</v>
      </c>
      <c r="Q34" s="330">
        <f t="shared" si="9"/>
        <v>8073.2187403451462</v>
      </c>
      <c r="R34" s="330">
        <f t="shared" si="3"/>
        <v>-141.83479719292049</v>
      </c>
      <c r="S34" s="330">
        <f t="shared" si="4"/>
        <v>7931.3839431522256</v>
      </c>
      <c r="U34" s="330">
        <f t="shared" si="10"/>
        <v>0</v>
      </c>
      <c r="V34" s="330">
        <f t="shared" si="5"/>
        <v>0</v>
      </c>
      <c r="W34" s="330">
        <f t="shared" si="6"/>
        <v>7931.3839431522256</v>
      </c>
    </row>
    <row r="35" spans="1:23" x14ac:dyDescent="0.3">
      <c r="A35" s="191">
        <v>30</v>
      </c>
      <c r="B35" s="320" t="s">
        <v>183</v>
      </c>
      <c r="C35" s="321" t="s">
        <v>219</v>
      </c>
      <c r="D35" s="376">
        <f>'4001'!G$135</f>
        <v>0</v>
      </c>
      <c r="E35" s="376" t="str">
        <f>'4001'!H$133</f>
        <v/>
      </c>
      <c r="F35" s="328">
        <f t="shared" si="7"/>
        <v>1.750203948306776E-2</v>
      </c>
      <c r="G35" s="431">
        <f t="shared" si="2"/>
        <v>1.8366957256814424E-2</v>
      </c>
      <c r="H35" s="322"/>
      <c r="I35" s="329">
        <f>'4001'!I$128</f>
        <v>5919514.7000000002</v>
      </c>
      <c r="J35" s="329">
        <f>I35-'4001'!I$53</f>
        <v>5640759.0300000003</v>
      </c>
      <c r="K35" s="329">
        <f>'4001'!I$135</f>
        <v>-103603.58</v>
      </c>
      <c r="L35" s="329">
        <f t="shared" si="8"/>
        <v>5815911.1200000001</v>
      </c>
      <c r="M35" s="330">
        <f>'4001'!I$145</f>
        <v>-16578.53</v>
      </c>
      <c r="N35" s="201"/>
      <c r="O35" s="329">
        <f>'4001'!E$30</f>
        <v>680.56999999999994</v>
      </c>
      <c r="Q35" s="330">
        <f t="shared" si="9"/>
        <v>8697.8778083077432</v>
      </c>
      <c r="R35" s="330">
        <f t="shared" si="3"/>
        <v>-152.23060081990099</v>
      </c>
      <c r="S35" s="330">
        <f t="shared" si="4"/>
        <v>8545.647207487842</v>
      </c>
      <c r="U35" s="330">
        <f t="shared" si="10"/>
        <v>0</v>
      </c>
      <c r="V35" s="330">
        <f t="shared" si="5"/>
        <v>0</v>
      </c>
      <c r="W35" s="330">
        <f t="shared" si="6"/>
        <v>8545.647207487842</v>
      </c>
    </row>
    <row r="36" spans="1:23" x14ac:dyDescent="0.3">
      <c r="A36" s="191">
        <v>31</v>
      </c>
      <c r="B36" s="320">
        <v>4002</v>
      </c>
      <c r="C36" s="321" t="s">
        <v>218</v>
      </c>
      <c r="D36" s="376">
        <f>'4002'!G$135</f>
        <v>0</v>
      </c>
      <c r="E36" s="376" t="str">
        <f>'4002'!H$133</f>
        <v/>
      </c>
      <c r="F36" s="328">
        <f t="shared" si="7"/>
        <v>1.2129256727457075E-2</v>
      </c>
      <c r="G36" s="431">
        <f t="shared" si="2"/>
        <v>1.2779487584755765E-2</v>
      </c>
      <c r="H36" s="322"/>
      <c r="I36" s="329">
        <f>'4002'!I$128</f>
        <v>8507541.0899999999</v>
      </c>
      <c r="J36" s="329">
        <f>I36-'4002'!I$53</f>
        <v>8074670.3899999997</v>
      </c>
      <c r="K36" s="329">
        <f>'4002'!I$135</f>
        <v>-103190.15</v>
      </c>
      <c r="L36" s="329">
        <f t="shared" si="8"/>
        <v>8404350.9399999995</v>
      </c>
      <c r="M36" s="330">
        <f>'4002'!I$145</f>
        <v>-83571.710000000006</v>
      </c>
      <c r="N36" s="201"/>
      <c r="O36" s="329">
        <f>'4002'!E$30</f>
        <v>978.13</v>
      </c>
      <c r="Q36" s="330">
        <f t="shared" si="9"/>
        <v>8697.7611258217203</v>
      </c>
      <c r="R36" s="330">
        <f t="shared" si="3"/>
        <v>-105.49737764918773</v>
      </c>
      <c r="S36" s="330">
        <f t="shared" si="4"/>
        <v>8592.2637481725324</v>
      </c>
      <c r="U36" s="330">
        <f t="shared" si="10"/>
        <v>0</v>
      </c>
      <c r="V36" s="330">
        <f t="shared" si="5"/>
        <v>0</v>
      </c>
      <c r="W36" s="330">
        <f t="shared" si="6"/>
        <v>8592.2637481725324</v>
      </c>
    </row>
    <row r="37" spans="1:23" x14ac:dyDescent="0.3">
      <c r="A37" s="191">
        <v>32</v>
      </c>
      <c r="B37" s="320">
        <v>4012</v>
      </c>
      <c r="C37" s="321" t="s">
        <v>221</v>
      </c>
      <c r="D37" s="376" t="str">
        <f>'4012'!G$135</f>
        <v>H</v>
      </c>
      <c r="E37" s="376" t="str">
        <f>'4012'!H$133</f>
        <v/>
      </c>
      <c r="F37" s="328">
        <f t="shared" si="7"/>
        <v>7.9786138726709206E-3</v>
      </c>
      <c r="G37" s="431">
        <f t="shared" si="2"/>
        <v>8.4002546170177418E-3</v>
      </c>
      <c r="H37" s="322"/>
      <c r="I37" s="329">
        <f>'4012'!I$128</f>
        <v>4829074.3999999994</v>
      </c>
      <c r="J37" s="329">
        <f>I37-'4012'!I$53</f>
        <v>4586684.7799999993</v>
      </c>
      <c r="K37" s="329">
        <f>'4012'!I$135</f>
        <v>-38529.32</v>
      </c>
      <c r="L37" s="329">
        <f t="shared" si="8"/>
        <v>4790545.0799999991</v>
      </c>
      <c r="M37" s="330">
        <f>'4012'!I$145</f>
        <v>-25188.38</v>
      </c>
      <c r="N37" s="201"/>
      <c r="O37" s="329">
        <f>'4012'!E$30</f>
        <v>595.22</v>
      </c>
      <c r="Q37" s="330">
        <f t="shared" si="9"/>
        <v>8113.0916299855498</v>
      </c>
      <c r="R37" s="330">
        <f t="shared" si="3"/>
        <v>-64.731225429253044</v>
      </c>
      <c r="S37" s="330">
        <f t="shared" si="4"/>
        <v>8048.360404556297</v>
      </c>
      <c r="U37" s="330">
        <f t="shared" si="10"/>
        <v>8048.360404556297</v>
      </c>
      <c r="V37" s="330">
        <f t="shared" si="5"/>
        <v>0</v>
      </c>
      <c r="W37" s="330">
        <f t="shared" si="6"/>
        <v>0</v>
      </c>
    </row>
    <row r="38" spans="1:23" x14ac:dyDescent="0.3">
      <c r="A38" s="191">
        <v>33</v>
      </c>
      <c r="B38" s="320">
        <v>4013</v>
      </c>
      <c r="C38" s="321" t="s">
        <v>223</v>
      </c>
      <c r="D38" s="376" t="str">
        <f>'4013'!G$135</f>
        <v>H</v>
      </c>
      <c r="E38" s="376" t="str">
        <f>'4013'!H$133</f>
        <v/>
      </c>
      <c r="F38" s="328">
        <f t="shared" si="7"/>
        <v>4.7144197047173384E-3</v>
      </c>
      <c r="G38" s="431">
        <f t="shared" si="2"/>
        <v>4.9408580951596877E-3</v>
      </c>
      <c r="H38" s="322"/>
      <c r="I38" s="329">
        <f>'4013'!I$128</f>
        <v>7943978.7599999988</v>
      </c>
      <c r="J38" s="329">
        <f>I38-'4013'!I$53</f>
        <v>7579908.0399999991</v>
      </c>
      <c r="K38" s="329">
        <f>'4013'!I$135</f>
        <v>-37451.25</v>
      </c>
      <c r="L38" s="329">
        <f t="shared" si="8"/>
        <v>7906527.5099999988</v>
      </c>
      <c r="M38" s="330">
        <f>'4013'!I$145</f>
        <v>-105259.46</v>
      </c>
      <c r="N38" s="201"/>
      <c r="O38" s="329">
        <f>'4013'!E$30</f>
        <v>1011.9700000000001</v>
      </c>
      <c r="Q38" s="330">
        <f t="shared" si="9"/>
        <v>7850.014091326816</v>
      </c>
      <c r="R38" s="330">
        <f t="shared" si="3"/>
        <v>-37.008261114459913</v>
      </c>
      <c r="S38" s="330">
        <f t="shared" si="4"/>
        <v>7813.0058302123562</v>
      </c>
      <c r="U38" s="330">
        <f t="shared" si="10"/>
        <v>7813.0058302123562</v>
      </c>
      <c r="V38" s="330">
        <f t="shared" si="5"/>
        <v>0</v>
      </c>
      <c r="W38" s="330">
        <f t="shared" si="6"/>
        <v>0</v>
      </c>
    </row>
    <row r="39" spans="1:23" x14ac:dyDescent="0.3">
      <c r="A39" s="191">
        <v>34</v>
      </c>
      <c r="B39" s="320">
        <v>4020</v>
      </c>
      <c r="C39" s="323" t="s">
        <v>364</v>
      </c>
      <c r="D39" s="376">
        <f>'4020'!G$135</f>
        <v>0</v>
      </c>
      <c r="E39" s="376" t="str">
        <f>'4020'!H$133</f>
        <v/>
      </c>
      <c r="F39" s="328">
        <f t="shared" si="7"/>
        <v>9.6651466008971336E-3</v>
      </c>
      <c r="G39" s="431">
        <f t="shared" si="2"/>
        <v>1.0104194874537502E-2</v>
      </c>
      <c r="H39" s="322"/>
      <c r="I39" s="329">
        <f>'4020'!I$128</f>
        <v>10716216.140000001</v>
      </c>
      <c r="J39" s="329">
        <f>I39-'4020'!I$53</f>
        <v>10250574.270000001</v>
      </c>
      <c r="K39" s="329">
        <f>'4020'!I$135</f>
        <v>-103573.8</v>
      </c>
      <c r="L39" s="329">
        <f t="shared" si="8"/>
        <v>10612642.34</v>
      </c>
      <c r="M39" s="330">
        <f>'4020'!I$145</f>
        <v>-100983.88</v>
      </c>
      <c r="N39" s="201"/>
      <c r="O39" s="329">
        <f>'4020'!E$30</f>
        <v>1237.1099999999999</v>
      </c>
      <c r="Q39" s="330">
        <f t="shared" si="9"/>
        <v>8662.2985344876379</v>
      </c>
      <c r="R39" s="330">
        <f t="shared" si="3"/>
        <v>-83.722385236559404</v>
      </c>
      <c r="S39" s="330">
        <f t="shared" si="4"/>
        <v>8578.5761492510774</v>
      </c>
      <c r="U39" s="330">
        <f t="shared" si="10"/>
        <v>0</v>
      </c>
      <c r="V39" s="330">
        <f t="shared" si="5"/>
        <v>0</v>
      </c>
      <c r="W39" s="330">
        <f t="shared" si="6"/>
        <v>8578.5761492510774</v>
      </c>
    </row>
    <row r="40" spans="1:23" x14ac:dyDescent="0.3">
      <c r="A40" s="191">
        <v>35</v>
      </c>
      <c r="B40" s="320">
        <v>4030</v>
      </c>
      <c r="C40" s="323" t="s">
        <v>348</v>
      </c>
      <c r="D40" s="376">
        <f>'4030'!G$135</f>
        <v>0</v>
      </c>
      <c r="E40" s="376" t="str">
        <f>'4030'!H$133</f>
        <v/>
      </c>
      <c r="F40" s="328">
        <f t="shared" si="7"/>
        <v>3.9107470667664325E-2</v>
      </c>
      <c r="G40" s="431">
        <f t="shared" si="2"/>
        <v>4.1129244570717344E-2</v>
      </c>
      <c r="H40" s="322"/>
      <c r="I40" s="329">
        <f>'4030'!I$128</f>
        <v>2689489.2</v>
      </c>
      <c r="J40" s="329">
        <f>I40-'4030'!I$53</f>
        <v>2557283.0500000003</v>
      </c>
      <c r="K40" s="329">
        <f>'4030'!I$135</f>
        <v>-105179.12</v>
      </c>
      <c r="L40" s="329">
        <f t="shared" si="8"/>
        <v>2584310.08</v>
      </c>
      <c r="M40" s="330">
        <f>'4030'!I$145</f>
        <v>-18238.12</v>
      </c>
      <c r="N40" s="201"/>
      <c r="O40" s="329">
        <f>'4030'!E$30</f>
        <v>303.92</v>
      </c>
      <c r="Q40" s="330">
        <f t="shared" si="9"/>
        <v>8849.3327191366152</v>
      </c>
      <c r="R40" s="330">
        <f>K40/O40</f>
        <v>-346.07501974203734</v>
      </c>
      <c r="S40" s="330">
        <f>L40/O40</f>
        <v>8503.2576993945768</v>
      </c>
      <c r="U40" s="330">
        <f t="shared" si="10"/>
        <v>0</v>
      </c>
      <c r="V40" s="330">
        <f t="shared" si="5"/>
        <v>0</v>
      </c>
      <c r="W40" s="330">
        <f>IF(AND(U40=0,V40=0),S40,)</f>
        <v>8503.2576993945768</v>
      </c>
    </row>
    <row r="41" spans="1:23" x14ac:dyDescent="0.3">
      <c r="A41" s="191">
        <v>36</v>
      </c>
      <c r="B41" s="320">
        <v>4031</v>
      </c>
      <c r="C41" s="323" t="s">
        <v>376</v>
      </c>
      <c r="D41" s="376">
        <f>'4031'!G$135</f>
        <v>0</v>
      </c>
      <c r="E41" s="376" t="str">
        <f>'4031'!H$133</f>
        <v/>
      </c>
      <c r="F41" s="328">
        <f t="shared" si="7"/>
        <v>2.6160086549376273E-2</v>
      </c>
      <c r="G41" s="431">
        <f t="shared" si="2"/>
        <v>2.7657313624941334E-2</v>
      </c>
      <c r="H41" s="322"/>
      <c r="I41" s="329">
        <f>'4031'!I$128</f>
        <v>3899757.7399999998</v>
      </c>
      <c r="J41" s="329">
        <f>I41-'4031'!I$53</f>
        <v>3688644.5799999996</v>
      </c>
      <c r="K41" s="329">
        <f>'4031'!I$135</f>
        <v>-102018</v>
      </c>
      <c r="L41" s="329">
        <f t="shared" si="8"/>
        <v>3797739.7399999998</v>
      </c>
      <c r="M41" s="330">
        <f>'4031'!I$145</f>
        <v>-72060.34</v>
      </c>
      <c r="N41" s="201"/>
      <c r="O41" s="329">
        <f>'4031'!E$30</f>
        <v>451.96000000000004</v>
      </c>
      <c r="Q41" s="330">
        <f t="shared" si="9"/>
        <v>8628.5461987786512</v>
      </c>
      <c r="R41" s="330">
        <f>K41/O41</f>
        <v>-225.72351535534116</v>
      </c>
      <c r="S41" s="330">
        <f>L41/O41</f>
        <v>8402.8226834233101</v>
      </c>
      <c r="U41" s="330">
        <f t="shared" si="10"/>
        <v>0</v>
      </c>
      <c r="V41" s="330">
        <f t="shared" si="5"/>
        <v>0</v>
      </c>
      <c r="W41" s="330">
        <f>IF(AND(U41=0,V41=0),S41,)</f>
        <v>8402.8226834233101</v>
      </c>
    </row>
    <row r="42" spans="1:23" x14ac:dyDescent="0.3">
      <c r="A42" s="191">
        <v>37</v>
      </c>
      <c r="B42" s="312">
        <v>4041</v>
      </c>
      <c r="C42" s="313" t="s">
        <v>225</v>
      </c>
      <c r="D42" s="378" t="str">
        <f>'4041'!G$135</f>
        <v>H</v>
      </c>
      <c r="E42" s="378" t="str">
        <f>'4041'!H$133</f>
        <v/>
      </c>
      <c r="F42" s="328">
        <f t="shared" si="7"/>
        <v>1.9130872606505707E-2</v>
      </c>
      <c r="G42" s="431">
        <f t="shared" si="2"/>
        <v>1.9999996482558506E-2</v>
      </c>
      <c r="H42" s="322"/>
      <c r="I42" s="329">
        <f>'4041'!I$128</f>
        <v>772754.60999999987</v>
      </c>
      <c r="J42" s="329">
        <f>I42-'4041'!I$53</f>
        <v>739173.62999999989</v>
      </c>
      <c r="K42" s="329">
        <f>'4041'!I$135</f>
        <v>-14783.47</v>
      </c>
      <c r="L42" s="329">
        <f t="shared" si="8"/>
        <v>757971.1399999999</v>
      </c>
      <c r="M42" s="330">
        <f>'4041'!I$145</f>
        <v>-3894.05</v>
      </c>
      <c r="N42" s="201"/>
      <c r="O42" s="329">
        <f>'4041'!E$30</f>
        <v>94.46</v>
      </c>
      <c r="Q42" s="330">
        <f t="shared" si="9"/>
        <v>8180.7602159644284</v>
      </c>
      <c r="R42" s="330">
        <f t="shared" si="3"/>
        <v>-156.50508151598561</v>
      </c>
      <c r="S42" s="330">
        <f t="shared" si="4"/>
        <v>8024.2551344484436</v>
      </c>
      <c r="U42" s="330">
        <f t="shared" si="10"/>
        <v>8024.2551344484436</v>
      </c>
      <c r="V42" s="330">
        <f t="shared" si="5"/>
        <v>0</v>
      </c>
      <c r="W42" s="330">
        <f t="shared" si="6"/>
        <v>0</v>
      </c>
    </row>
    <row r="43" spans="1:23" x14ac:dyDescent="0.3">
      <c r="A43" s="191">
        <v>38</v>
      </c>
      <c r="B43" s="263">
        <v>4050</v>
      </c>
      <c r="C43" s="264" t="s">
        <v>216</v>
      </c>
      <c r="D43" s="379">
        <f>'4050'!G$135</f>
        <v>0</v>
      </c>
      <c r="E43" s="379" t="str">
        <f>'4050'!H$133</f>
        <v/>
      </c>
      <c r="F43" s="328">
        <f t="shared" si="7"/>
        <v>1.6522972727787286E-2</v>
      </c>
      <c r="G43" s="431">
        <f t="shared" si="2"/>
        <v>1.7391061647706416E-2</v>
      </c>
      <c r="H43" s="322"/>
      <c r="I43" s="329">
        <f>'4050'!I$128</f>
        <v>6154463.9499999993</v>
      </c>
      <c r="J43" s="329">
        <f>I43-'4050'!I$53</f>
        <v>5847258.8999999994</v>
      </c>
      <c r="K43" s="329">
        <f>'4050'!I$135</f>
        <v>-101690.04</v>
      </c>
      <c r="L43" s="329">
        <f t="shared" si="8"/>
        <v>6052773.9099999992</v>
      </c>
      <c r="M43" s="330">
        <f>'4050'!I$145</f>
        <v>-94758.16</v>
      </c>
      <c r="N43" s="201"/>
      <c r="O43" s="329">
        <f>'4050'!E$30</f>
        <v>718.76</v>
      </c>
      <c r="Q43" s="330">
        <f t="shared" si="9"/>
        <v>8562.6133201625016</v>
      </c>
      <c r="R43" s="330">
        <f t="shared" si="3"/>
        <v>-141.47982636763314</v>
      </c>
      <c r="S43" s="330">
        <f t="shared" si="4"/>
        <v>8421.1334937948686</v>
      </c>
      <c r="U43" s="330">
        <f t="shared" si="10"/>
        <v>0</v>
      </c>
      <c r="V43" s="330">
        <f t="shared" si="5"/>
        <v>0</v>
      </c>
      <c r="W43" s="330">
        <f t="shared" si="6"/>
        <v>8421.1334937948686</v>
      </c>
    </row>
    <row r="44" spans="1:23" x14ac:dyDescent="0.3">
      <c r="A44" s="191">
        <v>39</v>
      </c>
      <c r="B44" s="263">
        <v>4051</v>
      </c>
      <c r="C44" s="264" t="s">
        <v>214</v>
      </c>
      <c r="D44" s="379">
        <f>'4051'!G$135</f>
        <v>0</v>
      </c>
      <c r="E44" s="379" t="str">
        <f>'4051'!H$133</f>
        <v/>
      </c>
      <c r="F44" s="328">
        <f t="shared" si="7"/>
        <v>1.5813379632776153E-2</v>
      </c>
      <c r="G44" s="431">
        <f t="shared" si="2"/>
        <v>1.6683572062805917E-2</v>
      </c>
      <c r="H44" s="322"/>
      <c r="I44" s="329">
        <f>'4051'!I$128</f>
        <v>6443919.1599999992</v>
      </c>
      <c r="J44" s="329">
        <f>I44-'4051'!I$53</f>
        <v>6107813.0999999996</v>
      </c>
      <c r="K44" s="329">
        <f>'4051'!I$135</f>
        <v>-101900.14</v>
      </c>
      <c r="L44" s="329">
        <f t="shared" si="8"/>
        <v>6342019.0199999996</v>
      </c>
      <c r="M44" s="330">
        <f>'4051'!I$145</f>
        <v>-152058.89000000001</v>
      </c>
      <c r="N44" s="201"/>
      <c r="O44" s="329">
        <f>'4051'!E$30</f>
        <v>749.24000000000012</v>
      </c>
      <c r="Q44" s="330">
        <f t="shared" si="9"/>
        <v>8600.6074955955337</v>
      </c>
      <c r="R44" s="330">
        <f t="shared" si="3"/>
        <v>-136.00467140035232</v>
      </c>
      <c r="S44" s="330">
        <f t="shared" si="4"/>
        <v>8464.6028241951826</v>
      </c>
      <c r="U44" s="330">
        <f t="shared" si="10"/>
        <v>0</v>
      </c>
      <c r="V44" s="330">
        <f t="shared" si="5"/>
        <v>0</v>
      </c>
      <c r="W44" s="330">
        <f t="shared" si="6"/>
        <v>8464.6028241951826</v>
      </c>
    </row>
    <row r="45" spans="1:23" x14ac:dyDescent="0.3">
      <c r="A45" s="191">
        <v>40</v>
      </c>
      <c r="B45" s="263">
        <v>4061</v>
      </c>
      <c r="C45" s="265" t="s">
        <v>366</v>
      </c>
      <c r="D45" s="379">
        <f>'4061'!G$135</f>
        <v>0</v>
      </c>
      <c r="E45" s="379" t="str">
        <f>'4061'!H$133</f>
        <v/>
      </c>
      <c r="F45" s="328">
        <f t="shared" si="7"/>
        <v>1.2401625097678583E-2</v>
      </c>
      <c r="G45" s="431">
        <f t="shared" si="2"/>
        <v>1.298525958925942E-2</v>
      </c>
      <c r="H45" s="322"/>
      <c r="I45" s="329">
        <f>'4061'!I$128</f>
        <v>8315896.4400000013</v>
      </c>
      <c r="J45" s="329">
        <f>I45-'4061'!I$53</f>
        <v>7942130.790000001</v>
      </c>
      <c r="K45" s="329">
        <f>'4061'!I$135</f>
        <v>-103130.63</v>
      </c>
      <c r="L45" s="329">
        <f t="shared" si="8"/>
        <v>8212765.8100000015</v>
      </c>
      <c r="M45" s="330">
        <f>'4061'!I$145</f>
        <v>-23338.22</v>
      </c>
      <c r="N45" s="201"/>
      <c r="O45" s="329">
        <f>'4061'!E$30</f>
        <v>962.63</v>
      </c>
      <c r="Q45" s="330">
        <f t="shared" si="9"/>
        <v>8638.7256162804006</v>
      </c>
      <c r="R45" s="330">
        <f t="shared" si="3"/>
        <v>-107.1342364148219</v>
      </c>
      <c r="S45" s="330">
        <f t="shared" si="4"/>
        <v>8531.5913798655783</v>
      </c>
      <c r="U45" s="330">
        <f t="shared" si="10"/>
        <v>0</v>
      </c>
      <c r="V45" s="330">
        <f t="shared" si="5"/>
        <v>0</v>
      </c>
      <c r="W45" s="330">
        <f t="shared" si="6"/>
        <v>8531.5913798655783</v>
      </c>
    </row>
    <row r="46" spans="1:23" x14ac:dyDescent="0.3">
      <c r="A46" s="191">
        <v>41</v>
      </c>
      <c r="B46" s="263">
        <v>4080</v>
      </c>
      <c r="C46" s="265" t="s">
        <v>237</v>
      </c>
      <c r="D46" s="378">
        <f>'4080'!G$135</f>
        <v>0</v>
      </c>
      <c r="E46" s="378" t="str">
        <f>'4080'!H$133</f>
        <v/>
      </c>
      <c r="F46" s="328">
        <f t="shared" si="7"/>
        <v>4.7394025844110732E-2</v>
      </c>
      <c r="G46" s="431">
        <f t="shared" si="2"/>
        <v>5.0000000762706394E-2</v>
      </c>
      <c r="H46" s="322"/>
      <c r="I46" s="329">
        <f>'4080'!I$128</f>
        <v>2074819.31</v>
      </c>
      <c r="J46" s="329">
        <f>I46-'4080'!I$53</f>
        <v>1966680.77</v>
      </c>
      <c r="K46" s="329">
        <f>'4080'!I$135</f>
        <v>-98334.04</v>
      </c>
      <c r="L46" s="329">
        <f t="shared" si="8"/>
        <v>1976485.27</v>
      </c>
      <c r="M46" s="330">
        <f>'4080'!I$145</f>
        <v>-16233.16</v>
      </c>
      <c r="N46" s="201"/>
      <c r="O46" s="329">
        <f>'4080'!E$30</f>
        <v>242.47000000000003</v>
      </c>
      <c r="Q46" s="330">
        <f t="shared" si="9"/>
        <v>8557.0145172598659</v>
      </c>
      <c r="R46" s="330">
        <f t="shared" si="3"/>
        <v>-405.55136717944481</v>
      </c>
      <c r="S46" s="330">
        <f t="shared" si="4"/>
        <v>8151.4631500804217</v>
      </c>
      <c r="U46" s="330">
        <f t="shared" si="10"/>
        <v>0</v>
      </c>
      <c r="V46" s="330">
        <f t="shared" si="5"/>
        <v>0</v>
      </c>
      <c r="W46" s="330">
        <f t="shared" si="6"/>
        <v>8151.4631500804217</v>
      </c>
    </row>
    <row r="47" spans="1:23" x14ac:dyDescent="0.3">
      <c r="A47" s="191">
        <v>42</v>
      </c>
      <c r="B47" s="263">
        <v>4081</v>
      </c>
      <c r="C47" s="265" t="s">
        <v>234</v>
      </c>
      <c r="D47" s="378">
        <f>'4081'!G$135</f>
        <v>0</v>
      </c>
      <c r="E47" s="378" t="str">
        <f>'4081'!H$133</f>
        <v/>
      </c>
      <c r="F47" s="328">
        <f t="shared" si="7"/>
        <v>4.7853066832699312E-2</v>
      </c>
      <c r="G47" s="431">
        <f t="shared" si="2"/>
        <v>5.0000001474827978E-2</v>
      </c>
      <c r="H47" s="322"/>
      <c r="I47" s="329">
        <f>'4081'!I$128</f>
        <v>1062698.6599999999</v>
      </c>
      <c r="J47" s="329">
        <f>I47-'4081'!I$53</f>
        <v>1017067.7699999999</v>
      </c>
      <c r="K47" s="329">
        <f>'4081'!I$135</f>
        <v>-50853.39</v>
      </c>
      <c r="L47" s="329">
        <f t="shared" si="8"/>
        <v>1011845.2699999999</v>
      </c>
      <c r="M47" s="330">
        <f>'4081'!I$145</f>
        <v>9174.91</v>
      </c>
      <c r="N47" s="201"/>
      <c r="O47" s="329">
        <f>'4081'!E$30</f>
        <v>129.96</v>
      </c>
      <c r="Q47" s="330">
        <f t="shared" si="9"/>
        <v>8177.1211141889798</v>
      </c>
      <c r="R47" s="330">
        <f t="shared" si="3"/>
        <v>-391.30032317636193</v>
      </c>
      <c r="S47" s="330">
        <f t="shared" si="4"/>
        <v>7785.8207910126184</v>
      </c>
      <c r="U47" s="330">
        <f t="shared" si="10"/>
        <v>0</v>
      </c>
      <c r="V47" s="330">
        <f t="shared" si="5"/>
        <v>0</v>
      </c>
      <c r="W47" s="330">
        <f t="shared" si="6"/>
        <v>7785.8207910126184</v>
      </c>
    </row>
    <row r="48" spans="1:23" x14ac:dyDescent="0.3">
      <c r="A48" s="191">
        <v>43</v>
      </c>
      <c r="B48" s="263">
        <v>4090</v>
      </c>
      <c r="C48" s="265" t="s">
        <v>297</v>
      </c>
      <c r="D48" s="378">
        <f>'4090'!G$135</f>
        <v>0</v>
      </c>
      <c r="E48" s="378" t="str">
        <f>'4090'!H$133</f>
        <v/>
      </c>
      <c r="F48" s="328">
        <f t="shared" si="7"/>
        <v>3.8923447060367856E-2</v>
      </c>
      <c r="G48" s="431">
        <f t="shared" si="2"/>
        <v>4.1025305115281879E-2</v>
      </c>
      <c r="H48" s="322"/>
      <c r="I48" s="329">
        <f>'4090'!I$128</f>
        <v>2489113.8199999998</v>
      </c>
      <c r="J48" s="329">
        <f>I48-'4090'!I$53</f>
        <v>2361588.5299999998</v>
      </c>
      <c r="K48" s="329">
        <f>'4090'!I$135</f>
        <v>-96884.89</v>
      </c>
      <c r="L48" s="329">
        <f t="shared" si="8"/>
        <v>2392228.9299999997</v>
      </c>
      <c r="M48" s="330">
        <f>'4090'!I$145</f>
        <v>207087.16</v>
      </c>
      <c r="N48" s="201"/>
      <c r="O48" s="329">
        <f>'4090'!E$30</f>
        <v>304.69000000000005</v>
      </c>
      <c r="Q48" s="330">
        <f t="shared" si="9"/>
        <v>8169.3321736847265</v>
      </c>
      <c r="R48" s="330">
        <f t="shared" si="3"/>
        <v>-317.97856838097732</v>
      </c>
      <c r="S48" s="330">
        <f t="shared" si="4"/>
        <v>7851.3536053037487</v>
      </c>
      <c r="U48" s="330">
        <f t="shared" si="10"/>
        <v>0</v>
      </c>
      <c r="V48" s="330">
        <f t="shared" si="5"/>
        <v>0</v>
      </c>
      <c r="W48" s="330">
        <f t="shared" si="6"/>
        <v>7851.3536053037487</v>
      </c>
    </row>
    <row r="49" spans="1:23" x14ac:dyDescent="0.3">
      <c r="A49" s="191">
        <v>44</v>
      </c>
      <c r="B49" s="263">
        <v>4091</v>
      </c>
      <c r="C49" s="265" t="s">
        <v>275</v>
      </c>
      <c r="D49" s="378">
        <f>'4091'!G$135</f>
        <v>0</v>
      </c>
      <c r="E49" s="378" t="str">
        <f>'4091'!H$133</f>
        <v/>
      </c>
      <c r="F49" s="328">
        <f t="shared" si="7"/>
        <v>3.0164106967740082E-2</v>
      </c>
      <c r="G49" s="431">
        <f t="shared" si="2"/>
        <v>3.1717033636701274E-2</v>
      </c>
      <c r="H49" s="322"/>
      <c r="I49" s="329">
        <f>'4091'!I$128</f>
        <v>3481946.6100000013</v>
      </c>
      <c r="J49" s="329">
        <f>I49-'4091'!I$53</f>
        <v>3311463.8400000012</v>
      </c>
      <c r="K49" s="329">
        <f>'4091'!I$135</f>
        <v>-105029.81</v>
      </c>
      <c r="L49" s="329">
        <f t="shared" si="8"/>
        <v>3376916.8000000012</v>
      </c>
      <c r="M49" s="330">
        <f>'4091'!I$145</f>
        <v>-54976.35</v>
      </c>
      <c r="N49" s="201"/>
      <c r="O49" s="329">
        <f>'4091'!E$30</f>
        <v>394.11000000000007</v>
      </c>
      <c r="Q49" s="330">
        <f t="shared" si="9"/>
        <v>8834.9613305929834</v>
      </c>
      <c r="R49" s="330">
        <f t="shared" si="3"/>
        <v>-266.49871863185399</v>
      </c>
      <c r="S49" s="330">
        <f t="shared" si="4"/>
        <v>8568.4626119611294</v>
      </c>
      <c r="U49" s="330">
        <f t="shared" si="10"/>
        <v>0</v>
      </c>
      <c r="V49" s="330">
        <f t="shared" si="5"/>
        <v>0</v>
      </c>
      <c r="W49" s="330">
        <f t="shared" si="6"/>
        <v>8568.4626119611294</v>
      </c>
    </row>
    <row r="50" spans="1:23" x14ac:dyDescent="0.3">
      <c r="A50" s="191">
        <v>45</v>
      </c>
      <c r="B50" s="263">
        <v>4100</v>
      </c>
      <c r="C50" s="265" t="s">
        <v>298</v>
      </c>
      <c r="D50" s="378">
        <f>'4100'!G$135</f>
        <v>0</v>
      </c>
      <c r="E50" s="378">
        <f>'4100'!H$133</f>
        <v>1</v>
      </c>
      <c r="F50" s="328">
        <f t="shared" si="7"/>
        <v>8.458433367629371E-3</v>
      </c>
      <c r="G50" s="431">
        <f t="shared" si="2"/>
        <v>8.8646535994904435E-3</v>
      </c>
      <c r="H50" s="322"/>
      <c r="I50" s="329">
        <f>'4100'!I$128</f>
        <v>3386076.2100000004</v>
      </c>
      <c r="J50" s="329">
        <f>I50-'4100'!I$53</f>
        <v>3230910.2300000004</v>
      </c>
      <c r="K50" s="329">
        <f>'4100'!I$135</f>
        <v>-28640.9</v>
      </c>
      <c r="L50" s="329">
        <f t="shared" si="8"/>
        <v>3357435.3100000005</v>
      </c>
      <c r="M50" s="330">
        <f>'4100'!I$145</f>
        <v>45241.06</v>
      </c>
      <c r="N50" s="201"/>
      <c r="O50" s="329">
        <f>'4100'!E$30</f>
        <v>92</v>
      </c>
      <c r="Q50" s="330">
        <f t="shared" si="9"/>
        <v>36805.17619565218</v>
      </c>
      <c r="R50" s="330">
        <f t="shared" si="3"/>
        <v>-311.31413043478261</v>
      </c>
      <c r="S50" s="330">
        <f t="shared" si="4"/>
        <v>36493.8620652174</v>
      </c>
      <c r="U50" s="330">
        <f t="shared" si="10"/>
        <v>0</v>
      </c>
      <c r="V50" s="330">
        <f t="shared" si="5"/>
        <v>36493.86</v>
      </c>
      <c r="W50" s="330">
        <f t="shared" si="6"/>
        <v>0</v>
      </c>
    </row>
    <row r="51" spans="1:23" x14ac:dyDescent="0.3">
      <c r="A51" s="191">
        <v>46</v>
      </c>
      <c r="B51" s="263">
        <v>4102</v>
      </c>
      <c r="C51" s="265" t="s">
        <v>299</v>
      </c>
      <c r="D51" s="378">
        <f>'4102'!G$135</f>
        <v>0</v>
      </c>
      <c r="E51" s="378" t="str">
        <f>'4102'!H$133</f>
        <v/>
      </c>
      <c r="F51" s="328" t="e">
        <f t="shared" si="7"/>
        <v>#DIV/0!</v>
      </c>
      <c r="G51" s="431" t="e">
        <f t="shared" si="2"/>
        <v>#DIV/0!</v>
      </c>
      <c r="H51" s="322"/>
      <c r="I51" s="329">
        <f>'4102'!I$128</f>
        <v>0</v>
      </c>
      <c r="J51" s="329"/>
      <c r="K51" s="329">
        <f>'4102'!I$135</f>
        <v>0</v>
      </c>
      <c r="L51" s="329">
        <v>0</v>
      </c>
      <c r="M51" s="330">
        <f>'4102'!I$145</f>
        <v>0</v>
      </c>
      <c r="N51" s="201"/>
      <c r="O51" s="329">
        <f>'4102'!E$30</f>
        <v>0</v>
      </c>
      <c r="Q51" s="330">
        <v>0</v>
      </c>
      <c r="R51" s="330">
        <v>0</v>
      </c>
      <c r="S51" s="330">
        <v>0</v>
      </c>
      <c r="U51" s="330">
        <f t="shared" si="10"/>
        <v>0</v>
      </c>
      <c r="V51" s="330">
        <f t="shared" si="5"/>
        <v>0</v>
      </c>
      <c r="W51" s="330">
        <f>IF(AND(U51=0,V51=0),S51,)</f>
        <v>0</v>
      </c>
    </row>
    <row r="52" spans="1:23" x14ac:dyDescent="0.3">
      <c r="A52" s="191">
        <v>47</v>
      </c>
      <c r="B52" s="263">
        <v>4103</v>
      </c>
      <c r="C52" s="265" t="s">
        <v>324</v>
      </c>
      <c r="D52" s="378">
        <f>'4103'!G$135</f>
        <v>0</v>
      </c>
      <c r="E52" s="378" t="str">
        <f>'4103'!H$133</f>
        <v/>
      </c>
      <c r="F52" s="328">
        <f>IF(I52=0,0,-K52/I52)</f>
        <v>1.2242843104895842E-2</v>
      </c>
      <c r="G52" s="431">
        <f t="shared" si="2"/>
        <v>1.2876508533087061E-2</v>
      </c>
      <c r="H52" s="322"/>
      <c r="I52" s="329">
        <f>'4103'!I$128</f>
        <v>7968190</v>
      </c>
      <c r="J52" s="329">
        <f>I52-'4103'!I$53</f>
        <v>7576067.6699999999</v>
      </c>
      <c r="K52" s="329">
        <f>'4103'!I$135</f>
        <v>-97553.3</v>
      </c>
      <c r="L52" s="329">
        <f t="shared" si="8"/>
        <v>7870636.7000000002</v>
      </c>
      <c r="M52" s="330">
        <f>'4103'!I$145</f>
        <v>-57339.57</v>
      </c>
      <c r="N52" s="201"/>
      <c r="O52" s="329">
        <f>'4103'!E$30</f>
        <v>970.7600000000001</v>
      </c>
      <c r="Q52" s="330">
        <f>IF(O52=0,0,I52/O52)</f>
        <v>8208.19770077053</v>
      </c>
      <c r="R52" s="330">
        <f>IF(O52=0,0,K52/O52)</f>
        <v>-100.49167662450039</v>
      </c>
      <c r="S52" s="330">
        <f>IF(O52=0,0,L52/O52)</f>
        <v>8107.7060241460294</v>
      </c>
      <c r="U52" s="330">
        <f t="shared" si="10"/>
        <v>0</v>
      </c>
      <c r="V52" s="330">
        <f t="shared" si="5"/>
        <v>0</v>
      </c>
      <c r="W52" s="330">
        <f>IF(AND(U52=0,V52=0),S52,)</f>
        <v>8107.7060241460294</v>
      </c>
    </row>
    <row r="53" spans="1:23" x14ac:dyDescent="0.3">
      <c r="A53" s="191">
        <v>48</v>
      </c>
      <c r="B53" s="263">
        <v>4111</v>
      </c>
      <c r="C53" s="265" t="s">
        <v>355</v>
      </c>
      <c r="D53" s="378">
        <f>'4111'!G$135</f>
        <v>0</v>
      </c>
      <c r="E53" s="378" t="str">
        <f>'4111'!H$133</f>
        <v/>
      </c>
      <c r="F53" s="328">
        <f>IF(I53=0,0,-K53/I53)</f>
        <v>3.8811143441024799E-2</v>
      </c>
      <c r="G53" s="431">
        <f t="shared" si="2"/>
        <v>4.0699376922674939E-2</v>
      </c>
      <c r="H53" s="322"/>
      <c r="I53" s="329">
        <f>'4111'!I$128</f>
        <v>2494476.88</v>
      </c>
      <c r="J53" s="329">
        <f>I53-'4111'!I$53</f>
        <v>2378746.4899999998</v>
      </c>
      <c r="K53" s="329">
        <f>'4111'!I$135</f>
        <v>-96813.5</v>
      </c>
      <c r="L53" s="329">
        <f t="shared" si="8"/>
        <v>2397663.38</v>
      </c>
      <c r="M53" s="330">
        <f>'4111'!I$145</f>
        <v>-5084.51</v>
      </c>
      <c r="N53" s="201"/>
      <c r="O53" s="329">
        <f>'4111'!E$30</f>
        <v>307.13</v>
      </c>
      <c r="Q53" s="330">
        <f>IF(O53=0,0,I53/O53)</f>
        <v>8121.8926187607849</v>
      </c>
      <c r="R53" s="330">
        <f>IF(O53=0,0,K53/O53)</f>
        <v>-315.21993943932534</v>
      </c>
      <c r="S53" s="330">
        <f>IF(O53=0,0,L53/O53)</f>
        <v>7806.6726793214593</v>
      </c>
      <c r="U53" s="330">
        <f t="shared" si="10"/>
        <v>0</v>
      </c>
      <c r="V53" s="330">
        <f t="shared" si="5"/>
        <v>0</v>
      </c>
      <c r="W53" s="330">
        <f>IF(AND(U53=0,V53=0),S53,)</f>
        <v>7806.6726793214593</v>
      </c>
    </row>
    <row r="54" spans="1:23" x14ac:dyDescent="0.3">
      <c r="A54" s="191">
        <v>49</v>
      </c>
      <c r="B54" s="263">
        <v>4131</v>
      </c>
      <c r="C54" s="265" t="s">
        <v>412</v>
      </c>
      <c r="D54" s="378">
        <f>'4103'!G$135</f>
        <v>0</v>
      </c>
      <c r="E54" s="378" t="str">
        <f>'4103'!H$133</f>
        <v/>
      </c>
      <c r="F54" s="328">
        <f>IF(I54=0,0,-K54/I54)</f>
        <v>4.8453615023932826E-2</v>
      </c>
      <c r="G54" s="431">
        <f t="shared" si="2"/>
        <v>4.9999996888533516E-2</v>
      </c>
      <c r="H54" s="322"/>
      <c r="I54" s="329">
        <f>'4131'!I$128</f>
        <v>829122.45000000019</v>
      </c>
      <c r="J54" s="329">
        <f>I54-'4131'!I$53</f>
        <v>803479.65000000014</v>
      </c>
      <c r="K54" s="329">
        <f>'4131'!I$135</f>
        <v>-40173.980000000003</v>
      </c>
      <c r="L54" s="329">
        <f>I54+K54</f>
        <v>788948.4700000002</v>
      </c>
      <c r="M54" s="330">
        <f>'4131'!I$145</f>
        <v>-4400.3500000000004</v>
      </c>
      <c r="N54" s="201"/>
      <c r="O54" s="329">
        <f>'4131'!E$30</f>
        <v>102.78</v>
      </c>
      <c r="Q54" s="330">
        <f>IF(O54=0,0,I54/O54)</f>
        <v>8066.9629305312337</v>
      </c>
      <c r="R54" s="330">
        <f>IF(O54=0,0,K54/O54)</f>
        <v>-390.87351624829734</v>
      </c>
      <c r="S54" s="330">
        <f>IF(O54=0,0,L54/O54)</f>
        <v>7676.0894142829366</v>
      </c>
      <c r="U54" s="330">
        <f t="shared" si="10"/>
        <v>0</v>
      </c>
      <c r="V54" s="330">
        <f t="shared" si="5"/>
        <v>0</v>
      </c>
      <c r="W54" s="330">
        <f>IF(AND(U54=0,V54=0),S54,)</f>
        <v>7676.0894142829366</v>
      </c>
    </row>
    <row r="55" spans="1:23" x14ac:dyDescent="0.3">
      <c r="A55" s="215"/>
    </row>
    <row r="56" spans="1:23" x14ac:dyDescent="0.3">
      <c r="D56" s="191">
        <f>COUNTIF(D6:D55,"H")</f>
        <v>11</v>
      </c>
      <c r="E56" s="380">
        <f>SUM(E6:E55)</f>
        <v>9</v>
      </c>
      <c r="F56" s="322">
        <f>-K56/I56</f>
        <v>1.5599184660577858E-2</v>
      </c>
      <c r="G56" s="322">
        <f t="shared" si="2"/>
        <v>1.6340031595500314E-2</v>
      </c>
      <c r="I56" s="201">
        <f>SUM(I6:I55)</f>
        <v>206756130.53999999</v>
      </c>
      <c r="J56" s="201">
        <f>SUM(J6:J55)</f>
        <v>197381935.35000005</v>
      </c>
      <c r="K56" s="201">
        <f>SUM(K6:K55)</f>
        <v>-3225227.060000001</v>
      </c>
      <c r="L56" s="201">
        <f>SUM(L6:L55)</f>
        <v>203530903.48000005</v>
      </c>
      <c r="M56" s="201">
        <f>SUM(M6:M55)</f>
        <v>-227111.69000000015</v>
      </c>
      <c r="O56" s="201">
        <f>SUM(O6:O55)</f>
        <v>21797.199999999993</v>
      </c>
      <c r="Q56" s="201">
        <f>SUM(Q6:Q55)</f>
        <v>561571.15266642696</v>
      </c>
      <c r="R56" s="238">
        <f>K56/O56</f>
        <v>-147.96520011744636</v>
      </c>
      <c r="S56" s="238">
        <f>L56/O56</f>
        <v>9337.47928541281</v>
      </c>
      <c r="U56" s="201">
        <f>AVERAGEIF(U8:U53,"&lt;&gt;0")</f>
        <v>8356.7822806305412</v>
      </c>
      <c r="V56" s="201">
        <f>AVERAGEIF(V8:V53,"&lt;&gt;0")</f>
        <v>25965.542499999996</v>
      </c>
      <c r="W56" s="201">
        <f>AVERAGEIF(W8:W53,"&lt;&gt;0")</f>
        <v>8308.6406730909184</v>
      </c>
    </row>
    <row r="57" spans="1:23" x14ac:dyDescent="0.3">
      <c r="O57" s="201">
        <f>O56-Consolidated!E32</f>
        <v>0</v>
      </c>
    </row>
    <row r="58" spans="1:23" x14ac:dyDescent="0.3">
      <c r="C58" s="188" t="s">
        <v>300</v>
      </c>
      <c r="I58" s="325">
        <f>Consolidated!I129</f>
        <v>206756130.53999999</v>
      </c>
      <c r="J58" s="325">
        <f>Consolidated!I131</f>
        <v>197381935.35000005</v>
      </c>
      <c r="K58" s="325">
        <f>Consolidated!I136</f>
        <v>-3225227.060000001</v>
      </c>
      <c r="L58" s="325">
        <f>I58+K58</f>
        <v>203530903.47999999</v>
      </c>
      <c r="M58" s="325">
        <f>Consolidated!I146</f>
        <v>-227111.69000000015</v>
      </c>
    </row>
    <row r="59" spans="1:23" x14ac:dyDescent="0.3">
      <c r="L59" s="606"/>
    </row>
    <row r="60" spans="1:23" ht="14.4" thickBot="1" x14ac:dyDescent="0.35">
      <c r="C60" s="188" t="s">
        <v>301</v>
      </c>
      <c r="I60" s="326">
        <f>I58-I56</f>
        <v>0</v>
      </c>
      <c r="J60" s="326">
        <f>J58-J56</f>
        <v>0</v>
      </c>
      <c r="K60" s="326">
        <f>K58-K56</f>
        <v>0</v>
      </c>
      <c r="L60" s="326">
        <f>L58-L56</f>
        <v>0</v>
      </c>
      <c r="M60" s="326">
        <f>M58-M56</f>
        <v>0</v>
      </c>
    </row>
    <row r="61" spans="1:23" ht="14.4" thickTop="1" x14ac:dyDescent="0.3">
      <c r="L61" s="238">
        <v>66663.929999999993</v>
      </c>
      <c r="M61" s="188" t="s">
        <v>596</v>
      </c>
    </row>
    <row r="62" spans="1:23" x14ac:dyDescent="0.3">
      <c r="L62" s="201"/>
    </row>
    <row r="63" spans="1:23" x14ac:dyDescent="0.3">
      <c r="L63" s="721">
        <f>L61+L58</f>
        <v>203597567.41</v>
      </c>
      <c r="M63" s="188" t="s">
        <v>597</v>
      </c>
    </row>
  </sheetData>
  <mergeCells count="3">
    <mergeCell ref="I4:L4"/>
    <mergeCell ref="Q4:S4"/>
    <mergeCell ref="U4:W4"/>
  </mergeCells>
  <conditionalFormatting sqref="B7">
    <cfRule type="expression" dxfId="12" priority="26" stopIfTrue="1">
      <formula>MOD(ROW(),2)=0</formula>
    </cfRule>
  </conditionalFormatting>
  <conditionalFormatting sqref="B6:C6 O6">
    <cfRule type="expression" dxfId="11" priority="25" stopIfTrue="1">
      <formula>MOD(ROW(),2)=0</formula>
    </cfRule>
  </conditionalFormatting>
  <conditionalFormatting sqref="B8:G54">
    <cfRule type="expression" dxfId="10" priority="27" stopIfTrue="1">
      <formula>MOD(ROW(),2)=0</formula>
    </cfRule>
  </conditionalFormatting>
  <conditionalFormatting sqref="D6:G7">
    <cfRule type="expression" dxfId="9" priority="8" stopIfTrue="1">
      <formula>MOD(ROW(),2)=0</formula>
    </cfRule>
  </conditionalFormatting>
  <conditionalFormatting sqref="I6:M54">
    <cfRule type="expression" dxfId="8" priority="14" stopIfTrue="1">
      <formula>MOD(ROW(),2)=0</formula>
    </cfRule>
  </conditionalFormatting>
  <conditionalFormatting sqref="O8:O54">
    <cfRule type="expression" dxfId="7" priority="28" stopIfTrue="1">
      <formula>MOD(ROW(),2)=0</formula>
    </cfRule>
  </conditionalFormatting>
  <conditionalFormatting sqref="O57">
    <cfRule type="cellIs" dxfId="6" priority="48" stopIfTrue="1" operator="equal">
      <formula>0</formula>
    </cfRule>
  </conditionalFormatting>
  <conditionalFormatting sqref="Q6:S54">
    <cfRule type="expression" dxfId="5" priority="4" stopIfTrue="1">
      <formula>MOD(ROW(),2)=0</formula>
    </cfRule>
  </conditionalFormatting>
  <conditionalFormatting sqref="U6:W54">
    <cfRule type="expression" dxfId="4" priority="2" stopIfTrue="1">
      <formula>MOD(ROW(),2)=0</formula>
    </cfRule>
  </conditionalFormatting>
  <pageMargins left="0.7" right="0.7" top="0.75" bottom="0.75" header="0.3" footer="0.3"/>
  <pageSetup orientation="portrait" r:id="rId1"/>
  <ignoredErrors>
    <ignoredError sqref="D53:E5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56"/>
  <sheetViews>
    <sheetView workbookViewId="0"/>
  </sheetViews>
  <sheetFormatPr defaultColWidth="9.109375" defaultRowHeight="13.8" x14ac:dyDescent="0.3"/>
  <cols>
    <col min="1" max="1" width="4.109375" style="188" bestFit="1" customWidth="1"/>
    <col min="2" max="2" width="9.109375" style="188"/>
    <col min="3" max="3" width="52.109375" style="188" bestFit="1" customWidth="1"/>
    <col min="4" max="4" width="2.109375" style="188" customWidth="1"/>
    <col min="5" max="5" width="9.109375" style="188" customWidth="1"/>
    <col min="6" max="6" width="52.109375" style="188" bestFit="1" customWidth="1"/>
    <col min="7" max="16384" width="9.109375" style="188"/>
  </cols>
  <sheetData>
    <row r="1" spans="1:6" x14ac:dyDescent="0.3">
      <c r="B1" s="203" t="s">
        <v>185</v>
      </c>
      <c r="C1" s="204"/>
      <c r="D1" s="204"/>
      <c r="E1" s="205"/>
      <c r="F1" s="204"/>
    </row>
    <row r="2" spans="1:6" x14ac:dyDescent="0.3">
      <c r="B2" s="206"/>
      <c r="C2" s="204"/>
      <c r="D2" s="204"/>
      <c r="E2" s="205"/>
      <c r="F2" s="204"/>
    </row>
    <row r="3" spans="1:6" x14ac:dyDescent="0.3">
      <c r="B3" s="767" t="s">
        <v>343</v>
      </c>
      <c r="C3" s="768"/>
      <c r="D3" s="204"/>
      <c r="E3" s="767" t="s">
        <v>186</v>
      </c>
      <c r="F3" s="768"/>
    </row>
    <row r="4" spans="1:6" x14ac:dyDescent="0.3">
      <c r="B4" s="207" t="s">
        <v>187</v>
      </c>
      <c r="C4" s="208" t="s">
        <v>188</v>
      </c>
      <c r="D4" s="204"/>
      <c r="E4" s="207" t="s">
        <v>187</v>
      </c>
      <c r="F4" s="208" t="s">
        <v>188</v>
      </c>
    </row>
    <row r="5" spans="1:6" x14ac:dyDescent="0.3">
      <c r="A5" s="215">
        <v>1</v>
      </c>
      <c r="B5" s="209" t="s">
        <v>584</v>
      </c>
      <c r="C5" s="211" t="s">
        <v>589</v>
      </c>
      <c r="D5" s="204"/>
      <c r="E5" s="209" t="s">
        <v>175</v>
      </c>
      <c r="F5" s="210" t="s">
        <v>189</v>
      </c>
    </row>
    <row r="6" spans="1:6" x14ac:dyDescent="0.3">
      <c r="A6" s="215">
        <v>2</v>
      </c>
      <c r="B6" s="209" t="s">
        <v>585</v>
      </c>
      <c r="C6" s="211" t="s">
        <v>590</v>
      </c>
      <c r="D6" s="204"/>
      <c r="E6" s="209" t="s">
        <v>180</v>
      </c>
      <c r="F6" s="210" t="s">
        <v>191</v>
      </c>
    </row>
    <row r="7" spans="1:6" x14ac:dyDescent="0.3">
      <c r="A7" s="215">
        <v>3</v>
      </c>
      <c r="B7" s="209" t="s">
        <v>158</v>
      </c>
      <c r="C7" s="211" t="s">
        <v>190</v>
      </c>
      <c r="D7" s="204"/>
      <c r="E7" s="209" t="s">
        <v>281</v>
      </c>
      <c r="F7" s="210" t="s">
        <v>282</v>
      </c>
    </row>
    <row r="8" spans="1:6" x14ac:dyDescent="0.3">
      <c r="A8" s="215">
        <v>4</v>
      </c>
      <c r="B8" s="209" t="s">
        <v>159</v>
      </c>
      <c r="C8" s="211" t="s">
        <v>192</v>
      </c>
      <c r="D8" s="204"/>
      <c r="E8" s="209" t="s">
        <v>268</v>
      </c>
      <c r="F8" s="210" t="s">
        <v>267</v>
      </c>
    </row>
    <row r="9" spans="1:6" x14ac:dyDescent="0.3">
      <c r="A9" s="215">
        <v>5</v>
      </c>
      <c r="B9" s="209" t="s">
        <v>160</v>
      </c>
      <c r="C9" s="211" t="s">
        <v>193</v>
      </c>
      <c r="D9" s="204"/>
      <c r="E9" s="209" t="s">
        <v>160</v>
      </c>
      <c r="F9" s="211" t="s">
        <v>193</v>
      </c>
    </row>
    <row r="10" spans="1:6" x14ac:dyDescent="0.3">
      <c r="A10" s="215">
        <v>6</v>
      </c>
      <c r="B10" s="209" t="s">
        <v>161</v>
      </c>
      <c r="C10" s="210" t="s">
        <v>194</v>
      </c>
      <c r="D10" s="204"/>
      <c r="E10" s="209" t="s">
        <v>174</v>
      </c>
      <c r="F10" s="210" t="s">
        <v>195</v>
      </c>
    </row>
    <row r="11" spans="1:6" x14ac:dyDescent="0.3">
      <c r="A11" s="215">
        <v>7</v>
      </c>
      <c r="B11" s="209" t="s">
        <v>162</v>
      </c>
      <c r="C11" s="210" t="s">
        <v>255</v>
      </c>
      <c r="D11" s="204"/>
      <c r="E11" s="209" t="s">
        <v>233</v>
      </c>
      <c r="F11" s="210" t="s">
        <v>234</v>
      </c>
    </row>
    <row r="12" spans="1:6" x14ac:dyDescent="0.3">
      <c r="A12" s="215">
        <v>8</v>
      </c>
      <c r="B12" s="209" t="s">
        <v>163</v>
      </c>
      <c r="C12" s="210" t="s">
        <v>415</v>
      </c>
      <c r="D12" s="204"/>
      <c r="E12" s="209" t="s">
        <v>198</v>
      </c>
      <c r="F12" s="210" t="s">
        <v>364</v>
      </c>
    </row>
    <row r="13" spans="1:6" x14ac:dyDescent="0.3">
      <c r="A13" s="215">
        <v>9</v>
      </c>
      <c r="B13" s="209" t="s">
        <v>164</v>
      </c>
      <c r="C13" s="211" t="s">
        <v>196</v>
      </c>
      <c r="D13" s="204"/>
      <c r="E13" s="209" t="s">
        <v>199</v>
      </c>
      <c r="F13" s="210" t="s">
        <v>366</v>
      </c>
    </row>
    <row r="14" spans="1:6" x14ac:dyDescent="0.3">
      <c r="A14" s="215">
        <v>10</v>
      </c>
      <c r="B14" s="209" t="s">
        <v>165</v>
      </c>
      <c r="C14" s="210" t="s">
        <v>197</v>
      </c>
      <c r="D14" s="204"/>
      <c r="E14" s="209" t="s">
        <v>181</v>
      </c>
      <c r="F14" s="211" t="s">
        <v>201</v>
      </c>
    </row>
    <row r="15" spans="1:6" x14ac:dyDescent="0.3">
      <c r="A15" s="215">
        <v>11</v>
      </c>
      <c r="B15" s="209" t="s">
        <v>166</v>
      </c>
      <c r="C15" s="210" t="s">
        <v>349</v>
      </c>
      <c r="D15" s="204"/>
      <c r="E15" s="209" t="s">
        <v>169</v>
      </c>
      <c r="F15" s="211" t="s">
        <v>202</v>
      </c>
    </row>
    <row r="16" spans="1:6" x14ac:dyDescent="0.3">
      <c r="A16" s="215">
        <v>12</v>
      </c>
      <c r="B16" s="209" t="s">
        <v>167</v>
      </c>
      <c r="C16" s="212" t="s">
        <v>426</v>
      </c>
      <c r="D16" s="204"/>
      <c r="E16" s="209" t="s">
        <v>173</v>
      </c>
      <c r="F16" s="211" t="s">
        <v>203</v>
      </c>
    </row>
    <row r="17" spans="1:9" x14ac:dyDescent="0.3">
      <c r="A17" s="215">
        <v>13</v>
      </c>
      <c r="B17" s="209" t="s">
        <v>168</v>
      </c>
      <c r="C17" s="211" t="s">
        <v>200</v>
      </c>
      <c r="D17" s="204"/>
      <c r="E17" s="209" t="s">
        <v>167</v>
      </c>
      <c r="F17" s="212" t="s">
        <v>426</v>
      </c>
    </row>
    <row r="18" spans="1:9" x14ac:dyDescent="0.3">
      <c r="A18" s="215">
        <v>14</v>
      </c>
      <c r="B18" s="209" t="s">
        <v>169</v>
      </c>
      <c r="C18" s="211" t="s">
        <v>202</v>
      </c>
      <c r="D18" s="204"/>
      <c r="E18" s="209" t="s">
        <v>168</v>
      </c>
      <c r="F18" s="211" t="s">
        <v>200</v>
      </c>
    </row>
    <row r="19" spans="1:9" x14ac:dyDescent="0.3">
      <c r="A19" s="215">
        <v>15</v>
      </c>
      <c r="B19" s="209" t="s">
        <v>170</v>
      </c>
      <c r="C19" s="211" t="s">
        <v>204</v>
      </c>
      <c r="D19" s="204"/>
      <c r="E19" s="209" t="s">
        <v>158</v>
      </c>
      <c r="F19" s="211" t="s">
        <v>190</v>
      </c>
    </row>
    <row r="20" spans="1:9" x14ac:dyDescent="0.3">
      <c r="A20" s="215">
        <v>16</v>
      </c>
      <c r="B20" s="209" t="s">
        <v>171</v>
      </c>
      <c r="C20" s="211" t="s">
        <v>205</v>
      </c>
      <c r="D20" s="204"/>
      <c r="E20" s="209" t="s">
        <v>171</v>
      </c>
      <c r="F20" s="211" t="s">
        <v>205</v>
      </c>
    </row>
    <row r="21" spans="1:9" x14ac:dyDescent="0.3">
      <c r="A21" s="215">
        <v>17</v>
      </c>
      <c r="B21" s="209" t="s">
        <v>172</v>
      </c>
      <c r="C21" s="210" t="s">
        <v>286</v>
      </c>
      <c r="D21" s="204"/>
      <c r="E21" s="209" t="s">
        <v>351</v>
      </c>
      <c r="F21" s="214" t="s">
        <v>348</v>
      </c>
    </row>
    <row r="22" spans="1:9" x14ac:dyDescent="0.3">
      <c r="A22" s="215">
        <v>18</v>
      </c>
      <c r="B22" s="209" t="s">
        <v>173</v>
      </c>
      <c r="C22" s="211" t="s">
        <v>203</v>
      </c>
      <c r="D22" s="204"/>
      <c r="E22" s="209" t="s">
        <v>163</v>
      </c>
      <c r="F22" s="210" t="s">
        <v>415</v>
      </c>
    </row>
    <row r="23" spans="1:9" x14ac:dyDescent="0.3">
      <c r="A23" s="215">
        <v>19</v>
      </c>
      <c r="B23" s="209" t="s">
        <v>174</v>
      </c>
      <c r="C23" s="210" t="s">
        <v>195</v>
      </c>
      <c r="D23" s="204"/>
      <c r="E23" s="209" t="s">
        <v>209</v>
      </c>
      <c r="F23" s="214" t="s">
        <v>414</v>
      </c>
    </row>
    <row r="24" spans="1:9" x14ac:dyDescent="0.3">
      <c r="A24" s="215">
        <v>20</v>
      </c>
      <c r="B24" s="209" t="s">
        <v>175</v>
      </c>
      <c r="C24" s="210" t="s">
        <v>189</v>
      </c>
      <c r="D24" s="204"/>
      <c r="E24" s="209" t="s">
        <v>182</v>
      </c>
      <c r="F24" s="211" t="s">
        <v>353</v>
      </c>
    </row>
    <row r="25" spans="1:9" x14ac:dyDescent="0.3">
      <c r="A25" s="215">
        <v>21</v>
      </c>
      <c r="B25" s="209" t="s">
        <v>176</v>
      </c>
      <c r="C25" s="211" t="s">
        <v>206</v>
      </c>
      <c r="D25" s="204"/>
      <c r="E25" s="209" t="s">
        <v>584</v>
      </c>
      <c r="F25" s="211" t="s">
        <v>589</v>
      </c>
    </row>
    <row r="26" spans="1:9" x14ac:dyDescent="0.3">
      <c r="A26" s="215">
        <v>22</v>
      </c>
      <c r="B26" s="209" t="s">
        <v>177</v>
      </c>
      <c r="C26" s="210" t="s">
        <v>207</v>
      </c>
      <c r="D26" s="204"/>
      <c r="E26" s="209" t="s">
        <v>165</v>
      </c>
      <c r="F26" s="210" t="s">
        <v>197</v>
      </c>
    </row>
    <row r="27" spans="1:9" x14ac:dyDescent="0.3">
      <c r="A27" s="215">
        <v>23</v>
      </c>
      <c r="B27" s="213" t="s">
        <v>178</v>
      </c>
      <c r="C27" s="210" t="s">
        <v>208</v>
      </c>
      <c r="D27" s="204"/>
      <c r="E27" s="209" t="s">
        <v>161</v>
      </c>
      <c r="F27" s="210" t="s">
        <v>194</v>
      </c>
    </row>
    <row r="28" spans="1:9" x14ac:dyDescent="0.3">
      <c r="A28" s="215">
        <v>24</v>
      </c>
      <c r="B28" s="209" t="s">
        <v>179</v>
      </c>
      <c r="C28" s="211" t="s">
        <v>210</v>
      </c>
      <c r="D28" s="204"/>
      <c r="E28" s="209" t="s">
        <v>176</v>
      </c>
      <c r="F28" s="211" t="s">
        <v>206</v>
      </c>
    </row>
    <row r="29" spans="1:9" x14ac:dyDescent="0.3">
      <c r="A29" s="215">
        <v>25</v>
      </c>
      <c r="B29" s="209" t="s">
        <v>211</v>
      </c>
      <c r="C29" s="210" t="s">
        <v>212</v>
      </c>
      <c r="D29" s="204"/>
      <c r="E29" s="209" t="s">
        <v>213</v>
      </c>
      <c r="F29" s="210" t="s">
        <v>214</v>
      </c>
      <c r="I29" s="295"/>
    </row>
    <row r="30" spans="1:9" x14ac:dyDescent="0.3">
      <c r="A30" s="215">
        <v>26</v>
      </c>
      <c r="B30" s="209" t="s">
        <v>209</v>
      </c>
      <c r="C30" s="214" t="s">
        <v>414</v>
      </c>
      <c r="D30" s="204"/>
      <c r="E30" s="209" t="s">
        <v>215</v>
      </c>
      <c r="F30" s="210" t="s">
        <v>216</v>
      </c>
      <c r="I30" s="295"/>
    </row>
    <row r="31" spans="1:9" x14ac:dyDescent="0.3">
      <c r="A31" s="215">
        <v>27</v>
      </c>
      <c r="B31" s="209" t="s">
        <v>180</v>
      </c>
      <c r="C31" s="210" t="s">
        <v>191</v>
      </c>
      <c r="D31" s="204"/>
      <c r="E31" s="209" t="s">
        <v>217</v>
      </c>
      <c r="F31" s="210" t="s">
        <v>218</v>
      </c>
    </row>
    <row r="32" spans="1:9" x14ac:dyDescent="0.3">
      <c r="A32" s="215">
        <v>28</v>
      </c>
      <c r="B32" s="209" t="s">
        <v>181</v>
      </c>
      <c r="C32" s="211" t="s">
        <v>201</v>
      </c>
      <c r="D32" s="204"/>
      <c r="E32" s="209" t="s">
        <v>183</v>
      </c>
      <c r="F32" s="211" t="s">
        <v>219</v>
      </c>
    </row>
    <row r="33" spans="1:6" x14ac:dyDescent="0.3">
      <c r="A33" s="215">
        <v>29</v>
      </c>
      <c r="B33" s="209" t="s">
        <v>182</v>
      </c>
      <c r="C33" s="211" t="s">
        <v>353</v>
      </c>
      <c r="D33" s="204"/>
      <c r="E33" s="209" t="s">
        <v>179</v>
      </c>
      <c r="F33" s="211" t="s">
        <v>210</v>
      </c>
    </row>
    <row r="34" spans="1:6" x14ac:dyDescent="0.3">
      <c r="A34" s="215">
        <v>30</v>
      </c>
      <c r="B34" s="209" t="s">
        <v>183</v>
      </c>
      <c r="C34" s="211" t="s">
        <v>219</v>
      </c>
      <c r="D34" s="204"/>
      <c r="E34" s="209" t="s">
        <v>170</v>
      </c>
      <c r="F34" s="211" t="s">
        <v>204</v>
      </c>
    </row>
    <row r="35" spans="1:6" x14ac:dyDescent="0.3">
      <c r="A35" s="215">
        <v>31</v>
      </c>
      <c r="B35" s="209" t="s">
        <v>217</v>
      </c>
      <c r="C35" s="210" t="s">
        <v>218</v>
      </c>
      <c r="D35" s="204"/>
      <c r="E35" s="209">
        <v>4111</v>
      </c>
      <c r="F35" s="211" t="s">
        <v>355</v>
      </c>
    </row>
    <row r="36" spans="1:6" x14ac:dyDescent="0.3">
      <c r="A36" s="215">
        <v>32</v>
      </c>
      <c r="B36" s="209" t="s">
        <v>220</v>
      </c>
      <c r="C36" s="214" t="s">
        <v>221</v>
      </c>
      <c r="D36" s="204"/>
      <c r="E36" s="209" t="s">
        <v>177</v>
      </c>
      <c r="F36" s="210" t="s">
        <v>207</v>
      </c>
    </row>
    <row r="37" spans="1:6" x14ac:dyDescent="0.3">
      <c r="A37" s="215">
        <v>33</v>
      </c>
      <c r="B37" s="209" t="s">
        <v>222</v>
      </c>
      <c r="C37" s="211" t="s">
        <v>223</v>
      </c>
      <c r="D37" s="204"/>
      <c r="E37" s="209" t="s">
        <v>224</v>
      </c>
      <c r="F37" s="210" t="s">
        <v>225</v>
      </c>
    </row>
    <row r="38" spans="1:6" x14ac:dyDescent="0.3">
      <c r="A38" s="215">
        <v>34</v>
      </c>
      <c r="B38" s="209" t="s">
        <v>198</v>
      </c>
      <c r="C38" s="210" t="s">
        <v>364</v>
      </c>
      <c r="D38" s="204"/>
      <c r="E38" s="209" t="s">
        <v>222</v>
      </c>
      <c r="F38" s="211" t="s">
        <v>223</v>
      </c>
    </row>
    <row r="39" spans="1:6" x14ac:dyDescent="0.3">
      <c r="A39" s="215">
        <v>35</v>
      </c>
      <c r="B39" s="209" t="s">
        <v>351</v>
      </c>
      <c r="C39" s="211" t="s">
        <v>348</v>
      </c>
      <c r="D39" s="204"/>
      <c r="E39" s="209" t="s">
        <v>220</v>
      </c>
      <c r="F39" s="214" t="s">
        <v>221</v>
      </c>
    </row>
    <row r="40" spans="1:6" x14ac:dyDescent="0.3">
      <c r="A40" s="215">
        <v>36</v>
      </c>
      <c r="B40" s="209">
        <v>4031</v>
      </c>
      <c r="C40" s="210" t="s">
        <v>376</v>
      </c>
      <c r="D40" s="204"/>
      <c r="E40" s="209" t="s">
        <v>172</v>
      </c>
      <c r="F40" s="211" t="s">
        <v>286</v>
      </c>
    </row>
    <row r="41" spans="1:6" x14ac:dyDescent="0.3">
      <c r="A41" s="215">
        <v>37</v>
      </c>
      <c r="B41" s="209" t="s">
        <v>224</v>
      </c>
      <c r="C41" s="210" t="s">
        <v>225</v>
      </c>
      <c r="D41" s="204"/>
      <c r="E41" s="209">
        <v>4091</v>
      </c>
      <c r="F41" s="211" t="s">
        <v>275</v>
      </c>
    </row>
    <row r="42" spans="1:6" x14ac:dyDescent="0.3">
      <c r="A42" s="215">
        <v>38</v>
      </c>
      <c r="B42" s="209" t="s">
        <v>215</v>
      </c>
      <c r="C42" s="210" t="s">
        <v>216</v>
      </c>
      <c r="D42" s="204"/>
      <c r="E42" s="209">
        <v>4031</v>
      </c>
      <c r="F42" s="210" t="s">
        <v>376</v>
      </c>
    </row>
    <row r="43" spans="1:6" x14ac:dyDescent="0.3">
      <c r="A43" s="215">
        <v>39</v>
      </c>
      <c r="B43" s="209" t="s">
        <v>213</v>
      </c>
      <c r="C43" s="210" t="s">
        <v>214</v>
      </c>
      <c r="D43" s="204"/>
      <c r="E43" s="213" t="s">
        <v>411</v>
      </c>
      <c r="F43" s="210" t="s">
        <v>412</v>
      </c>
    </row>
    <row r="44" spans="1:6" x14ac:dyDescent="0.3">
      <c r="A44" s="215">
        <v>40</v>
      </c>
      <c r="B44" s="209" t="s">
        <v>199</v>
      </c>
      <c r="C44" s="210" t="s">
        <v>366</v>
      </c>
      <c r="D44" s="204"/>
      <c r="E44" s="209" t="s">
        <v>159</v>
      </c>
      <c r="F44" s="211" t="s">
        <v>192</v>
      </c>
    </row>
    <row r="45" spans="1:6" x14ac:dyDescent="0.3">
      <c r="A45" s="215">
        <v>41</v>
      </c>
      <c r="B45" s="209" t="s">
        <v>238</v>
      </c>
      <c r="C45" s="210" t="s">
        <v>242</v>
      </c>
      <c r="D45" s="204"/>
      <c r="E45" s="209" t="s">
        <v>211</v>
      </c>
      <c r="F45" s="210" t="s">
        <v>212</v>
      </c>
    </row>
    <row r="46" spans="1:6" x14ac:dyDescent="0.3">
      <c r="A46" s="215">
        <v>42</v>
      </c>
      <c r="B46" s="242" t="s">
        <v>233</v>
      </c>
      <c r="C46" s="188" t="s">
        <v>234</v>
      </c>
      <c r="D46" s="204"/>
      <c r="E46" s="209">
        <v>4090</v>
      </c>
      <c r="F46" s="211" t="s">
        <v>276</v>
      </c>
    </row>
    <row r="47" spans="1:6" x14ac:dyDescent="0.3">
      <c r="A47" s="215">
        <v>43</v>
      </c>
      <c r="B47" s="242">
        <v>4090</v>
      </c>
      <c r="C47" s="188" t="s">
        <v>276</v>
      </c>
      <c r="D47" s="204"/>
      <c r="E47" s="209" t="s">
        <v>326</v>
      </c>
      <c r="F47" s="211" t="s">
        <v>327</v>
      </c>
    </row>
    <row r="48" spans="1:6" x14ac:dyDescent="0.3">
      <c r="A48" s="215">
        <v>44</v>
      </c>
      <c r="B48" s="242">
        <v>4091</v>
      </c>
      <c r="C48" s="188" t="s">
        <v>275</v>
      </c>
      <c r="D48" s="204"/>
      <c r="E48" s="209" t="s">
        <v>166</v>
      </c>
      <c r="F48" s="210" t="s">
        <v>349</v>
      </c>
    </row>
    <row r="49" spans="1:6" x14ac:dyDescent="0.3">
      <c r="A49" s="215">
        <v>45</v>
      </c>
      <c r="B49" s="209" t="s">
        <v>268</v>
      </c>
      <c r="C49" s="210" t="s">
        <v>267</v>
      </c>
      <c r="D49" s="204"/>
      <c r="E49" s="209" t="s">
        <v>585</v>
      </c>
      <c r="F49" s="188" t="s">
        <v>591</v>
      </c>
    </row>
    <row r="50" spans="1:6" x14ac:dyDescent="0.3">
      <c r="A50" s="215">
        <v>46</v>
      </c>
      <c r="B50" s="209" t="s">
        <v>281</v>
      </c>
      <c r="C50" s="210" t="s">
        <v>282</v>
      </c>
      <c r="D50" s="204"/>
      <c r="E50" s="209" t="s">
        <v>162</v>
      </c>
      <c r="F50" s="210" t="s">
        <v>255</v>
      </c>
    </row>
    <row r="51" spans="1:6" x14ac:dyDescent="0.3">
      <c r="A51" s="215">
        <v>47</v>
      </c>
      <c r="B51" s="209" t="s">
        <v>326</v>
      </c>
      <c r="C51" s="241" t="s">
        <v>327</v>
      </c>
      <c r="D51" s="204"/>
      <c r="E51" s="209" t="s">
        <v>238</v>
      </c>
      <c r="F51" s="210" t="s">
        <v>242</v>
      </c>
    </row>
    <row r="52" spans="1:6" x14ac:dyDescent="0.3">
      <c r="A52" s="215">
        <v>48</v>
      </c>
      <c r="B52" s="209">
        <v>4111</v>
      </c>
      <c r="C52" s="210" t="s">
        <v>355</v>
      </c>
      <c r="D52" s="204"/>
      <c r="E52" s="209" t="s">
        <v>164</v>
      </c>
      <c r="F52" s="211" t="s">
        <v>196</v>
      </c>
    </row>
    <row r="53" spans="1:6" x14ac:dyDescent="0.3">
      <c r="A53" s="215">
        <v>49</v>
      </c>
      <c r="B53" s="209" t="s">
        <v>411</v>
      </c>
      <c r="C53" s="210" t="s">
        <v>412</v>
      </c>
      <c r="D53" s="204"/>
      <c r="E53" s="213" t="s">
        <v>178</v>
      </c>
      <c r="F53" s="210" t="s">
        <v>208</v>
      </c>
    </row>
    <row r="54" spans="1:6" x14ac:dyDescent="0.3">
      <c r="A54" s="215"/>
      <c r="D54" s="204"/>
    </row>
    <row r="55" spans="1:6" x14ac:dyDescent="0.3">
      <c r="A55" s="215"/>
      <c r="D55" s="204"/>
    </row>
    <row r="56" spans="1:6" x14ac:dyDescent="0.3">
      <c r="D56" s="204"/>
    </row>
  </sheetData>
  <mergeCells count="2">
    <mergeCell ref="B3:C3"/>
    <mergeCell ref="E3:F3"/>
  </mergeCells>
  <conditionalFormatting sqref="B5:C53">
    <cfRule type="expression" dxfId="3" priority="4" stopIfTrue="1">
      <formula>MOD(ROW(),2)=0</formula>
    </cfRule>
  </conditionalFormatting>
  <conditionalFormatting sqref="E49">
    <cfRule type="expression" dxfId="2" priority="1">
      <formula>MOD(ROW(),2)=0</formula>
    </cfRule>
  </conditionalFormatting>
  <conditionalFormatting sqref="E5:F24 E26:F48 E50:F53">
    <cfRule type="expression" dxfId="1" priority="3">
      <formula>MOD(ROW(),2)=0</formula>
    </cfRule>
  </conditionalFormatting>
  <conditionalFormatting sqref="E25:F25">
    <cfRule type="expression" dxfId="0" priority="2" stopIfTrue="1">
      <formula>MOD(ROW(),2)=0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M167"/>
  <sheetViews>
    <sheetView workbookViewId="0"/>
  </sheetViews>
  <sheetFormatPr defaultColWidth="9.109375" defaultRowHeight="15.6" x14ac:dyDescent="0.3"/>
  <cols>
    <col min="1" max="1" width="10.33203125" style="69" customWidth="1"/>
    <col min="2" max="2" width="30.33203125" style="3" bestFit="1" customWidth="1"/>
    <col min="3" max="3" width="14" style="3" customWidth="1"/>
    <col min="4" max="4" width="12" style="3" bestFit="1" customWidth="1"/>
    <col min="5" max="5" width="14" style="3" customWidth="1"/>
    <col min="6" max="6" width="19" style="3" bestFit="1" customWidth="1"/>
    <col min="7" max="7" width="7.44140625" style="3" customWidth="1"/>
    <col min="8" max="8" width="15.6640625" style="3" customWidth="1"/>
    <col min="9" max="9" width="23.6640625" style="3" customWidth="1"/>
    <col min="10" max="10" width="19.6640625" style="3" customWidth="1"/>
    <col min="11" max="11" width="14.5546875" style="3" bestFit="1" customWidth="1"/>
    <col min="12" max="12" width="15.6640625" style="3" bestFit="1" customWidth="1"/>
    <col min="13" max="16384" width="9.109375" style="3"/>
  </cols>
  <sheetData>
    <row r="1" spans="1:9" ht="16.2" thickBot="1" x14ac:dyDescent="0.35">
      <c r="A1" s="82"/>
      <c r="B1" s="799" t="s">
        <v>15</v>
      </c>
      <c r="C1" s="800"/>
      <c r="D1" s="800"/>
      <c r="E1" s="800"/>
      <c r="F1" s="800"/>
      <c r="G1" s="800"/>
      <c r="H1" s="800"/>
      <c r="I1" s="800"/>
    </row>
    <row r="2" spans="1:9" ht="21" x14ac:dyDescent="0.4">
      <c r="A2" s="1" t="s">
        <v>253</v>
      </c>
      <c r="B2" s="2"/>
      <c r="C2" s="2"/>
      <c r="D2" s="2"/>
      <c r="E2" s="2"/>
      <c r="F2" s="2"/>
      <c r="G2" s="2"/>
      <c r="H2" s="2"/>
      <c r="I2" s="2"/>
    </row>
    <row r="3" spans="1:9" x14ac:dyDescent="0.3">
      <c r="A3" s="81" t="str">
        <f>'1461'!A3</f>
        <v>Based on the FLDOE 2024-25 Final Revenue Calculation Worksheet</v>
      </c>
    </row>
    <row r="4" spans="1:9" x14ac:dyDescent="0.3">
      <c r="A4" s="801" t="s">
        <v>0</v>
      </c>
      <c r="B4" s="801"/>
      <c r="C4" s="802" t="s">
        <v>9</v>
      </c>
      <c r="D4" s="802"/>
      <c r="E4" s="802"/>
      <c r="F4" s="598" t="s">
        <v>614</v>
      </c>
      <c r="G4" s="4"/>
      <c r="H4" s="4"/>
      <c r="I4" s="4"/>
    </row>
    <row r="5" spans="1:9" ht="12" customHeight="1" thickBot="1" x14ac:dyDescent="0.35">
      <c r="A5" s="225"/>
      <c r="B5" s="225"/>
      <c r="C5" s="226"/>
      <c r="D5" s="226"/>
      <c r="E5" s="226"/>
      <c r="F5" s="227"/>
      <c r="G5" s="227"/>
      <c r="H5" s="227"/>
      <c r="I5" s="227"/>
    </row>
    <row r="6" spans="1:9" ht="12" customHeight="1" x14ac:dyDescent="0.3">
      <c r="A6" s="121"/>
      <c r="B6" s="121"/>
      <c r="C6" s="234"/>
      <c r="D6" s="234"/>
      <c r="E6" s="234"/>
      <c r="F6" s="4"/>
      <c r="G6" s="4"/>
      <c r="H6" s="4"/>
      <c r="I6" s="4"/>
    </row>
    <row r="7" spans="1:9" x14ac:dyDescent="0.3">
      <c r="A7" s="803" t="str">
        <f>'1461'!A7:I7</f>
        <v>1A.   2023-24 FEFP State and Local Funding</v>
      </c>
      <c r="B7" s="803"/>
      <c r="C7" s="803"/>
      <c r="D7" s="803"/>
      <c r="E7" s="803"/>
      <c r="F7" s="803"/>
      <c r="G7" s="803"/>
      <c r="H7" s="803"/>
      <c r="I7" s="803"/>
    </row>
    <row r="8" spans="1:9" x14ac:dyDescent="0.3">
      <c r="A8" s="84"/>
      <c r="B8" s="85" t="s">
        <v>92</v>
      </c>
      <c r="C8" s="221">
        <f>'1461'!C8</f>
        <v>5330.98</v>
      </c>
      <c r="D8" s="86"/>
      <c r="E8" s="87"/>
      <c r="F8" s="84"/>
      <c r="G8" s="85" t="s">
        <v>91</v>
      </c>
      <c r="H8" s="222">
        <f>'1461'!H8</f>
        <v>1.0407999999999999</v>
      </c>
      <c r="I8" s="75"/>
    </row>
    <row r="9" spans="1:9" x14ac:dyDescent="0.3">
      <c r="A9" s="84"/>
      <c r="B9" s="85"/>
      <c r="C9" s="221"/>
      <c r="D9" s="86"/>
      <c r="E9" s="87"/>
      <c r="F9" s="84"/>
      <c r="G9" s="85" t="s">
        <v>453</v>
      </c>
      <c r="H9" s="222">
        <f>'1461'!H9</f>
        <v>1</v>
      </c>
      <c r="I9" s="75"/>
    </row>
    <row r="10" spans="1:9" x14ac:dyDescent="0.3">
      <c r="A10" s="7"/>
      <c r="B10" s="7"/>
      <c r="C10" s="8"/>
      <c r="D10" s="8"/>
      <c r="E10" s="8"/>
      <c r="F10" s="9"/>
      <c r="G10" s="9"/>
      <c r="H10" s="10"/>
      <c r="I10" s="410" t="str">
        <f>'1461'!I10</f>
        <v>2024-25</v>
      </c>
    </row>
    <row r="11" spans="1:9" x14ac:dyDescent="0.3">
      <c r="A11" s="7"/>
      <c r="B11" s="7"/>
      <c r="C11" s="88" t="str">
        <f>'1461'!C11</f>
        <v>Oct 2024</v>
      </c>
      <c r="D11" s="88" t="str">
        <f>'1461'!D11</f>
        <v>Feb 2025</v>
      </c>
      <c r="E11" s="89" t="s">
        <v>8</v>
      </c>
      <c r="F11" s="804" t="s">
        <v>1</v>
      </c>
      <c r="G11" s="804"/>
      <c r="H11" s="10" t="s">
        <v>60</v>
      </c>
      <c r="I11" s="11" t="s">
        <v>27</v>
      </c>
    </row>
    <row r="12" spans="1:9" x14ac:dyDescent="0.3">
      <c r="A12" s="796" t="s">
        <v>1</v>
      </c>
      <c r="B12" s="796"/>
      <c r="C12" s="485" t="str">
        <f>'1461'!C12</f>
        <v>FTE</v>
      </c>
      <c r="D12" s="485" t="str">
        <f>'1461'!D12</f>
        <v>FTE</v>
      </c>
      <c r="E12" s="90" t="s">
        <v>2</v>
      </c>
      <c r="F12" s="805" t="s">
        <v>63</v>
      </c>
      <c r="G12" s="805"/>
      <c r="H12" s="17" t="s">
        <v>59</v>
      </c>
      <c r="I12" s="439" t="s">
        <v>457</v>
      </c>
    </row>
    <row r="13" spans="1:9" x14ac:dyDescent="0.3">
      <c r="A13" s="806" t="s">
        <v>36</v>
      </c>
      <c r="B13" s="806"/>
      <c r="C13" s="91"/>
      <c r="D13" s="91"/>
      <c r="E13" s="712" t="s">
        <v>37</v>
      </c>
      <c r="F13" s="807" t="s">
        <v>38</v>
      </c>
      <c r="G13" s="807"/>
      <c r="H13" s="20" t="s">
        <v>39</v>
      </c>
      <c r="I13" s="410" t="s">
        <v>40</v>
      </c>
    </row>
    <row r="14" spans="1:9" x14ac:dyDescent="0.3">
      <c r="A14" s="797" t="s">
        <v>20</v>
      </c>
      <c r="B14" s="797"/>
      <c r="C14" s="141">
        <f>SUM('0040:4131'!C14)</f>
        <v>2083.7399999999998</v>
      </c>
      <c r="D14" s="141">
        <f>SUM('0040:4131'!D14)</f>
        <v>2033.84</v>
      </c>
      <c r="E14" s="116">
        <f>SUM('0040:4131'!E14)</f>
        <v>4117.58</v>
      </c>
      <c r="F14" s="798">
        <f>'1461'!F14:G14</f>
        <v>1.1180000000000001</v>
      </c>
      <c r="G14" s="798"/>
      <c r="H14" s="145">
        <f>SUM('1461:4131'!H14)</f>
        <v>4603.4545000000007</v>
      </c>
      <c r="I14" s="101">
        <f>SUM('0040:4131'!I14)</f>
        <v>25542193.590000004</v>
      </c>
    </row>
    <row r="15" spans="1:9" x14ac:dyDescent="0.3">
      <c r="A15" s="776" t="s">
        <v>21</v>
      </c>
      <c r="B15" s="776"/>
      <c r="C15" s="143">
        <f>SUM('0040:4131'!C15)</f>
        <v>295.65000000000003</v>
      </c>
      <c r="D15" s="143">
        <f>SUM('0040:4131'!D15)</f>
        <v>313.75999999999993</v>
      </c>
      <c r="E15" s="116">
        <f>SUM('0040:4131'!E15)</f>
        <v>609.41000000000008</v>
      </c>
      <c r="F15" s="793">
        <f>'1461'!F15:G15</f>
        <v>1.1180000000000001</v>
      </c>
      <c r="G15" s="793"/>
      <c r="H15" s="80">
        <f>SUM('1461:4131'!H15)</f>
        <v>681.32030000000009</v>
      </c>
      <c r="I15" s="101">
        <f>SUM('0040:4131'!I15)</f>
        <v>3780294.7700000009</v>
      </c>
    </row>
    <row r="16" spans="1:9" x14ac:dyDescent="0.3">
      <c r="A16" s="776" t="s">
        <v>22</v>
      </c>
      <c r="B16" s="776"/>
      <c r="C16" s="143">
        <f>SUM('0040:4131'!C16)</f>
        <v>3334.329999999999</v>
      </c>
      <c r="D16" s="143">
        <f>SUM('0040:4131'!D16)</f>
        <v>3332.7200000000007</v>
      </c>
      <c r="E16" s="116">
        <f>SUM('0040:4131'!E16)</f>
        <v>6667.0500000000011</v>
      </c>
      <c r="F16" s="793">
        <f>'1461'!F16:G16</f>
        <v>1</v>
      </c>
      <c r="G16" s="793"/>
      <c r="H16" s="80">
        <f>SUM('1461:4131'!H16)</f>
        <v>6648.1</v>
      </c>
      <c r="I16" s="101">
        <f>SUM('0040:4131'!I16)</f>
        <v>36992020.140000001</v>
      </c>
    </row>
    <row r="17" spans="1:10" x14ac:dyDescent="0.3">
      <c r="A17" s="776" t="s">
        <v>23</v>
      </c>
      <c r="B17" s="776"/>
      <c r="C17" s="143">
        <f>SUM('0040:4131'!C17)</f>
        <v>595.47</v>
      </c>
      <c r="D17" s="143">
        <f>SUM('0040:4131'!D17)</f>
        <v>604.73</v>
      </c>
      <c r="E17" s="116">
        <f>SUM('0040:4131'!E17)</f>
        <v>1200.2</v>
      </c>
      <c r="F17" s="793">
        <f>'1461'!F17:G17</f>
        <v>1</v>
      </c>
      <c r="G17" s="793"/>
      <c r="H17" s="80">
        <f>SUM('1461:4131'!H17)</f>
        <v>1188.0200000000002</v>
      </c>
      <c r="I17" s="101">
        <f>SUM('0040:4131'!I17)</f>
        <v>6659290.4399999995</v>
      </c>
    </row>
    <row r="18" spans="1:10" x14ac:dyDescent="0.3">
      <c r="A18" s="776" t="s">
        <v>24</v>
      </c>
      <c r="B18" s="776"/>
      <c r="C18" s="143">
        <f>SUM('0040:4131'!C18)</f>
        <v>2243.0899999999997</v>
      </c>
      <c r="D18" s="143">
        <f>SUM('0040:4131'!D18)</f>
        <v>2289.4899999999998</v>
      </c>
      <c r="E18" s="116">
        <f>SUM('0040:4131'!E18)</f>
        <v>4532.5800000000008</v>
      </c>
      <c r="F18" s="793">
        <f>'1461'!F18:G18</f>
        <v>0.97799999999999998</v>
      </c>
      <c r="G18" s="793"/>
      <c r="H18" s="80">
        <f>SUM('1461:4131'!H18)</f>
        <v>4432.8633</v>
      </c>
      <c r="I18" s="101">
        <f>SUM('0040:4131'!I18)</f>
        <v>24595671.009999998</v>
      </c>
    </row>
    <row r="19" spans="1:10" x14ac:dyDescent="0.3">
      <c r="A19" s="776" t="s">
        <v>25</v>
      </c>
      <c r="B19" s="776"/>
      <c r="C19" s="143">
        <f>SUM('0040:4131'!C19)</f>
        <v>626.3900000000001</v>
      </c>
      <c r="D19" s="143">
        <f>SUM('0040:4131'!D19)</f>
        <v>635.26999999999987</v>
      </c>
      <c r="E19" s="116">
        <f>SUM('0040:4131'!E19)</f>
        <v>1261.6600000000001</v>
      </c>
      <c r="F19" s="793">
        <f>'1461'!F19:G19</f>
        <v>0.97799999999999998</v>
      </c>
      <c r="G19" s="793"/>
      <c r="H19" s="80">
        <f>SUM('1461:4131'!H19)</f>
        <v>1231.9278999999999</v>
      </c>
      <c r="I19" s="101">
        <f>SUM('0040:4131'!I19)</f>
        <v>6846293.8099999987</v>
      </c>
    </row>
    <row r="20" spans="1:10" x14ac:dyDescent="0.3">
      <c r="A20" s="776" t="s">
        <v>79</v>
      </c>
      <c r="B20" s="776"/>
      <c r="C20" s="143">
        <f>SUM('0040:4131'!C20)</f>
        <v>88.990000000000009</v>
      </c>
      <c r="D20" s="143">
        <f>SUM('0040:4131'!D20)</f>
        <v>85.04</v>
      </c>
      <c r="E20" s="116">
        <f>SUM('0040:4131'!E20)</f>
        <v>174.03</v>
      </c>
      <c r="F20" s="793">
        <f>'1461'!F20:G20</f>
        <v>3.6970000000000001</v>
      </c>
      <c r="G20" s="793"/>
      <c r="H20" s="80">
        <f>SUM('1461:4131'!H20)</f>
        <v>643.38900000000001</v>
      </c>
      <c r="I20" s="101">
        <f>SUM('0040:4131'!I20)</f>
        <v>3569833.56</v>
      </c>
    </row>
    <row r="21" spans="1:10" x14ac:dyDescent="0.3">
      <c r="A21" s="776" t="s">
        <v>80</v>
      </c>
      <c r="B21" s="776"/>
      <c r="C21" s="143">
        <f>SUM('0040:4131'!C21)</f>
        <v>78.010000000000005</v>
      </c>
      <c r="D21" s="143">
        <f>SUM('0040:4131'!D21)</f>
        <v>75.419999999999987</v>
      </c>
      <c r="E21" s="116">
        <f>SUM('0040:4131'!E21)</f>
        <v>153.43</v>
      </c>
      <c r="F21" s="793">
        <f>'1461'!F21:G21</f>
        <v>3.6970000000000001</v>
      </c>
      <c r="G21" s="793"/>
      <c r="H21" s="80">
        <f>SUM('1461:4131'!H21)</f>
        <v>567.23060000000009</v>
      </c>
      <c r="I21" s="101">
        <f>SUM('0040:4131'!I21)</f>
        <v>3147269.91</v>
      </c>
    </row>
    <row r="22" spans="1:10" x14ac:dyDescent="0.3">
      <c r="A22" s="776" t="s">
        <v>81</v>
      </c>
      <c r="B22" s="776"/>
      <c r="C22" s="143">
        <f>SUM('0040:4131'!C22)</f>
        <v>61.08</v>
      </c>
      <c r="D22" s="143">
        <f>SUM('0040:4131'!D22)</f>
        <v>62.11</v>
      </c>
      <c r="E22" s="116">
        <f>SUM('0040:4131'!E22)</f>
        <v>123.18999999999998</v>
      </c>
      <c r="F22" s="793">
        <f>'1461'!F22:G22</f>
        <v>3.6970000000000001</v>
      </c>
      <c r="G22" s="793"/>
      <c r="H22" s="80">
        <f>SUM('1461:4131'!H22)</f>
        <v>426.07929999999999</v>
      </c>
      <c r="I22" s="101">
        <f>SUM('0040:4131'!I22)</f>
        <v>2526965.4900000002</v>
      </c>
    </row>
    <row r="23" spans="1:10" x14ac:dyDescent="0.3">
      <c r="A23" s="776" t="s">
        <v>82</v>
      </c>
      <c r="B23" s="776"/>
      <c r="C23" s="143">
        <f>SUM('0040:4131'!C23)</f>
        <v>46.01</v>
      </c>
      <c r="D23" s="143">
        <f>SUM('0040:4131'!D23)</f>
        <v>52.320000000000007</v>
      </c>
      <c r="E23" s="116">
        <f>SUM('0040:4131'!E23)</f>
        <v>98.33</v>
      </c>
      <c r="F23" s="793">
        <f>'1461'!F23:G23</f>
        <v>5.992</v>
      </c>
      <c r="G23" s="793"/>
      <c r="H23" s="80">
        <f>SUM('1461:4131'!H23)</f>
        <v>589.1934</v>
      </c>
      <c r="I23" s="101">
        <f>SUM('0040:4131'!I23)</f>
        <v>3269130.14</v>
      </c>
    </row>
    <row r="24" spans="1:10" x14ac:dyDescent="0.3">
      <c r="A24" s="776" t="s">
        <v>83</v>
      </c>
      <c r="B24" s="776"/>
      <c r="C24" s="143">
        <f>SUM('0040:4131'!C24)</f>
        <v>49.480000000000004</v>
      </c>
      <c r="D24" s="143">
        <f>SUM('0040:4131'!D24)</f>
        <v>55.69</v>
      </c>
      <c r="E24" s="116">
        <f>SUM('0040:4131'!E24)</f>
        <v>105.17</v>
      </c>
      <c r="F24" s="793">
        <f>'1461'!F24:G24</f>
        <v>5.992</v>
      </c>
      <c r="G24" s="793"/>
      <c r="H24" s="80">
        <f>SUM('1461:4131'!H24)</f>
        <v>630.17870000000005</v>
      </c>
      <c r="I24" s="101">
        <f>SUM('0040:4131'!I24)</f>
        <v>3496536.42</v>
      </c>
    </row>
    <row r="25" spans="1:10" x14ac:dyDescent="0.3">
      <c r="A25" s="776" t="s">
        <v>84</v>
      </c>
      <c r="B25" s="776"/>
      <c r="C25" s="143">
        <f>SUM('0040:4131'!C25)</f>
        <v>40.94</v>
      </c>
      <c r="D25" s="143">
        <f>SUM('0040:4131'!D25)</f>
        <v>43.53</v>
      </c>
      <c r="E25" s="116">
        <f>SUM('0040:4131'!E25)</f>
        <v>84.47</v>
      </c>
      <c r="F25" s="793">
        <f>'1461'!F25:G25</f>
        <v>5.992</v>
      </c>
      <c r="G25" s="793"/>
      <c r="H25" s="80">
        <f>SUM('1461:4131'!H25)</f>
        <v>497.15620000000001</v>
      </c>
      <c r="I25" s="101">
        <f>SUM('0040:4131'!I25)</f>
        <v>2808332.98</v>
      </c>
    </row>
    <row r="26" spans="1:10" x14ac:dyDescent="0.3">
      <c r="A26" s="776" t="s">
        <v>85</v>
      </c>
      <c r="B26" s="776"/>
      <c r="C26" s="143">
        <f>SUM('0040:4131'!C26)</f>
        <v>576.44999999999993</v>
      </c>
      <c r="D26" s="143">
        <f>SUM('0040:4131'!D26)</f>
        <v>552.8599999999999</v>
      </c>
      <c r="E26" s="116">
        <f>SUM('0040:4131'!E26)</f>
        <v>1129.31</v>
      </c>
      <c r="F26" s="793">
        <f>'1461'!F26:G26</f>
        <v>1.1919999999999999</v>
      </c>
      <c r="G26" s="793"/>
      <c r="H26" s="80">
        <f>SUM('1461:4131'!H26)</f>
        <v>1346.1374000000003</v>
      </c>
      <c r="I26" s="101">
        <f>SUM('0040:4131'!I26)</f>
        <v>7469021.8200000022</v>
      </c>
    </row>
    <row r="27" spans="1:10" x14ac:dyDescent="0.3">
      <c r="A27" s="776" t="s">
        <v>86</v>
      </c>
      <c r="B27" s="776"/>
      <c r="C27" s="143">
        <f>SUM('0040:4131'!C27)</f>
        <v>328.34999999999997</v>
      </c>
      <c r="D27" s="143">
        <f>SUM('0040:4131'!D27)</f>
        <v>315.97999999999996</v>
      </c>
      <c r="E27" s="116">
        <f>SUM('0040:4131'!E27)</f>
        <v>644.33000000000004</v>
      </c>
      <c r="F27" s="793">
        <f>'1461'!F27:G27</f>
        <v>1.1919999999999999</v>
      </c>
      <c r="G27" s="793"/>
      <c r="H27" s="80">
        <f>SUM('1461:4131'!H27)</f>
        <v>762.95169999999996</v>
      </c>
      <c r="I27" s="101">
        <f>SUM('0040:4131'!I27)</f>
        <v>4261465.9499999993</v>
      </c>
    </row>
    <row r="28" spans="1:10" x14ac:dyDescent="0.3">
      <c r="A28" s="776" t="s">
        <v>87</v>
      </c>
      <c r="B28" s="776"/>
      <c r="C28" s="143">
        <f>SUM('0040:4131'!C28)</f>
        <v>156.57999999999998</v>
      </c>
      <c r="D28" s="143">
        <f>SUM('0040:4131'!D28)</f>
        <v>159.26999999999998</v>
      </c>
      <c r="E28" s="116">
        <f>SUM('0040:4131'!E28)</f>
        <v>315.85000000000002</v>
      </c>
      <c r="F28" s="793">
        <f>'1461'!F28:G28</f>
        <v>1.1919999999999999</v>
      </c>
      <c r="G28" s="793"/>
      <c r="H28" s="80">
        <f>SUM('1461:4131'!H28)</f>
        <v>376.4932</v>
      </c>
      <c r="I28" s="101">
        <f>SUM('0040:4131'!I28)</f>
        <v>2088966.4899999998</v>
      </c>
    </row>
    <row r="29" spans="1:10" x14ac:dyDescent="0.3">
      <c r="A29" s="776" t="s">
        <v>88</v>
      </c>
      <c r="B29" s="776"/>
      <c r="C29" s="110">
        <f>SUM('0040:4131'!C29)</f>
        <v>286.93</v>
      </c>
      <c r="D29" s="110">
        <f>SUM('0040:4131'!D29)</f>
        <v>293.68000000000006</v>
      </c>
      <c r="E29" s="116">
        <f>SUM('0040:4131'!E29)</f>
        <v>580.61</v>
      </c>
      <c r="F29" s="793">
        <f>'1461'!F29:G29</f>
        <v>1.079</v>
      </c>
      <c r="G29" s="793"/>
      <c r="H29" s="93">
        <f>SUM('1461:4131'!H29)</f>
        <v>626.47820000000013</v>
      </c>
      <c r="I29" s="101">
        <f>SUM('0040:4131'!I29)</f>
        <v>3476004.2500000009</v>
      </c>
    </row>
    <row r="30" spans="1:10" x14ac:dyDescent="0.3">
      <c r="A30" s="794" t="s">
        <v>153</v>
      </c>
      <c r="B30" s="780"/>
      <c r="C30" s="111">
        <f>SUM(C14:C29)</f>
        <v>10891.49</v>
      </c>
      <c r="D30" s="111">
        <f>SUM(D14:D29)</f>
        <v>10905.710000000005</v>
      </c>
      <c r="E30" s="187">
        <f>SUM(E14:E29)</f>
        <v>21797.200000000004</v>
      </c>
      <c r="F30" s="795"/>
      <c r="G30" s="795"/>
      <c r="H30" s="145">
        <f>SUM(H14:H29)</f>
        <v>25250.973700000006</v>
      </c>
      <c r="I30" s="111">
        <f>SUM(I14:I29)</f>
        <v>140529290.77000001</v>
      </c>
    </row>
    <row r="31" spans="1:10" x14ac:dyDescent="0.3">
      <c r="A31" s="81" t="s">
        <v>154</v>
      </c>
      <c r="B31" s="156"/>
      <c r="C31" s="143">
        <f>Virtual!E22</f>
        <v>0</v>
      </c>
      <c r="D31" s="143">
        <f>Virtual!E23</f>
        <v>0</v>
      </c>
      <c r="E31" s="116">
        <f>IF(D$30=0,C31*2,C31+D31)</f>
        <v>0</v>
      </c>
      <c r="F31" s="793">
        <v>0.7</v>
      </c>
      <c r="G31" s="793"/>
      <c r="H31" s="80">
        <f t="shared" ref="H31" si="0">ROUND(E31*F31,4)</f>
        <v>0</v>
      </c>
      <c r="I31" s="101">
        <f>Virtual!E28</f>
        <v>0</v>
      </c>
    </row>
    <row r="32" spans="1:10" x14ac:dyDescent="0.3">
      <c r="A32" s="794" t="s">
        <v>155</v>
      </c>
      <c r="B32" s="780"/>
      <c r="C32" s="97">
        <f>SUM(C30:C31)</f>
        <v>10891.49</v>
      </c>
      <c r="D32" s="97">
        <f>SUM(D30:D31)</f>
        <v>10905.710000000005</v>
      </c>
      <c r="E32" s="97">
        <f>SUM(E30:E31)</f>
        <v>21797.200000000004</v>
      </c>
      <c r="F32" s="27"/>
      <c r="G32" s="27"/>
      <c r="H32" s="80"/>
      <c r="I32" s="97">
        <f>SUM(I30:I31)</f>
        <v>140529290.77000001</v>
      </c>
      <c r="J32" s="236">
        <f>I32+I68+I86+I91+I93+I95+I97+I99+I108+J115</f>
        <v>206756130.54000002</v>
      </c>
    </row>
    <row r="33" spans="1:9" x14ac:dyDescent="0.3">
      <c r="A33" s="26"/>
      <c r="B33" s="26"/>
      <c r="C33" s="101"/>
      <c r="D33" s="101"/>
      <c r="E33" s="101"/>
      <c r="F33" s="27"/>
      <c r="G33" s="27"/>
      <c r="H33" s="80"/>
      <c r="I33" s="101"/>
    </row>
    <row r="34" spans="1:9" x14ac:dyDescent="0.3">
      <c r="A34" s="146" t="s">
        <v>72</v>
      </c>
      <c r="B34" s="26"/>
      <c r="C34" s="101"/>
      <c r="D34" s="101"/>
      <c r="E34" s="101"/>
      <c r="F34" s="27"/>
      <c r="G34" s="27"/>
      <c r="H34" s="80"/>
      <c r="I34" s="101"/>
    </row>
    <row r="35" spans="1:9" hidden="1" x14ac:dyDescent="0.3">
      <c r="A35" s="146"/>
      <c r="B35" s="541"/>
      <c r="C35" s="101"/>
      <c r="D35" s="101"/>
      <c r="E35" s="101"/>
      <c r="F35" s="536"/>
      <c r="G35" s="536"/>
      <c r="H35" s="80"/>
      <c r="I35" s="101"/>
    </row>
    <row r="36" spans="1:9" hidden="1" x14ac:dyDescent="0.3">
      <c r="A36" s="3"/>
      <c r="B36" s="69"/>
      <c r="C36" s="69"/>
      <c r="D36" s="69"/>
      <c r="E36" s="69"/>
      <c r="F36" s="69"/>
      <c r="G36" s="69"/>
      <c r="H36" s="69"/>
      <c r="I36" s="336" t="s">
        <v>321</v>
      </c>
    </row>
    <row r="37" spans="1:9" hidden="1" x14ac:dyDescent="0.3">
      <c r="A37" s="26"/>
      <c r="B37" s="26"/>
      <c r="C37" s="88" t="str">
        <f>C11</f>
        <v>Oct 2024</v>
      </c>
      <c r="D37" s="88" t="str">
        <f>D11</f>
        <v>Feb 2025</v>
      </c>
      <c r="E37" s="89" t="s">
        <v>8</v>
      </c>
      <c r="F37" s="27"/>
      <c r="G37" s="27"/>
      <c r="H37" s="104"/>
      <c r="I37" s="24" t="s">
        <v>27</v>
      </c>
    </row>
    <row r="38" spans="1:9" hidden="1" x14ac:dyDescent="0.3">
      <c r="A38" s="796" t="s">
        <v>50</v>
      </c>
      <c r="B38" s="796"/>
      <c r="C38" s="339" t="s">
        <v>2</v>
      </c>
      <c r="D38" s="339" t="s">
        <v>2</v>
      </c>
      <c r="E38" s="90" t="s">
        <v>2</v>
      </c>
      <c r="F38" s="105"/>
      <c r="G38" s="105"/>
      <c r="H38" s="105"/>
      <c r="I38" s="31" t="s">
        <v>62</v>
      </c>
    </row>
    <row r="39" spans="1:9" hidden="1" x14ac:dyDescent="0.3">
      <c r="A39" s="797" t="s">
        <v>45</v>
      </c>
      <c r="B39" s="797"/>
      <c r="C39" s="147">
        <f>SUM('1461:4111'!C38)</f>
        <v>0</v>
      </c>
      <c r="D39" s="147">
        <f>SUM('1461:4111'!D38)</f>
        <v>0</v>
      </c>
      <c r="E39" s="187">
        <f>SUM('1461:4111'!E38)</f>
        <v>0</v>
      </c>
      <c r="F39" s="148"/>
      <c r="G39" s="148"/>
      <c r="H39" s="148"/>
      <c r="I39" s="111">
        <f>SUM('1461:4111'!I38)</f>
        <v>0</v>
      </c>
    </row>
    <row r="40" spans="1:9" hidden="1" x14ac:dyDescent="0.3">
      <c r="A40" s="776" t="s">
        <v>46</v>
      </c>
      <c r="B40" s="776"/>
      <c r="C40" s="150">
        <f>SUM('1461:4111'!C39)</f>
        <v>0</v>
      </c>
      <c r="D40" s="150">
        <f>SUM('1461:4111'!D39)</f>
        <v>0</v>
      </c>
      <c r="E40" s="116">
        <f>SUM('1461:4111'!E39)</f>
        <v>0</v>
      </c>
      <c r="F40" s="151"/>
      <c r="G40" s="151"/>
      <c r="H40" s="151"/>
      <c r="I40" s="101">
        <f>SUM('1461:4111'!I39)</f>
        <v>0</v>
      </c>
    </row>
    <row r="41" spans="1:9" hidden="1" x14ac:dyDescent="0.3">
      <c r="A41" s="783" t="s">
        <v>47</v>
      </c>
      <c r="B41" s="783"/>
      <c r="C41" s="150">
        <f>SUM('1461:4111'!C40)</f>
        <v>0</v>
      </c>
      <c r="D41" s="150">
        <f>SUM('1461:4111'!D40)</f>
        <v>0</v>
      </c>
      <c r="E41" s="116">
        <f>SUM('1461:4111'!E40)</f>
        <v>0</v>
      </c>
      <c r="F41" s="151"/>
      <c r="G41" s="151"/>
      <c r="H41" s="151"/>
      <c r="I41" s="101">
        <f>SUM('1461:4111'!I40)</f>
        <v>0</v>
      </c>
    </row>
    <row r="42" spans="1:9" hidden="1" x14ac:dyDescent="0.3">
      <c r="A42" s="776" t="s">
        <v>48</v>
      </c>
      <c r="B42" s="776"/>
      <c r="C42" s="150">
        <f>SUM('1461:4111'!C41)</f>
        <v>0</v>
      </c>
      <c r="D42" s="150">
        <f>SUM('1461:4111'!D41)</f>
        <v>0</v>
      </c>
      <c r="E42" s="116">
        <f>SUM('1461:4111'!E41)</f>
        <v>0</v>
      </c>
      <c r="F42" s="151"/>
      <c r="G42" s="151"/>
      <c r="H42" s="151"/>
      <c r="I42" s="101">
        <f>SUM('1461:4111'!I41)</f>
        <v>0</v>
      </c>
    </row>
    <row r="43" spans="1:9" hidden="1" x14ac:dyDescent="0.3">
      <c r="A43" s="776" t="s">
        <v>49</v>
      </c>
      <c r="B43" s="776"/>
      <c r="C43" s="150">
        <f>SUM('1461:4111'!C42)</f>
        <v>0</v>
      </c>
      <c r="D43" s="150">
        <f>SUM('1461:4111'!D42)</f>
        <v>0</v>
      </c>
      <c r="E43" s="116">
        <f>SUM('1461:4111'!E42)</f>
        <v>0</v>
      </c>
      <c r="F43" s="151"/>
      <c r="G43" s="151"/>
      <c r="H43" s="151"/>
      <c r="I43" s="101">
        <f>SUM('1461:4111'!I42)</f>
        <v>0</v>
      </c>
    </row>
    <row r="44" spans="1:9" hidden="1" x14ac:dyDescent="0.3">
      <c r="A44" s="776" t="s">
        <v>41</v>
      </c>
      <c r="B44" s="776"/>
      <c r="C44" s="149">
        <f>SUM('1461:4111'!C43)</f>
        <v>0</v>
      </c>
      <c r="D44" s="149">
        <f>SUM('1461:4111'!D43)</f>
        <v>0</v>
      </c>
      <c r="E44" s="154">
        <f>SUM('1461:4111'!E43)</f>
        <v>0</v>
      </c>
      <c r="F44" s="151"/>
      <c r="G44" s="151"/>
      <c r="H44" s="151"/>
      <c r="I44" s="94">
        <f>SUM('1461:4111'!I43)</f>
        <v>0</v>
      </c>
    </row>
    <row r="45" spans="1:9" hidden="1" x14ac:dyDescent="0.3">
      <c r="A45" s="3"/>
      <c r="B45" s="52" t="s">
        <v>95</v>
      </c>
      <c r="C45" s="97">
        <f>SUM(C39:C44)</f>
        <v>0</v>
      </c>
      <c r="D45" s="97">
        <f>SUM(D39:D44)</f>
        <v>0</v>
      </c>
      <c r="E45" s="97">
        <f>SUM(E39:E44)</f>
        <v>0</v>
      </c>
      <c r="F45" s="32"/>
      <c r="G45" s="106"/>
      <c r="H45" s="107" t="s">
        <v>97</v>
      </c>
      <c r="I45" s="97">
        <f>SUM(I39:I44)</f>
        <v>0</v>
      </c>
    </row>
    <row r="46" spans="1:9" hidden="1" x14ac:dyDescent="0.3">
      <c r="A46" s="3"/>
      <c r="B46" s="52"/>
      <c r="C46" s="101"/>
      <c r="D46" s="101"/>
      <c r="E46" s="111"/>
      <c r="F46" s="32"/>
      <c r="G46" s="106"/>
      <c r="H46" s="107"/>
      <c r="I46" s="101"/>
    </row>
    <row r="47" spans="1:9" ht="16.2" hidden="1" thickBot="1" x14ac:dyDescent="0.35">
      <c r="A47" s="3"/>
      <c r="B47" s="52" t="s">
        <v>96</v>
      </c>
      <c r="E47" s="152">
        <f>H30+E45</f>
        <v>25250.973700000006</v>
      </c>
      <c r="F47" s="34"/>
      <c r="G47" s="106"/>
      <c r="H47" s="107" t="s">
        <v>98</v>
      </c>
      <c r="I47" s="94">
        <f>SUM(I45,I32)</f>
        <v>140529290.77000001</v>
      </c>
    </row>
    <row r="48" spans="1:9" ht="16.2" hidden="1" thickTop="1" x14ac:dyDescent="0.3">
      <c r="A48" s="26"/>
      <c r="B48" s="26"/>
      <c r="C48" s="26"/>
      <c r="D48" s="26"/>
      <c r="E48" s="26"/>
      <c r="F48" s="34"/>
      <c r="G48" s="27"/>
      <c r="H48" s="27"/>
      <c r="I48" s="101"/>
    </row>
    <row r="49" spans="1:9" x14ac:dyDescent="0.3">
      <c r="A49" s="26"/>
      <c r="B49" s="26"/>
      <c r="C49" s="26"/>
      <c r="D49" s="26"/>
      <c r="E49" s="26"/>
      <c r="F49" s="34"/>
      <c r="G49" s="27"/>
      <c r="H49" s="27"/>
      <c r="I49" s="101"/>
    </row>
    <row r="50" spans="1:9" x14ac:dyDescent="0.3">
      <c r="A50" s="81" t="s">
        <v>458</v>
      </c>
      <c r="B50" s="26"/>
      <c r="C50" s="26"/>
      <c r="D50" s="26"/>
      <c r="E50" s="26"/>
      <c r="F50" s="34"/>
      <c r="G50" s="27"/>
      <c r="H50" s="27"/>
      <c r="I50" s="101"/>
    </row>
    <row r="51" spans="1:9" s="442" customFormat="1" ht="9" customHeight="1" x14ac:dyDescent="0.25">
      <c r="A51" s="441" t="s">
        <v>459</v>
      </c>
      <c r="F51" s="443"/>
      <c r="G51" s="444"/>
      <c r="H51" s="444"/>
      <c r="I51" s="445"/>
    </row>
    <row r="52" spans="1:9" s="442" customFormat="1" ht="11.25" customHeight="1" x14ac:dyDescent="0.25">
      <c r="A52" s="449" t="s">
        <v>460</v>
      </c>
      <c r="F52" s="443"/>
      <c r="G52" s="444"/>
      <c r="H52" s="444"/>
      <c r="I52" s="445"/>
    </row>
    <row r="53" spans="1:9" x14ac:dyDescent="0.3">
      <c r="A53" s="440"/>
      <c r="B53" s="3" t="s">
        <v>576</v>
      </c>
      <c r="C53" s="26"/>
      <c r="D53" s="26"/>
      <c r="E53" s="43" t="s">
        <v>461</v>
      </c>
      <c r="F53" s="451">
        <f>SUM('1461:4131'!F51)</f>
        <v>141249911.19000006</v>
      </c>
      <c r="G53" s="109" t="s">
        <v>6</v>
      </c>
      <c r="H53" s="452">
        <f>'1461'!H51</f>
        <v>5.5899999999999998E-2</v>
      </c>
      <c r="I53" s="101">
        <f>SUM('0040:4131'!I51)</f>
        <v>7868130.7999999998</v>
      </c>
    </row>
    <row r="54" spans="1:9" x14ac:dyDescent="0.3">
      <c r="A54" s="26"/>
      <c r="B54" s="617" t="s">
        <v>579</v>
      </c>
      <c r="C54" s="26"/>
      <c r="D54" s="26"/>
      <c r="E54" s="43" t="s">
        <v>461</v>
      </c>
      <c r="F54" s="451">
        <f>SUM('1461:4131'!F52)</f>
        <v>141249911.19000006</v>
      </c>
      <c r="G54" s="109" t="s">
        <v>6</v>
      </c>
      <c r="H54" s="452">
        <f>'1461'!H52</f>
        <v>1.0699999999999999E-2</v>
      </c>
      <c r="I54" s="94">
        <f>SUM('0040:4131'!I52)</f>
        <v>1506064.3900000004</v>
      </c>
    </row>
    <row r="55" spans="1:9" x14ac:dyDescent="0.3">
      <c r="A55" s="26"/>
      <c r="B55" s="81" t="s">
        <v>462</v>
      </c>
      <c r="C55" s="26"/>
      <c r="D55" s="26"/>
      <c r="E55" s="43"/>
      <c r="F55" s="451"/>
      <c r="G55" s="109"/>
      <c r="H55" s="452"/>
      <c r="I55" s="97">
        <f>SUM(I53:I54)</f>
        <v>9374195.1899999995</v>
      </c>
    </row>
    <row r="56" spans="1:9" x14ac:dyDescent="0.3">
      <c r="A56" s="26"/>
      <c r="B56" s="26"/>
      <c r="C56" s="26"/>
      <c r="D56" s="26"/>
      <c r="E56" s="26"/>
      <c r="F56" s="34"/>
      <c r="G56" s="27"/>
      <c r="H56" s="27"/>
      <c r="I56" s="101"/>
    </row>
    <row r="57" spans="1:9" x14ac:dyDescent="0.3">
      <c r="A57" s="541"/>
      <c r="B57" s="541"/>
      <c r="C57" s="88" t="str">
        <f>C11</f>
        <v>Oct 2024</v>
      </c>
      <c r="D57" s="348" t="str">
        <f t="shared" ref="D57:D58" si="1">D11</f>
        <v>Feb 2025</v>
      </c>
      <c r="E57" s="89" t="s">
        <v>8</v>
      </c>
      <c r="F57" s="46" t="s">
        <v>499</v>
      </c>
      <c r="G57" s="109" t="s">
        <v>500</v>
      </c>
      <c r="H57" s="504" t="s">
        <v>501</v>
      </c>
      <c r="I57" s="101"/>
    </row>
    <row r="58" spans="1:9" x14ac:dyDescent="0.3">
      <c r="A58" s="36" t="s">
        <v>502</v>
      </c>
      <c r="B58" s="36"/>
      <c r="C58" s="339" t="str">
        <f t="shared" ref="C58" si="2">C12</f>
        <v>FTE</v>
      </c>
      <c r="D58" s="339" t="str">
        <f t="shared" si="1"/>
        <v>FTE</v>
      </c>
      <c r="E58" s="90" t="s">
        <v>2</v>
      </c>
      <c r="F58" s="534" t="s">
        <v>503</v>
      </c>
      <c r="G58" s="537" t="s">
        <v>503</v>
      </c>
      <c r="H58" s="505" t="s">
        <v>504</v>
      </c>
      <c r="I58" s="36"/>
    </row>
    <row r="59" spans="1:9" ht="15.75" customHeight="1" x14ac:dyDescent="0.3">
      <c r="A59" s="791" t="s">
        <v>506</v>
      </c>
      <c r="B59" s="791"/>
      <c r="C59" s="143">
        <f>SUM('0040:4131'!C57)</f>
        <v>229.09</v>
      </c>
      <c r="D59" s="143">
        <f>SUM('0040:4131'!D57)</f>
        <v>246.36000000000004</v>
      </c>
      <c r="E59" s="116">
        <f>SUM('0040:4131'!E57)</f>
        <v>475.45000000000005</v>
      </c>
      <c r="F59" s="539" t="s">
        <v>498</v>
      </c>
      <c r="G59" s="539">
        <v>251</v>
      </c>
      <c r="H59" s="507">
        <f>'1461'!H57</f>
        <v>1047</v>
      </c>
      <c r="I59" s="101">
        <f>SUM('0040:4131'!I57)</f>
        <v>497796.14999999991</v>
      </c>
    </row>
    <row r="60" spans="1:9" x14ac:dyDescent="0.3">
      <c r="A60" s="792"/>
      <c r="B60" s="792"/>
      <c r="C60" s="143">
        <f>SUM('0040:4131'!C58)</f>
        <v>50.03</v>
      </c>
      <c r="D60" s="143">
        <f>SUM('0040:4131'!D58)</f>
        <v>53.790000000000006</v>
      </c>
      <c r="E60" s="116">
        <f>SUM('0040:4131'!E58)</f>
        <v>103.82000000000001</v>
      </c>
      <c r="F60" s="539" t="s">
        <v>498</v>
      </c>
      <c r="G60" s="539">
        <v>252</v>
      </c>
      <c r="H60" s="507">
        <f>'1461'!H58</f>
        <v>3380</v>
      </c>
      <c r="I60" s="101">
        <f>SUM('0040:4131'!I58)</f>
        <v>350911.6</v>
      </c>
    </row>
    <row r="61" spans="1:9" x14ac:dyDescent="0.3">
      <c r="A61" s="792"/>
      <c r="B61" s="792"/>
      <c r="C61" s="143">
        <f>SUM('0040:4131'!C59)</f>
        <v>16.53</v>
      </c>
      <c r="D61" s="143">
        <f>SUM('0040:4131'!D59)</f>
        <v>13.609999999999998</v>
      </c>
      <c r="E61" s="116">
        <f>SUM('0040:4131'!E59)</f>
        <v>30.140000000000004</v>
      </c>
      <c r="F61" s="539" t="s">
        <v>498</v>
      </c>
      <c r="G61" s="539">
        <v>253</v>
      </c>
      <c r="H61" s="507">
        <f>'1461'!H59</f>
        <v>6896</v>
      </c>
      <c r="I61" s="101">
        <f>SUM('0040:4131'!I59)</f>
        <v>207845.43999999997</v>
      </c>
    </row>
    <row r="62" spans="1:9" x14ac:dyDescent="0.3">
      <c r="A62" s="792"/>
      <c r="B62" s="792"/>
      <c r="C62" s="143">
        <f>SUM('0040:4131'!C60)</f>
        <v>517.53</v>
      </c>
      <c r="D62" s="143">
        <f>SUM('0040:4131'!D60)</f>
        <v>529.30999999999995</v>
      </c>
      <c r="E62" s="116">
        <f>SUM('0040:4131'!E60)</f>
        <v>1046.8400000000001</v>
      </c>
      <c r="F62" s="540" t="s">
        <v>13</v>
      </c>
      <c r="G62" s="539">
        <v>251</v>
      </c>
      <c r="H62" s="507">
        <f>'1461'!H60</f>
        <v>1173</v>
      </c>
      <c r="I62" s="101">
        <f>SUM('0040:4131'!I60)</f>
        <v>1227943.32</v>
      </c>
    </row>
    <row r="63" spans="1:9" x14ac:dyDescent="0.3">
      <c r="A63" s="792"/>
      <c r="B63" s="792"/>
      <c r="C63" s="143">
        <f>SUM('0040:4131'!C61)</f>
        <v>65</v>
      </c>
      <c r="D63" s="143">
        <f>SUM('0040:4131'!D61)</f>
        <v>64.25</v>
      </c>
      <c r="E63" s="116">
        <f>SUM('0040:4131'!E61)</f>
        <v>129.25</v>
      </c>
      <c r="F63" s="540" t="s">
        <v>13</v>
      </c>
      <c r="G63" s="539">
        <v>252</v>
      </c>
      <c r="H63" s="507">
        <f>'1461'!H61</f>
        <v>3506</v>
      </c>
      <c r="I63" s="101">
        <f>SUM('0040:4131'!I61)</f>
        <v>453150.49999999988</v>
      </c>
    </row>
    <row r="64" spans="1:9" x14ac:dyDescent="0.3">
      <c r="A64" s="792"/>
      <c r="B64" s="792"/>
      <c r="C64" s="143">
        <f>SUM('0040:4131'!C62)</f>
        <v>12.94</v>
      </c>
      <c r="D64" s="143">
        <f>SUM('0040:4131'!D62)</f>
        <v>11.17</v>
      </c>
      <c r="E64" s="116">
        <f>SUM('0040:4131'!E62)</f>
        <v>24.11</v>
      </c>
      <c r="F64" s="540" t="s">
        <v>13</v>
      </c>
      <c r="G64" s="539">
        <v>253</v>
      </c>
      <c r="H64" s="507">
        <f>'1461'!H62</f>
        <v>7023</v>
      </c>
      <c r="I64" s="101">
        <f>SUM('0040:4131'!I62)</f>
        <v>169324.53</v>
      </c>
    </row>
    <row r="65" spans="1:9" x14ac:dyDescent="0.3">
      <c r="A65" s="792"/>
      <c r="B65" s="792"/>
      <c r="C65" s="143">
        <f>SUM('0040:4131'!C63)</f>
        <v>430.46999999999997</v>
      </c>
      <c r="D65" s="143">
        <f>SUM('0040:4131'!D63)</f>
        <v>436.78999999999996</v>
      </c>
      <c r="E65" s="116">
        <f>SUM('0040:4131'!E63)</f>
        <v>867.26</v>
      </c>
      <c r="F65" s="540" t="s">
        <v>14</v>
      </c>
      <c r="G65" s="539">
        <v>251</v>
      </c>
      <c r="H65" s="507">
        <f>'1461'!H63</f>
        <v>835</v>
      </c>
      <c r="I65" s="101">
        <f>SUM('0040:4131'!I63)</f>
        <v>724162.1</v>
      </c>
    </row>
    <row r="66" spans="1:9" x14ac:dyDescent="0.3">
      <c r="A66" s="792"/>
      <c r="B66" s="792"/>
      <c r="C66" s="143">
        <f>SUM('0040:4131'!C64)</f>
        <v>80.77000000000001</v>
      </c>
      <c r="D66" s="143">
        <f>SUM('0040:4131'!D64)</f>
        <v>84.22</v>
      </c>
      <c r="E66" s="116">
        <f>SUM('0040:4131'!E64)</f>
        <v>164.99000000000004</v>
      </c>
      <c r="F66" s="540" t="s">
        <v>14</v>
      </c>
      <c r="G66" s="539">
        <v>252</v>
      </c>
      <c r="H66" s="507">
        <f>'1461'!H64</f>
        <v>3168</v>
      </c>
      <c r="I66" s="101">
        <f>SUM('0040:4131'!I64)</f>
        <v>522688.31999999989</v>
      </c>
    </row>
    <row r="67" spans="1:9" x14ac:dyDescent="0.3">
      <c r="A67" s="792"/>
      <c r="B67" s="792"/>
      <c r="C67" s="143">
        <f>SUM('0040:4131'!C65)</f>
        <v>115.15</v>
      </c>
      <c r="D67" s="143">
        <f>SUM('0040:4131'!D65)</f>
        <v>114.26000000000002</v>
      </c>
      <c r="E67" s="116">
        <f>SUM('0040:4131'!E65)</f>
        <v>229.41000000000003</v>
      </c>
      <c r="F67" s="540" t="s">
        <v>14</v>
      </c>
      <c r="G67" s="539">
        <v>253</v>
      </c>
      <c r="H67" s="507">
        <f>'1461'!H65</f>
        <v>6685</v>
      </c>
      <c r="I67" s="101">
        <f>SUM('0040:4131'!I65)</f>
        <v>1533605.85</v>
      </c>
    </row>
    <row r="68" spans="1:9" x14ac:dyDescent="0.3">
      <c r="A68" s="535"/>
      <c r="C68" s="97">
        <f>SUM(C59:C67)</f>
        <v>1517.51</v>
      </c>
      <c r="D68" s="97">
        <f>SUM(D59:D67)</f>
        <v>1553.7599999999998</v>
      </c>
      <c r="E68" s="97">
        <f>SUM(E59:E67)</f>
        <v>3071.27</v>
      </c>
      <c r="F68" s="779" t="s">
        <v>507</v>
      </c>
      <c r="G68" s="779"/>
      <c r="H68" s="779"/>
      <c r="I68" s="97">
        <f>SUM(I59:I67)</f>
        <v>5687427.8099999996</v>
      </c>
    </row>
    <row r="69" spans="1:9" x14ac:dyDescent="0.3">
      <c r="A69" s="541"/>
      <c r="B69" s="541"/>
      <c r="C69" s="597"/>
      <c r="D69" s="541"/>
      <c r="E69" s="541"/>
      <c r="F69" s="34"/>
      <c r="G69" s="536"/>
      <c r="H69" s="536"/>
      <c r="I69" s="101"/>
    </row>
    <row r="70" spans="1:9" x14ac:dyDescent="0.3">
      <c r="A70" s="538" t="s">
        <v>509</v>
      </c>
    </row>
    <row r="71" spans="1:9" x14ac:dyDescent="0.3">
      <c r="A71" s="775" t="s">
        <v>463</v>
      </c>
      <c r="B71" s="776"/>
      <c r="C71" s="112">
        <f>SUM('0040:4131'!C69)</f>
        <v>21797.199999999993</v>
      </c>
      <c r="D71" s="789" t="s">
        <v>474</v>
      </c>
      <c r="E71" s="789"/>
      <c r="F71" s="789"/>
      <c r="G71" s="789"/>
      <c r="H71" s="287">
        <f>'1461'!H69</f>
        <v>210166.87</v>
      </c>
      <c r="I71" s="113"/>
    </row>
    <row r="72" spans="1:9" x14ac:dyDescent="0.3">
      <c r="B72" s="69"/>
      <c r="G72" s="42" t="s">
        <v>12</v>
      </c>
      <c r="H72" s="114">
        <f>ROUND(C71/H71,6)</f>
        <v>0.103714</v>
      </c>
      <c r="I72" s="115"/>
    </row>
    <row r="73" spans="1:9" x14ac:dyDescent="0.3">
      <c r="A73" s="538" t="s">
        <v>510</v>
      </c>
    </row>
    <row r="74" spans="1:9" x14ac:dyDescent="0.3">
      <c r="A74" s="775" t="s">
        <v>464</v>
      </c>
      <c r="B74" s="776"/>
      <c r="C74" s="733">
        <f>SUM('0040:4131'!C72)</f>
        <v>25327.511299999998</v>
      </c>
      <c r="D74" s="789" t="s">
        <v>475</v>
      </c>
      <c r="E74" s="789"/>
      <c r="F74" s="789"/>
      <c r="G74" s="789"/>
      <c r="H74" s="288">
        <f>'1461'!H72</f>
        <v>237198.6</v>
      </c>
      <c r="I74" s="116"/>
    </row>
    <row r="75" spans="1:9" x14ac:dyDescent="0.3">
      <c r="G75" s="42" t="s">
        <v>12</v>
      </c>
      <c r="H75" s="114">
        <f>ROUND(C74/H74,6)</f>
        <v>0.106778</v>
      </c>
      <c r="I75" s="114"/>
    </row>
    <row r="76" spans="1:9" x14ac:dyDescent="0.3">
      <c r="A76" s="467" t="s">
        <v>511</v>
      </c>
      <c r="B76" s="464"/>
      <c r="C76" s="464"/>
      <c r="D76" s="464"/>
      <c r="E76" s="464"/>
      <c r="F76" s="464"/>
      <c r="G76" s="464"/>
      <c r="H76" s="464"/>
      <c r="I76" s="464"/>
    </row>
    <row r="77" spans="1:9" x14ac:dyDescent="0.3">
      <c r="A77" s="775" t="s">
        <v>465</v>
      </c>
      <c r="B77" s="776"/>
      <c r="C77" s="112">
        <f>SUM('0040:4131'!C75)</f>
        <v>21797.199999999993</v>
      </c>
      <c r="D77" s="788" t="s">
        <v>476</v>
      </c>
      <c r="E77" s="788"/>
      <c r="F77" s="788"/>
      <c r="G77" s="788"/>
      <c r="H77" s="287">
        <f>'1461'!H75</f>
        <v>185588.37</v>
      </c>
      <c r="I77" s="113"/>
    </row>
    <row r="78" spans="1:9" x14ac:dyDescent="0.3">
      <c r="B78" s="69"/>
      <c r="G78" s="42" t="s">
        <v>12</v>
      </c>
      <c r="H78" s="114">
        <f>ROUND(C77/H77,6)</f>
        <v>0.117449</v>
      </c>
      <c r="I78" s="115"/>
    </row>
    <row r="79" spans="1:9" x14ac:dyDescent="0.3">
      <c r="A79" s="467" t="s">
        <v>512</v>
      </c>
      <c r="B79" s="464"/>
      <c r="C79" s="464"/>
      <c r="D79" s="464"/>
      <c r="E79" s="464"/>
      <c r="F79" s="464"/>
      <c r="G79" s="464"/>
      <c r="H79" s="464"/>
      <c r="I79" s="464"/>
    </row>
    <row r="80" spans="1:9" x14ac:dyDescent="0.3">
      <c r="A80" s="775" t="s">
        <v>465</v>
      </c>
      <c r="B80" s="776"/>
      <c r="C80" s="112">
        <f>SUM('0040:4131'!C78)</f>
        <v>21797.199999999993</v>
      </c>
      <c r="D80" s="784" t="s">
        <v>477</v>
      </c>
      <c r="E80" s="784"/>
      <c r="F80" s="784"/>
      <c r="G80" s="784"/>
      <c r="H80" s="287">
        <f>'1461'!H78</f>
        <v>209834.86</v>
      </c>
      <c r="I80" s="113"/>
    </row>
    <row r="81" spans="1:11" x14ac:dyDescent="0.3">
      <c r="B81" s="69"/>
      <c r="G81" s="42" t="s">
        <v>12</v>
      </c>
      <c r="H81" s="114">
        <f>ROUND(C80/H80,6)</f>
        <v>0.103878</v>
      </c>
      <c r="I81" s="115"/>
    </row>
    <row r="82" spans="1:11" x14ac:dyDescent="0.3">
      <c r="A82" s="467" t="s">
        <v>513</v>
      </c>
      <c r="B82" s="464"/>
      <c r="C82" s="464"/>
      <c r="D82" s="464"/>
      <c r="E82" s="464"/>
      <c r="F82" s="464"/>
      <c r="G82" s="464"/>
      <c r="H82" s="464"/>
      <c r="I82" s="464"/>
    </row>
    <row r="83" spans="1:11" x14ac:dyDescent="0.3">
      <c r="A83" s="775" t="s">
        <v>473</v>
      </c>
      <c r="B83" s="776"/>
      <c r="C83" s="112">
        <f>SUM('0040:4131'!C81)</f>
        <v>21797.199999999993</v>
      </c>
      <c r="D83" s="788" t="s">
        <v>478</v>
      </c>
      <c r="E83" s="788"/>
      <c r="F83" s="788"/>
      <c r="G83" s="788"/>
      <c r="H83" s="287">
        <f>'1461'!H81</f>
        <v>185256.36</v>
      </c>
      <c r="I83" s="113"/>
    </row>
    <row r="84" spans="1:11" x14ac:dyDescent="0.3">
      <c r="B84" s="69"/>
      <c r="G84" s="42" t="s">
        <v>12</v>
      </c>
      <c r="H84" s="114">
        <f>ROUND(C83/H83,6)</f>
        <v>0.11766</v>
      </c>
      <c r="I84" s="115"/>
    </row>
    <row r="85" spans="1:11" x14ac:dyDescent="0.3">
      <c r="A85" s="241"/>
      <c r="G85" s="42"/>
      <c r="H85" s="114"/>
      <c r="I85" s="114"/>
    </row>
    <row r="86" spans="1:11" x14ac:dyDescent="0.3">
      <c r="A86" s="538" t="s">
        <v>514</v>
      </c>
      <c r="D86" s="69"/>
      <c r="E86" s="43" t="s">
        <v>316</v>
      </c>
      <c r="F86" s="289">
        <f>'1461'!F85</f>
        <v>46151079</v>
      </c>
      <c r="G86" s="37" t="s">
        <v>6</v>
      </c>
      <c r="H86" s="472">
        <f>H81</f>
        <v>0.103878</v>
      </c>
      <c r="I86" s="746">
        <f>SUM('0040:4131'!I85)</f>
        <v>4794081.7700000005</v>
      </c>
      <c r="K86" s="236"/>
    </row>
    <row r="87" spans="1:11" x14ac:dyDescent="0.3">
      <c r="A87" s="450"/>
      <c r="D87" s="69"/>
      <c r="E87" s="43"/>
      <c r="F87" s="275"/>
      <c r="G87" s="37"/>
      <c r="H87" s="472"/>
      <c r="I87" s="101"/>
    </row>
    <row r="88" spans="1:11" x14ac:dyDescent="0.3">
      <c r="A88" s="790" t="s">
        <v>71</v>
      </c>
      <c r="B88" s="776"/>
      <c r="C88" s="776"/>
      <c r="D88" s="69"/>
      <c r="E88" s="43"/>
      <c r="F88" s="275"/>
      <c r="G88" s="37"/>
      <c r="H88" s="472"/>
      <c r="I88" s="101"/>
    </row>
    <row r="89" spans="1:11" ht="15.75" customHeight="1" x14ac:dyDescent="0.3">
      <c r="A89" s="790" t="s">
        <v>99</v>
      </c>
      <c r="B89" s="776"/>
      <c r="C89" s="776"/>
      <c r="D89" s="69"/>
      <c r="E89" s="43" t="s">
        <v>3</v>
      </c>
      <c r="F89" s="289">
        <f>'1461'!F88</f>
        <v>0</v>
      </c>
      <c r="G89" s="37" t="s">
        <v>6</v>
      </c>
      <c r="H89" s="472">
        <f>H72</f>
        <v>0.103714</v>
      </c>
      <c r="I89" s="101">
        <f>SUM('0040:4131'!I88)</f>
        <v>0</v>
      </c>
    </row>
    <row r="90" spans="1:11" ht="15.75" customHeight="1" x14ac:dyDescent="0.3">
      <c r="A90" s="481"/>
      <c r="B90" s="69"/>
      <c r="C90" s="69"/>
      <c r="D90" s="69"/>
      <c r="E90" s="43"/>
      <c r="F90" s="275"/>
      <c r="G90" s="37"/>
      <c r="H90" s="472"/>
      <c r="I90" s="101"/>
    </row>
    <row r="91" spans="1:11" x14ac:dyDescent="0.3">
      <c r="A91" s="538" t="s">
        <v>515</v>
      </c>
      <c r="D91" s="69"/>
      <c r="E91" s="43" t="s">
        <v>481</v>
      </c>
      <c r="F91" s="289">
        <f>'1461'!F90</f>
        <v>19094340</v>
      </c>
      <c r="G91" s="37" t="s">
        <v>6</v>
      </c>
      <c r="H91" s="472">
        <f>H84</f>
        <v>0.11766</v>
      </c>
      <c r="I91" s="746">
        <f>SUM('0040:4131'!I90)</f>
        <v>2246678.2399999998</v>
      </c>
    </row>
    <row r="92" spans="1:11" x14ac:dyDescent="0.3">
      <c r="A92" s="450"/>
      <c r="D92" s="69"/>
      <c r="E92" s="43"/>
      <c r="F92" s="275"/>
      <c r="G92" s="37"/>
      <c r="H92" s="472"/>
      <c r="I92" s="101"/>
    </row>
    <row r="93" spans="1:11" x14ac:dyDescent="0.3">
      <c r="A93" s="538" t="s">
        <v>516</v>
      </c>
      <c r="D93" s="69"/>
      <c r="E93" s="43" t="s">
        <v>3</v>
      </c>
      <c r="F93" s="289">
        <f>'1461'!F92</f>
        <v>11461928</v>
      </c>
      <c r="G93" s="37" t="s">
        <v>6</v>
      </c>
      <c r="H93" s="472">
        <f>H78</f>
        <v>0.117449</v>
      </c>
      <c r="I93" s="746">
        <f>SUM('0040:4131'!I92)</f>
        <v>1346214.9400000002</v>
      </c>
    </row>
    <row r="94" spans="1:11" x14ac:dyDescent="0.3">
      <c r="A94" s="81"/>
      <c r="D94" s="69"/>
      <c r="E94" s="43"/>
      <c r="F94" s="116"/>
      <c r="G94" s="37"/>
      <c r="H94" s="468"/>
      <c r="I94" s="101"/>
    </row>
    <row r="95" spans="1:11" x14ac:dyDescent="0.3">
      <c r="A95" s="775" t="s">
        <v>482</v>
      </c>
      <c r="B95" s="776"/>
      <c r="C95" s="776"/>
      <c r="D95" s="69"/>
      <c r="E95" s="43" t="s">
        <v>4</v>
      </c>
      <c r="F95" s="289">
        <f>'1461'!F94</f>
        <v>255756816</v>
      </c>
      <c r="G95" s="37" t="s">
        <v>6</v>
      </c>
      <c r="H95" s="472">
        <f>H75</f>
        <v>0.106778</v>
      </c>
      <c r="I95" s="101">
        <f>SUM('0040:4131'!I94)</f>
        <v>27308945.539999999</v>
      </c>
    </row>
    <row r="96" spans="1:11" x14ac:dyDescent="0.3">
      <c r="A96" s="81"/>
      <c r="B96" s="69"/>
      <c r="C96" s="69"/>
      <c r="D96" s="69"/>
      <c r="E96" s="43"/>
      <c r="F96" s="275"/>
      <c r="G96" s="37"/>
      <c r="H96" s="472"/>
      <c r="I96" s="101">
        <f>SUM('0040:4131'!I95)</f>
        <v>0</v>
      </c>
    </row>
    <row r="97" spans="1:9" x14ac:dyDescent="0.3">
      <c r="A97" s="775" t="s">
        <v>483</v>
      </c>
      <c r="B97" s="776"/>
      <c r="C97" s="776"/>
      <c r="D97" s="69"/>
      <c r="E97" s="43" t="s">
        <v>4</v>
      </c>
      <c r="F97" s="289">
        <f>'1461'!F96</f>
        <v>-16705366</v>
      </c>
      <c r="G97" s="37" t="s">
        <v>6</v>
      </c>
      <c r="H97" s="472">
        <f>H75</f>
        <v>0.106778</v>
      </c>
      <c r="I97" s="101">
        <f>SUM('0040:4131'!I96)</f>
        <v>-1783748.8400000003</v>
      </c>
    </row>
    <row r="98" spans="1:9" x14ac:dyDescent="0.3">
      <c r="A98" s="3"/>
    </row>
    <row r="99" spans="1:9" x14ac:dyDescent="0.3">
      <c r="A99" s="740" t="s">
        <v>556</v>
      </c>
      <c r="B99" s="739"/>
      <c r="C99" s="739"/>
      <c r="D99" s="739"/>
      <c r="E99" s="737" t="s">
        <v>3</v>
      </c>
      <c r="F99" s="289">
        <v>5621424</v>
      </c>
      <c r="G99" s="738" t="s">
        <v>6</v>
      </c>
      <c r="H99" s="472">
        <f>H72</f>
        <v>0.103714</v>
      </c>
      <c r="I99" s="101">
        <f>SUM('0040:4131'!I98)</f>
        <v>21142.93</v>
      </c>
    </row>
    <row r="100" spans="1:9" x14ac:dyDescent="0.3">
      <c r="A100" s="740"/>
      <c r="B100" s="739"/>
      <c r="C100" s="739"/>
      <c r="D100" s="739"/>
      <c r="E100" s="737"/>
      <c r="F100" s="275"/>
      <c r="G100" s="738"/>
      <c r="H100" s="472"/>
      <c r="I100" s="101"/>
    </row>
    <row r="101" spans="1:9" x14ac:dyDescent="0.3">
      <c r="A101" s="740"/>
      <c r="B101" s="739"/>
      <c r="C101" s="739"/>
      <c r="D101" s="739"/>
      <c r="E101" s="737"/>
      <c r="F101" s="275"/>
      <c r="G101" s="738"/>
      <c r="H101" s="472"/>
      <c r="I101" s="101"/>
    </row>
    <row r="102" spans="1:9" x14ac:dyDescent="0.3">
      <c r="A102" s="450" t="s">
        <v>557</v>
      </c>
    </row>
    <row r="103" spans="1:9" x14ac:dyDescent="0.3">
      <c r="B103" s="69"/>
      <c r="C103" s="785" t="s">
        <v>60</v>
      </c>
      <c r="D103" s="785"/>
      <c r="E103" s="69"/>
      <c r="F103" s="39" t="s">
        <v>28</v>
      </c>
      <c r="G103" s="69"/>
      <c r="H103" s="69"/>
      <c r="I103" s="69"/>
    </row>
    <row r="104" spans="1:9" x14ac:dyDescent="0.3">
      <c r="A104" s="3"/>
      <c r="B104" s="118"/>
      <c r="C104" s="786" t="s">
        <v>101</v>
      </c>
      <c r="D104" s="786"/>
      <c r="E104" s="119" t="s">
        <v>485</v>
      </c>
      <c r="F104" s="120" t="s">
        <v>106</v>
      </c>
      <c r="G104" s="121"/>
      <c r="H104" s="121"/>
      <c r="I104" s="121"/>
    </row>
    <row r="105" spans="1:9" x14ac:dyDescent="0.3">
      <c r="A105" s="26"/>
      <c r="B105" s="52" t="s">
        <v>105</v>
      </c>
      <c r="C105" s="774">
        <f>SUM('1461:4131'!C104)</f>
        <v>7863.4946</v>
      </c>
      <c r="D105" s="774">
        <f>SUM('1461:4131'!D101)</f>
        <v>0</v>
      </c>
      <c r="E105" s="46">
        <f>'1461'!E104</f>
        <v>1.0407999999999999</v>
      </c>
      <c r="F105" s="290">
        <f>'1461'!F104</f>
        <v>950.92</v>
      </c>
      <c r="G105" s="39" t="s">
        <v>12</v>
      </c>
      <c r="H105" s="101">
        <f>SUM('0040:4131'!H104)</f>
        <v>7782638.5100000016</v>
      </c>
      <c r="I105" s="104"/>
    </row>
    <row r="106" spans="1:9" x14ac:dyDescent="0.3">
      <c r="A106" s="49"/>
      <c r="B106" s="49" t="s">
        <v>104</v>
      </c>
      <c r="C106" s="774">
        <f>SUM('1461:4131'!C105)</f>
        <v>9796.4809999999961</v>
      </c>
      <c r="D106" s="774">
        <f>SUM('1461:4131'!D102)</f>
        <v>0</v>
      </c>
      <c r="E106" s="46">
        <f>'1461'!E105</f>
        <v>1.0407999999999999</v>
      </c>
      <c r="F106" s="290">
        <f>'1461'!F105</f>
        <v>907.92</v>
      </c>
      <c r="G106" s="39" t="s">
        <v>12</v>
      </c>
      <c r="H106" s="101">
        <f>SUM('0040:4131'!H105)</f>
        <v>9291539.7899999991</v>
      </c>
    </row>
    <row r="107" spans="1:9" x14ac:dyDescent="0.3">
      <c r="A107" s="52"/>
      <c r="B107" s="52" t="s">
        <v>103</v>
      </c>
      <c r="C107" s="774">
        <f>SUM('1461:4131'!C106)</f>
        <v>7590.9980999999998</v>
      </c>
      <c r="D107" s="774">
        <f>SUM('1461:4131'!D103)</f>
        <v>0</v>
      </c>
      <c r="E107" s="46">
        <f>'1461'!E106</f>
        <v>1.0407999999999999</v>
      </c>
      <c r="F107" s="290">
        <f>'1461'!F106</f>
        <v>910.12</v>
      </c>
      <c r="G107" s="39" t="s">
        <v>12</v>
      </c>
      <c r="H107" s="101">
        <f>SUM('0040:4131'!H106)</f>
        <v>7228786.080000001</v>
      </c>
    </row>
    <row r="108" spans="1:9" ht="16.2" thickBot="1" x14ac:dyDescent="0.35">
      <c r="A108" s="55"/>
      <c r="B108" s="122" t="s">
        <v>102</v>
      </c>
      <c r="C108" s="787">
        <f>SUM(C105:C107)</f>
        <v>25250.973699999999</v>
      </c>
      <c r="D108" s="787"/>
      <c r="E108" s="123"/>
      <c r="F108" s="123"/>
      <c r="G108" s="123"/>
      <c r="H108" s="124" t="s">
        <v>100</v>
      </c>
      <c r="I108" s="746">
        <f>SUM('0040:4131'!I107)</f>
        <v>24302964.380000006</v>
      </c>
    </row>
    <row r="109" spans="1:9" ht="16.2" thickTop="1" x14ac:dyDescent="0.3">
      <c r="A109" s="812" t="s">
        <v>65</v>
      </c>
      <c r="B109" s="812"/>
      <c r="C109" s="812"/>
      <c r="D109" s="812"/>
      <c r="E109" s="812"/>
      <c r="F109" s="812"/>
      <c r="G109" s="812"/>
      <c r="H109" s="812"/>
      <c r="I109" s="812"/>
    </row>
    <row r="110" spans="1:9" x14ac:dyDescent="0.3">
      <c r="A110" s="482"/>
      <c r="B110" s="482"/>
      <c r="C110" s="482"/>
      <c r="D110" s="482"/>
      <c r="E110" s="482"/>
      <c r="F110" s="482"/>
      <c r="G110" s="482"/>
      <c r="H110" s="482"/>
      <c r="I110" s="482"/>
    </row>
    <row r="111" spans="1:9" x14ac:dyDescent="0.3">
      <c r="A111" s="740" t="s">
        <v>558</v>
      </c>
      <c r="C111" s="43"/>
      <c r="D111" s="69"/>
      <c r="E111" s="43" t="s">
        <v>32</v>
      </c>
      <c r="F111" s="813"/>
      <c r="G111" s="813"/>
      <c r="H111" s="813"/>
      <c r="I111" s="813"/>
    </row>
    <row r="112" spans="1:9" x14ac:dyDescent="0.3">
      <c r="B112" s="69"/>
      <c r="C112" s="88" t="s">
        <v>581</v>
      </c>
      <c r="D112" s="348" t="s">
        <v>582</v>
      </c>
      <c r="E112" s="89" t="s">
        <v>107</v>
      </c>
      <c r="F112" s="43"/>
      <c r="G112" s="43"/>
      <c r="H112" s="43"/>
      <c r="I112" s="43"/>
    </row>
    <row r="113" spans="1:10" x14ac:dyDescent="0.3">
      <c r="B113" s="69"/>
      <c r="C113" s="339" t="s">
        <v>2</v>
      </c>
      <c r="D113" s="339" t="s">
        <v>2</v>
      </c>
      <c r="E113" s="90" t="s">
        <v>2</v>
      </c>
      <c r="F113" s="43"/>
      <c r="G113" s="43"/>
      <c r="H113" s="43"/>
      <c r="I113" s="43"/>
    </row>
    <row r="114" spans="1:10" x14ac:dyDescent="0.3">
      <c r="A114" s="788" t="s">
        <v>443</v>
      </c>
      <c r="B114" s="809"/>
      <c r="C114" s="143">
        <f>SUM('0040:4131'!C113)</f>
        <v>3895</v>
      </c>
      <c r="D114" s="143">
        <f>SUM('0040:4131'!D113)</f>
        <v>3983</v>
      </c>
      <c r="E114" s="116">
        <f>SUM('0040:4131'!E113)</f>
        <v>3939</v>
      </c>
      <c r="F114" s="126" t="s">
        <v>30</v>
      </c>
      <c r="G114" s="291">
        <f>'1461'!G113</f>
        <v>584</v>
      </c>
      <c r="I114" s="101">
        <f>SUM('0040:4131'!I113)</f>
        <v>2300376</v>
      </c>
    </row>
    <row r="115" spans="1:10" x14ac:dyDescent="0.3">
      <c r="A115" s="788" t="s">
        <v>444</v>
      </c>
      <c r="B115" s="809"/>
      <c r="C115" s="143">
        <f>SUM('0040:4131'!C114)</f>
        <v>2</v>
      </c>
      <c r="D115" s="143">
        <f>SUM('0040:4131'!D114)</f>
        <v>1</v>
      </c>
      <c r="E115" s="116">
        <f>SUM('0040:4131'!E114)</f>
        <v>1.5</v>
      </c>
      <c r="F115" s="126" t="s">
        <v>30</v>
      </c>
      <c r="G115" s="291">
        <f>'1461'!G114</f>
        <v>1838</v>
      </c>
      <c r="I115" s="101">
        <f>SUM('0040:4131'!I114)</f>
        <v>2757</v>
      </c>
      <c r="J115" s="745">
        <f>SUM(I114:I115)</f>
        <v>2303133</v>
      </c>
    </row>
    <row r="116" spans="1:10" hidden="1" x14ac:dyDescent="0.3">
      <c r="A116" s="127"/>
      <c r="B116" s="127"/>
      <c r="C116" s="65"/>
      <c r="D116" s="65"/>
      <c r="E116" s="65"/>
      <c r="F116" s="65"/>
      <c r="G116" s="128"/>
      <c r="H116" s="129"/>
      <c r="I116" s="101"/>
    </row>
    <row r="117" spans="1:10" x14ac:dyDescent="0.3">
      <c r="A117" s="127"/>
      <c r="B117" s="127"/>
      <c r="C117" s="65"/>
      <c r="D117" s="65"/>
      <c r="E117" s="65"/>
      <c r="F117" s="65"/>
      <c r="G117" s="128"/>
      <c r="H117" s="129"/>
      <c r="I117" s="101"/>
    </row>
    <row r="118" spans="1:10" ht="15.75" hidden="1" customHeight="1" x14ac:dyDescent="0.3">
      <c r="A118" s="775" t="s">
        <v>490</v>
      </c>
      <c r="B118" s="776"/>
      <c r="C118" s="776"/>
      <c r="D118" s="69"/>
      <c r="E118" s="39" t="s">
        <v>317</v>
      </c>
      <c r="F118" s="785"/>
      <c r="G118" s="785"/>
      <c r="H118" s="785"/>
      <c r="I118" s="785"/>
    </row>
    <row r="119" spans="1:10" hidden="1" x14ac:dyDescent="0.3">
      <c r="B119" s="69"/>
      <c r="C119" s="786" t="s">
        <v>66</v>
      </c>
      <c r="D119" s="786"/>
      <c r="E119" s="786"/>
      <c r="F119" s="37"/>
      <c r="G119" s="37"/>
      <c r="H119" s="39" t="s">
        <v>108</v>
      </c>
      <c r="I119" s="37"/>
    </row>
    <row r="120" spans="1:10" hidden="1" x14ac:dyDescent="0.3">
      <c r="B120" s="69"/>
      <c r="C120" s="88" t="str">
        <f>C112</f>
        <v>Oct 2024</v>
      </c>
      <c r="D120" s="88" t="str">
        <f>D112</f>
        <v>Feb 2025</v>
      </c>
      <c r="E120" s="137" t="s">
        <v>8</v>
      </c>
      <c r="F120" s="789" t="s">
        <v>109</v>
      </c>
      <c r="G120" s="785"/>
      <c r="H120" s="37" t="s">
        <v>29</v>
      </c>
      <c r="I120" s="37"/>
    </row>
    <row r="121" spans="1:10" ht="15.75" hidden="1" customHeight="1" x14ac:dyDescent="0.3">
      <c r="A121" s="786" t="s">
        <v>69</v>
      </c>
      <c r="B121" s="786"/>
      <c r="C121" s="90" t="s">
        <v>2</v>
      </c>
      <c r="D121" s="90" t="s">
        <v>2</v>
      </c>
      <c r="E121" s="59" t="s">
        <v>2</v>
      </c>
      <c r="F121" s="786" t="s">
        <v>28</v>
      </c>
      <c r="G121" s="786"/>
      <c r="H121" s="59" t="s">
        <v>28</v>
      </c>
      <c r="I121" s="59" t="s">
        <v>8</v>
      </c>
    </row>
    <row r="122" spans="1:10" ht="15.75" hidden="1" customHeight="1" x14ac:dyDescent="0.3">
      <c r="A122" s="810" t="s">
        <v>56</v>
      </c>
      <c r="B122" s="810"/>
      <c r="C122" s="141">
        <v>0</v>
      </c>
      <c r="D122" s="141">
        <v>0</v>
      </c>
      <c r="E122" s="187">
        <f>IF(D31=0,C122*2,C122+D122)</f>
        <v>0</v>
      </c>
      <c r="F122" s="811">
        <v>0</v>
      </c>
      <c r="G122" s="811"/>
      <c r="H122" s="223">
        <f>IF(C122=0,0,125)</f>
        <v>0</v>
      </c>
      <c r="I122" s="101">
        <f>ROUND((H122+F122)*E122,2)</f>
        <v>0</v>
      </c>
    </row>
    <row r="123" spans="1:10" ht="15.75" hidden="1" customHeight="1" x14ac:dyDescent="0.3">
      <c r="A123" s="780" t="s">
        <v>57</v>
      </c>
      <c r="B123" s="780"/>
      <c r="C123" s="143">
        <v>0</v>
      </c>
      <c r="D123" s="143">
        <v>0</v>
      </c>
      <c r="E123" s="116">
        <f>IF(D32=0,C123*2,C123+D123)</f>
        <v>0</v>
      </c>
      <c r="F123" s="781">
        <f>ROUND(F122/2,2)</f>
        <v>0</v>
      </c>
      <c r="G123" s="781"/>
      <c r="H123" s="223">
        <f>IF(C123=0,0,62.5)</f>
        <v>0</v>
      </c>
      <c r="I123" s="101">
        <f>ROUND((H123+F123)*E123,2)</f>
        <v>0</v>
      </c>
    </row>
    <row r="124" spans="1:10" ht="15.75" hidden="1" customHeight="1" x14ac:dyDescent="0.3">
      <c r="A124" s="780" t="s">
        <v>58</v>
      </c>
      <c r="B124" s="780"/>
      <c r="C124" s="143">
        <v>0</v>
      </c>
      <c r="D124" s="143">
        <v>0</v>
      </c>
      <c r="E124" s="116">
        <f>IF(D33=0,C124*2,C124+D124)</f>
        <v>0</v>
      </c>
      <c r="F124" s="782"/>
      <c r="G124" s="782"/>
      <c r="H124" s="224">
        <f>IF(H122&gt;0,436,0)</f>
        <v>0</v>
      </c>
      <c r="I124" s="101">
        <f>ROUND(H124*E124,2)</f>
        <v>0</v>
      </c>
    </row>
    <row r="125" spans="1:10" ht="16.5" hidden="1" customHeight="1" x14ac:dyDescent="0.3">
      <c r="A125" s="785" t="s">
        <v>8</v>
      </c>
      <c r="B125" s="785"/>
      <c r="C125" s="65"/>
      <c r="D125" s="65"/>
      <c r="E125" s="65"/>
      <c r="F125" s="65"/>
      <c r="G125" s="65"/>
      <c r="H125" s="65"/>
      <c r="I125" s="97">
        <f>SUM(I122:I124)</f>
        <v>0</v>
      </c>
    </row>
    <row r="126" spans="1:10" hidden="1" x14ac:dyDescent="0.3">
      <c r="A126" s="37"/>
      <c r="B126" s="37"/>
      <c r="C126" s="65"/>
      <c r="D126" s="65"/>
      <c r="E126" s="65"/>
      <c r="F126" s="65"/>
      <c r="G126" s="65"/>
      <c r="H126" s="65"/>
      <c r="I126" s="101"/>
    </row>
    <row r="127" spans="1:10" x14ac:dyDescent="0.3">
      <c r="A127" s="775" t="s">
        <v>492</v>
      </c>
      <c r="B127" s="776"/>
      <c r="C127" s="776"/>
      <c r="D127" s="69"/>
      <c r="E127" s="68" t="s">
        <v>34</v>
      </c>
      <c r="F127" s="778"/>
      <c r="G127" s="778"/>
      <c r="H127" s="778"/>
      <c r="I127" s="154">
        <f>SUM('1461:4131'!I126)</f>
        <v>0</v>
      </c>
    </row>
    <row r="128" spans="1:10" x14ac:dyDescent="0.3">
      <c r="B128" s="69"/>
      <c r="C128" s="69"/>
      <c r="D128" s="69"/>
      <c r="E128" s="68"/>
      <c r="F128" s="68"/>
      <c r="G128" s="68"/>
      <c r="H128" s="68"/>
      <c r="I128" s="116"/>
    </row>
    <row r="129" spans="1:10" x14ac:dyDescent="0.3">
      <c r="A129" s="779" t="s">
        <v>8</v>
      </c>
      <c r="B129" s="779"/>
      <c r="C129" s="779"/>
      <c r="D129" s="779"/>
      <c r="E129" s="779"/>
      <c r="F129" s="779"/>
      <c r="G129" s="779"/>
      <c r="H129" s="779"/>
      <c r="I129" s="94">
        <f>SUM('0040:4131'!I128)</f>
        <v>206756130.53999999</v>
      </c>
      <c r="J129" s="250"/>
    </row>
    <row r="130" spans="1:10" x14ac:dyDescent="0.3">
      <c r="A130" s="26"/>
      <c r="B130" s="26"/>
      <c r="C130" s="26"/>
      <c r="D130" s="26"/>
      <c r="E130" s="26"/>
      <c r="F130" s="26"/>
      <c r="G130" s="26"/>
      <c r="H130" s="26"/>
      <c r="I130" s="101"/>
      <c r="J130" s="250"/>
    </row>
    <row r="131" spans="1:10" x14ac:dyDescent="0.3">
      <c r="A131" s="81" t="s">
        <v>523</v>
      </c>
      <c r="B131" s="26"/>
      <c r="C131" s="26"/>
      <c r="D131" s="26"/>
      <c r="E131" s="26"/>
      <c r="F131" s="26"/>
      <c r="G131" s="26"/>
      <c r="H131" s="26"/>
      <c r="I131" s="101">
        <f>SUM('0040:4131'!I130)</f>
        <v>197381935.35000005</v>
      </c>
      <c r="J131" s="250"/>
    </row>
    <row r="132" spans="1:10" x14ac:dyDescent="0.3">
      <c r="A132" s="26"/>
      <c r="B132" s="26"/>
      <c r="C132" s="26"/>
      <c r="D132" s="26"/>
      <c r="E132" s="26"/>
      <c r="F132" s="26"/>
      <c r="G132" s="26"/>
      <c r="H132" s="26"/>
      <c r="I132" s="101"/>
      <c r="J132" s="250"/>
    </row>
    <row r="133" spans="1:10" x14ac:dyDescent="0.3">
      <c r="A133" s="775" t="s">
        <v>524</v>
      </c>
      <c r="B133" s="776"/>
      <c r="C133" s="776"/>
      <c r="D133" s="776"/>
      <c r="E133" s="776"/>
      <c r="F133" s="776"/>
      <c r="G133" s="776"/>
      <c r="H133" s="81" t="s">
        <v>375</v>
      </c>
      <c r="I133" s="134"/>
      <c r="J133" s="250"/>
    </row>
    <row r="134" spans="1:10" x14ac:dyDescent="0.3">
      <c r="A134" s="776" t="s">
        <v>70</v>
      </c>
      <c r="B134" s="776"/>
      <c r="C134" s="776"/>
      <c r="D134" s="776"/>
      <c r="E134" s="776"/>
      <c r="F134" s="776"/>
      <c r="G134" s="776"/>
      <c r="H134" s="70"/>
      <c r="I134" s="116">
        <f>SUM('0040:4131'!I130)</f>
        <v>197381935.35000005</v>
      </c>
    </row>
    <row r="135" spans="1:10" x14ac:dyDescent="0.3">
      <c r="B135" s="69"/>
      <c r="C135" s="69"/>
      <c r="D135" s="69"/>
      <c r="E135" s="69"/>
      <c r="F135" s="69"/>
      <c r="G135" s="69"/>
      <c r="H135" s="65"/>
      <c r="I135" s="101"/>
    </row>
    <row r="136" spans="1:10" x14ac:dyDescent="0.3">
      <c r="A136" s="3" t="s">
        <v>73</v>
      </c>
      <c r="B136" s="69"/>
      <c r="C136" s="69"/>
      <c r="D136" s="69"/>
      <c r="E136" s="69"/>
      <c r="F136" s="69"/>
      <c r="G136" s="257"/>
      <c r="H136" s="139">
        <f>IF(H134=1,I134,I131)</f>
        <v>197381935.35000005</v>
      </c>
      <c r="I136" s="94">
        <f>SUM('0040:4131'!I135)</f>
        <v>-3225227.060000001</v>
      </c>
    </row>
    <row r="137" spans="1:10" x14ac:dyDescent="0.3">
      <c r="B137" s="69"/>
      <c r="C137" s="69"/>
      <c r="D137" s="69"/>
      <c r="E137" s="69"/>
      <c r="F137" s="69"/>
      <c r="G137" s="69"/>
      <c r="H137" s="65"/>
      <c r="I137" s="101"/>
    </row>
    <row r="138" spans="1:10" x14ac:dyDescent="0.3">
      <c r="A138" s="308" t="s">
        <v>74</v>
      </c>
      <c r="B138" s="309"/>
      <c r="C138" s="309"/>
      <c r="D138" s="309"/>
      <c r="E138" s="309"/>
      <c r="F138" s="309"/>
      <c r="G138" s="309"/>
      <c r="H138" s="310"/>
      <c r="I138" s="311">
        <f>SUM('0040:4131'!I137)</f>
        <v>203530903.48000005</v>
      </c>
    </row>
    <row r="139" spans="1:10" x14ac:dyDescent="0.3">
      <c r="B139" s="69"/>
      <c r="C139" s="69"/>
      <c r="D139" s="69"/>
      <c r="E139" s="69"/>
      <c r="F139" s="69"/>
      <c r="G139" s="69"/>
      <c r="H139" s="65"/>
      <c r="I139" s="101"/>
    </row>
    <row r="140" spans="1:10" x14ac:dyDescent="0.3">
      <c r="A140" s="3" t="s">
        <v>75</v>
      </c>
      <c r="B140" s="69"/>
      <c r="C140" s="140"/>
      <c r="D140" s="69"/>
      <c r="F140" s="69"/>
      <c r="G140" s="69"/>
      <c r="H140" s="65"/>
      <c r="I140" s="271">
        <f>SUM('0040:4131'!I139)</f>
        <v>-203824679.10000005</v>
      </c>
    </row>
    <row r="141" spans="1:10" x14ac:dyDescent="0.3">
      <c r="B141" s="69"/>
      <c r="C141" s="69"/>
      <c r="D141" s="69"/>
      <c r="E141" s="69"/>
      <c r="F141" s="69"/>
      <c r="G141" s="69"/>
      <c r="H141" s="65"/>
      <c r="I141" s="101"/>
    </row>
    <row r="142" spans="1:10" x14ac:dyDescent="0.3">
      <c r="A142" s="3" t="s">
        <v>246</v>
      </c>
      <c r="B142" s="69"/>
      <c r="C142" s="69"/>
      <c r="D142" s="69"/>
      <c r="E142" s="69"/>
      <c r="F142" s="69"/>
      <c r="G142" s="69"/>
      <c r="H142" s="65"/>
      <c r="I142" s="101">
        <f>SUM('0040:4131'!I141)</f>
        <v>-293775.61999998946</v>
      </c>
    </row>
    <row r="143" spans="1:10" x14ac:dyDescent="0.3">
      <c r="A143" s="3"/>
      <c r="B143" s="69"/>
      <c r="C143" s="69"/>
      <c r="D143" s="69"/>
      <c r="E143" s="69"/>
      <c r="F143" s="69"/>
      <c r="G143" s="69"/>
      <c r="H143" s="65"/>
      <c r="I143" s="101"/>
    </row>
    <row r="144" spans="1:10" x14ac:dyDescent="0.3">
      <c r="A144" s="3" t="s">
        <v>247</v>
      </c>
      <c r="B144" s="69"/>
      <c r="C144" s="69"/>
      <c r="D144" s="69"/>
      <c r="E144" s="69"/>
      <c r="F144" s="69"/>
      <c r="G144" s="69"/>
      <c r="H144" s="65"/>
      <c r="I144" s="272">
        <f>'1461'!I143</f>
        <v>1</v>
      </c>
    </row>
    <row r="145" spans="1:13" x14ac:dyDescent="0.3">
      <c r="B145" s="69"/>
      <c r="C145" s="69"/>
      <c r="D145" s="69"/>
      <c r="E145" s="69"/>
      <c r="F145" s="69"/>
      <c r="G145" s="69"/>
      <c r="H145" s="65"/>
      <c r="I145" s="101"/>
    </row>
    <row r="146" spans="1:13" ht="16.2" thickBot="1" x14ac:dyDescent="0.35">
      <c r="A146" s="3" t="s">
        <v>76</v>
      </c>
      <c r="B146" s="69"/>
      <c r="C146" s="69"/>
      <c r="D146" s="69"/>
      <c r="E146" s="69"/>
      <c r="F146" s="69"/>
      <c r="G146" s="69"/>
      <c r="H146" s="65"/>
      <c r="I146" s="155">
        <f>SUM('0040:4131'!I145)-'4102'!I145</f>
        <v>-227111.69000000015</v>
      </c>
      <c r="K146" s="468"/>
      <c r="L146" s="468"/>
      <c r="M146" s="468"/>
    </row>
    <row r="147" spans="1:13" s="135" customFormat="1" ht="16.2" thickTop="1" x14ac:dyDescent="0.3">
      <c r="A147" s="475"/>
      <c r="B147" s="475"/>
      <c r="C147" s="476"/>
      <c r="D147" s="477"/>
      <c r="E147" s="478"/>
      <c r="F147" s="222"/>
      <c r="G147" s="479"/>
      <c r="H147" s="480"/>
      <c r="I147" s="474"/>
    </row>
    <row r="148" spans="1:13" x14ac:dyDescent="0.3">
      <c r="A148" s="808" t="s">
        <v>7</v>
      </c>
      <c r="B148" s="808"/>
      <c r="C148" s="808"/>
      <c r="D148" s="808"/>
      <c r="E148" s="808"/>
      <c r="F148" s="808"/>
      <c r="G148" s="808"/>
      <c r="H148" s="808"/>
    </row>
    <row r="149" spans="1:13" ht="26.25" customHeight="1" x14ac:dyDescent="0.3">
      <c r="A149" s="777" t="s">
        <v>525</v>
      </c>
      <c r="B149" s="777"/>
      <c r="C149" s="777"/>
      <c r="D149" s="777"/>
      <c r="E149" s="777"/>
      <c r="F149" s="777"/>
      <c r="G149" s="777"/>
      <c r="H149" s="777"/>
    </row>
    <row r="150" spans="1:13" x14ac:dyDescent="0.3">
      <c r="A150" s="808" t="s">
        <v>435</v>
      </c>
      <c r="B150" s="808"/>
      <c r="C150" s="808"/>
      <c r="D150" s="808"/>
      <c r="E150" s="808"/>
      <c r="F150" s="808"/>
      <c r="G150" s="808"/>
      <c r="H150" s="808"/>
    </row>
    <row r="151" spans="1:13" x14ac:dyDescent="0.3">
      <c r="A151" s="808" t="s">
        <v>436</v>
      </c>
      <c r="B151" s="808"/>
      <c r="C151" s="808"/>
      <c r="D151" s="808"/>
      <c r="E151" s="808"/>
      <c r="F151" s="808"/>
      <c r="G151" s="808"/>
      <c r="H151" s="808"/>
    </row>
    <row r="152" spans="1:13" x14ac:dyDescent="0.3">
      <c r="A152" s="808" t="s">
        <v>437</v>
      </c>
      <c r="B152" s="808"/>
      <c r="C152" s="808"/>
      <c r="D152" s="808"/>
      <c r="E152" s="808"/>
      <c r="F152" s="808"/>
      <c r="G152" s="808"/>
      <c r="H152" s="808"/>
    </row>
    <row r="153" spans="1:13" x14ac:dyDescent="0.3">
      <c r="A153" s="808" t="s">
        <v>438</v>
      </c>
      <c r="B153" s="808"/>
      <c r="C153" s="808"/>
      <c r="D153" s="808"/>
      <c r="E153" s="808"/>
      <c r="F153" s="808"/>
      <c r="G153" s="808"/>
      <c r="H153" s="808"/>
    </row>
    <row r="154" spans="1:13" x14ac:dyDescent="0.3">
      <c r="A154" s="808" t="s">
        <v>439</v>
      </c>
      <c r="B154" s="808"/>
      <c r="C154" s="808"/>
      <c r="D154" s="808"/>
      <c r="E154" s="808"/>
      <c r="F154" s="808"/>
      <c r="G154" s="808"/>
      <c r="H154" s="808"/>
    </row>
    <row r="155" spans="1:13" ht="26.25" customHeight="1" x14ac:dyDescent="0.3">
      <c r="A155" s="770" t="s">
        <v>526</v>
      </c>
      <c r="B155" s="770"/>
      <c r="C155" s="770"/>
      <c r="D155" s="770"/>
      <c r="E155" s="770"/>
      <c r="F155" s="770"/>
      <c r="G155" s="770"/>
      <c r="H155" s="770"/>
    </row>
    <row r="156" spans="1:13" ht="26.25" customHeight="1" x14ac:dyDescent="0.3">
      <c r="A156" s="777" t="s">
        <v>527</v>
      </c>
      <c r="B156" s="777"/>
      <c r="C156" s="777"/>
      <c r="D156" s="777"/>
      <c r="E156" s="777"/>
      <c r="F156" s="777"/>
      <c r="G156" s="777"/>
      <c r="H156" s="777"/>
    </row>
    <row r="157" spans="1:13" ht="26.25" customHeight="1" x14ac:dyDescent="0.3">
      <c r="A157" s="777" t="s">
        <v>445</v>
      </c>
      <c r="B157" s="777"/>
      <c r="C157" s="777"/>
      <c r="D157" s="777"/>
      <c r="E157" s="777"/>
      <c r="F157" s="777"/>
      <c r="G157" s="777"/>
      <c r="H157" s="777"/>
    </row>
    <row r="158" spans="1:13" ht="16.5" customHeight="1" x14ac:dyDescent="0.3">
      <c r="A158" s="542" t="s">
        <v>287</v>
      </c>
      <c r="B158" s="542"/>
      <c r="C158" s="542"/>
      <c r="D158" s="542"/>
      <c r="E158" s="542"/>
      <c r="F158" s="542"/>
      <c r="G158" s="542"/>
      <c r="H158" s="542"/>
    </row>
    <row r="159" spans="1:13" ht="26.25" customHeight="1" x14ac:dyDescent="0.3">
      <c r="A159" s="770" t="s">
        <v>528</v>
      </c>
      <c r="B159" s="770"/>
      <c r="C159" s="770"/>
      <c r="D159" s="770"/>
      <c r="E159" s="770"/>
      <c r="F159" s="770"/>
      <c r="G159" s="770"/>
      <c r="H159" s="770"/>
    </row>
    <row r="160" spans="1:13" ht="26.25" customHeight="1" x14ac:dyDescent="0.3">
      <c r="A160" s="770" t="s">
        <v>529</v>
      </c>
      <c r="B160" s="770"/>
      <c r="C160" s="770"/>
      <c r="D160" s="770"/>
      <c r="E160" s="770"/>
      <c r="F160" s="770"/>
      <c r="G160" s="770"/>
      <c r="H160" s="770"/>
    </row>
    <row r="161" spans="1:8" x14ac:dyDescent="0.3">
      <c r="A161" s="769" t="s">
        <v>67</v>
      </c>
      <c r="B161" s="770"/>
      <c r="C161" s="770"/>
      <c r="D161" s="770"/>
      <c r="E161" s="770"/>
      <c r="F161" s="770"/>
      <c r="G161" s="770"/>
      <c r="H161" s="770"/>
    </row>
    <row r="162" spans="1:8" ht="54.75" customHeight="1" x14ac:dyDescent="0.3">
      <c r="A162" s="771" t="s">
        <v>530</v>
      </c>
      <c r="B162" s="771"/>
      <c r="C162" s="771"/>
      <c r="D162" s="771"/>
      <c r="E162" s="771"/>
      <c r="F162" s="771"/>
      <c r="G162" s="771"/>
      <c r="H162" s="771"/>
    </row>
    <row r="163" spans="1:8" ht="42.75" customHeight="1" x14ac:dyDescent="0.3">
      <c r="A163" s="771" t="s">
        <v>531</v>
      </c>
      <c r="B163" s="771"/>
      <c r="C163" s="771"/>
      <c r="D163" s="771"/>
      <c r="E163" s="771"/>
      <c r="F163" s="771"/>
      <c r="G163" s="771"/>
      <c r="H163" s="771"/>
    </row>
    <row r="164" spans="1:8" x14ac:dyDescent="0.3">
      <c r="A164" s="543"/>
      <c r="B164" s="543"/>
      <c r="C164" s="543"/>
      <c r="D164" s="543"/>
      <c r="E164" s="543"/>
      <c r="F164" s="543"/>
      <c r="G164" s="543"/>
      <c r="H164" s="543"/>
    </row>
    <row r="165" spans="1:8" x14ac:dyDescent="0.3">
      <c r="A165" s="772" t="s">
        <v>68</v>
      </c>
      <c r="B165" s="772"/>
      <c r="C165" s="772"/>
      <c r="D165" s="772"/>
      <c r="E165" s="772"/>
      <c r="F165" s="772"/>
      <c r="G165" s="772"/>
      <c r="H165" s="772"/>
    </row>
    <row r="166" spans="1:8" ht="26.25" customHeight="1" x14ac:dyDescent="0.3">
      <c r="A166" s="771" t="s">
        <v>532</v>
      </c>
      <c r="B166" s="771"/>
      <c r="C166" s="771"/>
      <c r="D166" s="771"/>
      <c r="E166" s="771"/>
      <c r="F166" s="771"/>
      <c r="G166" s="771"/>
      <c r="H166" s="771"/>
    </row>
    <row r="167" spans="1:8" x14ac:dyDescent="0.3">
      <c r="A167" s="773" t="s">
        <v>11</v>
      </c>
      <c r="B167" s="773"/>
      <c r="C167" s="773"/>
      <c r="D167" s="773"/>
      <c r="E167" s="773"/>
      <c r="F167" s="773"/>
      <c r="G167" s="773"/>
      <c r="H167" s="773"/>
    </row>
  </sheetData>
  <mergeCells count="114">
    <mergeCell ref="A109:I109"/>
    <mergeCell ref="F111:I111"/>
    <mergeCell ref="A114:B114"/>
    <mergeCell ref="A148:H148"/>
    <mergeCell ref="A149:H149"/>
    <mergeCell ref="A150:H150"/>
    <mergeCell ref="A151:H151"/>
    <mergeCell ref="A152:H152"/>
    <mergeCell ref="A153:H153"/>
    <mergeCell ref="A154:H154"/>
    <mergeCell ref="A115:B115"/>
    <mergeCell ref="A122:B122"/>
    <mergeCell ref="F122:G122"/>
    <mergeCell ref="A125:B125"/>
    <mergeCell ref="F118:I118"/>
    <mergeCell ref="C119:E119"/>
    <mergeCell ref="F120:G120"/>
    <mergeCell ref="A121:B121"/>
    <mergeCell ref="F121:G121"/>
    <mergeCell ref="B1:I1"/>
    <mergeCell ref="A4:B4"/>
    <mergeCell ref="C4:E4"/>
    <mergeCell ref="A7:I7"/>
    <mergeCell ref="F11:G11"/>
    <mergeCell ref="A12:B12"/>
    <mergeCell ref="F12:G12"/>
    <mergeCell ref="A13:B13"/>
    <mergeCell ref="F13:G13"/>
    <mergeCell ref="A14:B14"/>
    <mergeCell ref="F14:G14"/>
    <mergeCell ref="A15:B15"/>
    <mergeCell ref="F15:G15"/>
    <mergeCell ref="A16:B16"/>
    <mergeCell ref="F16:G16"/>
    <mergeCell ref="A17:B17"/>
    <mergeCell ref="F17:G17"/>
    <mergeCell ref="A18:B18"/>
    <mergeCell ref="F18:G18"/>
    <mergeCell ref="A19:B19"/>
    <mergeCell ref="F19:G19"/>
    <mergeCell ref="A20:B20"/>
    <mergeCell ref="F20:G20"/>
    <mergeCell ref="A21:B21"/>
    <mergeCell ref="F21:G21"/>
    <mergeCell ref="A22:B22"/>
    <mergeCell ref="F22:G22"/>
    <mergeCell ref="A23:B23"/>
    <mergeCell ref="F23:G23"/>
    <mergeCell ref="A24:B24"/>
    <mergeCell ref="F24:G24"/>
    <mergeCell ref="A25:B25"/>
    <mergeCell ref="F25:G25"/>
    <mergeCell ref="A26:B26"/>
    <mergeCell ref="F26:G26"/>
    <mergeCell ref="A27:B27"/>
    <mergeCell ref="F27:G27"/>
    <mergeCell ref="A28:B28"/>
    <mergeCell ref="F28:G28"/>
    <mergeCell ref="A29:B29"/>
    <mergeCell ref="F29:G29"/>
    <mergeCell ref="A30:B30"/>
    <mergeCell ref="F30:G30"/>
    <mergeCell ref="F31:G31"/>
    <mergeCell ref="A32:B32"/>
    <mergeCell ref="A38:B38"/>
    <mergeCell ref="A39:B39"/>
    <mergeCell ref="A40:B40"/>
    <mergeCell ref="A41:B41"/>
    <mergeCell ref="A42:B42"/>
    <mergeCell ref="A43:B43"/>
    <mergeCell ref="A44:B44"/>
    <mergeCell ref="A80:B80"/>
    <mergeCell ref="D80:G80"/>
    <mergeCell ref="C103:D103"/>
    <mergeCell ref="C104:D104"/>
    <mergeCell ref="C108:D108"/>
    <mergeCell ref="A77:B77"/>
    <mergeCell ref="D77:G77"/>
    <mergeCell ref="A71:B71"/>
    <mergeCell ref="D71:G71"/>
    <mergeCell ref="A74:B74"/>
    <mergeCell ref="D74:G74"/>
    <mergeCell ref="A88:C88"/>
    <mergeCell ref="A89:C89"/>
    <mergeCell ref="A95:C95"/>
    <mergeCell ref="A97:C97"/>
    <mergeCell ref="A83:B83"/>
    <mergeCell ref="D83:G83"/>
    <mergeCell ref="A59:B67"/>
    <mergeCell ref="F68:H68"/>
    <mergeCell ref="A161:H161"/>
    <mergeCell ref="A162:H162"/>
    <mergeCell ref="A163:H163"/>
    <mergeCell ref="A165:H165"/>
    <mergeCell ref="A166:H166"/>
    <mergeCell ref="A167:H167"/>
    <mergeCell ref="C105:D105"/>
    <mergeCell ref="C106:D106"/>
    <mergeCell ref="C107:D107"/>
    <mergeCell ref="A127:C127"/>
    <mergeCell ref="A155:H155"/>
    <mergeCell ref="A156:H156"/>
    <mergeCell ref="A157:H157"/>
    <mergeCell ref="A159:H159"/>
    <mergeCell ref="A160:H160"/>
    <mergeCell ref="F127:H127"/>
    <mergeCell ref="A129:H129"/>
    <mergeCell ref="A133:G133"/>
    <mergeCell ref="A134:G134"/>
    <mergeCell ref="A123:B123"/>
    <mergeCell ref="F123:G123"/>
    <mergeCell ref="A124:B124"/>
    <mergeCell ref="F124:G124"/>
    <mergeCell ref="A118:C118"/>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23"/>
  <sheetViews>
    <sheetView topLeftCell="F102" workbookViewId="0">
      <selection activeCell="T118" sqref="T70:U118"/>
    </sheetView>
  </sheetViews>
  <sheetFormatPr defaultColWidth="9.109375" defaultRowHeight="14.4" x14ac:dyDescent="0.3"/>
  <cols>
    <col min="1" max="1" width="9.109375" style="558"/>
    <col min="2" max="2" width="9.109375" style="559"/>
    <col min="3" max="3" width="43.44140625" style="558" bestFit="1" customWidth="1"/>
    <col min="4" max="4" width="16.33203125" style="560" bestFit="1" customWidth="1"/>
    <col min="5" max="5" width="15.109375" style="560" bestFit="1" customWidth="1"/>
    <col min="6" max="7" width="15.109375" style="558" bestFit="1" customWidth="1"/>
    <col min="8" max="8" width="15" style="558" bestFit="1" customWidth="1"/>
    <col min="9" max="9" width="14.33203125" style="558" bestFit="1" customWidth="1"/>
    <col min="10" max="10" width="16.88671875" style="558" bestFit="1" customWidth="1"/>
    <col min="11" max="11" width="14.109375" style="570" customWidth="1"/>
    <col min="12" max="16" width="14" style="558" bestFit="1" customWidth="1"/>
    <col min="17" max="18" width="15.33203125" style="558" bestFit="1" customWidth="1"/>
    <col min="19" max="16384" width="9.109375" style="558"/>
  </cols>
  <sheetData>
    <row r="1" spans="1:18" x14ac:dyDescent="0.3">
      <c r="A1" s="575" t="s">
        <v>554</v>
      </c>
    </row>
    <row r="2" spans="1:18" x14ac:dyDescent="0.3">
      <c r="C2" s="592"/>
      <c r="D2" s="614"/>
      <c r="E2" s="614"/>
      <c r="F2" s="592"/>
      <c r="G2" s="592"/>
    </row>
    <row r="4" spans="1:18" s="566" customFormat="1" ht="43.2" x14ac:dyDescent="0.3">
      <c r="A4" s="566" t="s">
        <v>328</v>
      </c>
      <c r="B4" s="567" t="s">
        <v>328</v>
      </c>
      <c r="C4" s="566" t="s">
        <v>328</v>
      </c>
      <c r="D4" s="576" t="s">
        <v>294</v>
      </c>
      <c r="E4" s="576" t="s">
        <v>537</v>
      </c>
      <c r="F4" s="567" t="s">
        <v>538</v>
      </c>
      <c r="G4" s="567" t="s">
        <v>539</v>
      </c>
      <c r="H4" s="567" t="s">
        <v>540</v>
      </c>
      <c r="I4" s="567" t="s">
        <v>541</v>
      </c>
      <c r="J4" s="567" t="s">
        <v>542</v>
      </c>
      <c r="K4" s="577" t="s">
        <v>543</v>
      </c>
      <c r="L4" s="567" t="s">
        <v>544</v>
      </c>
      <c r="M4" s="567" t="s">
        <v>545</v>
      </c>
      <c r="N4" s="567" t="s">
        <v>546</v>
      </c>
      <c r="O4" s="567" t="s">
        <v>547</v>
      </c>
      <c r="P4" s="567" t="s">
        <v>548</v>
      </c>
      <c r="Q4" s="567" t="s">
        <v>8</v>
      </c>
      <c r="R4" s="568" t="s">
        <v>550</v>
      </c>
    </row>
    <row r="5" spans="1:18" s="566" customFormat="1" x14ac:dyDescent="0.3">
      <c r="A5" s="690">
        <v>1</v>
      </c>
      <c r="B5" s="691" t="s">
        <v>584</v>
      </c>
      <c r="C5" s="690" t="s">
        <v>587</v>
      </c>
      <c r="D5" s="711">
        <v>292508.49999999994</v>
      </c>
      <c r="E5" s="576"/>
      <c r="F5" s="567"/>
      <c r="G5" s="567"/>
      <c r="H5" s="710">
        <v>22026.35</v>
      </c>
      <c r="I5" s="713">
        <v>22018.93</v>
      </c>
      <c r="J5" s="718">
        <v>38571.97</v>
      </c>
      <c r="K5" s="724">
        <v>38571.97</v>
      </c>
      <c r="L5" s="724">
        <v>34661.769999999997</v>
      </c>
      <c r="M5" s="724">
        <v>34164.379999999997</v>
      </c>
      <c r="N5" s="734">
        <v>34164.379999999997</v>
      </c>
      <c r="O5" s="735">
        <v>34618.99</v>
      </c>
      <c r="P5" s="744">
        <v>34618.99</v>
      </c>
      <c r="Q5" s="561">
        <f>SUM(E5:P5)</f>
        <v>293417.73</v>
      </c>
      <c r="R5" s="571">
        <f>SUM(E5:O5)</f>
        <v>258798.74</v>
      </c>
    </row>
    <row r="6" spans="1:18" s="566" customFormat="1" x14ac:dyDescent="0.3">
      <c r="A6" s="690">
        <v>2</v>
      </c>
      <c r="B6" s="691" t="s">
        <v>585</v>
      </c>
      <c r="C6" s="690" t="s">
        <v>588</v>
      </c>
      <c r="D6" s="711">
        <v>267225.58</v>
      </c>
      <c r="E6" s="576"/>
      <c r="F6" s="567"/>
      <c r="G6" s="567"/>
      <c r="H6" s="710">
        <v>26461.7</v>
      </c>
      <c r="I6" s="713">
        <v>26461.7</v>
      </c>
      <c r="J6" s="718">
        <v>32140.48</v>
      </c>
      <c r="K6" s="724">
        <v>32140.48</v>
      </c>
      <c r="L6" s="724">
        <v>30503.88</v>
      </c>
      <c r="M6" s="724">
        <v>29879.34</v>
      </c>
      <c r="N6" s="734">
        <v>29879.33</v>
      </c>
      <c r="O6" s="735">
        <v>30024.89</v>
      </c>
      <c r="P6" s="744">
        <v>30024.89</v>
      </c>
      <c r="Q6" s="561">
        <f t="shared" ref="Q6:Q53" si="0">SUM(E6:P6)</f>
        <v>267516.69</v>
      </c>
      <c r="R6" s="571">
        <f t="shared" ref="R6:R53" si="1">SUM(E6:O6)</f>
        <v>237491.8</v>
      </c>
    </row>
    <row r="7" spans="1:18" x14ac:dyDescent="0.3">
      <c r="A7" s="690">
        <v>3</v>
      </c>
      <c r="B7" s="559" t="s">
        <v>158</v>
      </c>
      <c r="C7" s="558" t="s">
        <v>190</v>
      </c>
      <c r="D7" s="560">
        <v>5806353.1000000006</v>
      </c>
      <c r="E7" s="560">
        <v>543134.93000000005</v>
      </c>
      <c r="F7" s="593">
        <v>544837.4</v>
      </c>
      <c r="G7" s="593">
        <v>544837.4</v>
      </c>
      <c r="H7" s="709">
        <v>544837.4</v>
      </c>
      <c r="I7" s="593">
        <v>544837.4</v>
      </c>
      <c r="J7" s="717">
        <v>452087.81</v>
      </c>
      <c r="K7" s="594">
        <v>452087.81</v>
      </c>
      <c r="L7" s="594">
        <v>442547.57</v>
      </c>
      <c r="M7" s="595">
        <v>434286.35</v>
      </c>
      <c r="N7" s="561">
        <v>434286.34</v>
      </c>
      <c r="O7" s="736">
        <v>443499.84</v>
      </c>
      <c r="P7" s="591">
        <v>443499.84</v>
      </c>
      <c r="Q7" s="561">
        <f t="shared" si="0"/>
        <v>5824780.0899999989</v>
      </c>
      <c r="R7" s="571">
        <f t="shared" si="1"/>
        <v>5381280.2499999991</v>
      </c>
    </row>
    <row r="8" spans="1:18" x14ac:dyDescent="0.3">
      <c r="A8" s="690">
        <v>4</v>
      </c>
      <c r="B8" s="559" t="s">
        <v>159</v>
      </c>
      <c r="C8" s="558" t="s">
        <v>192</v>
      </c>
      <c r="D8" s="560">
        <v>9512536.4000000004</v>
      </c>
      <c r="E8" s="593">
        <v>744106.29</v>
      </c>
      <c r="F8" s="593">
        <v>746335.74</v>
      </c>
      <c r="G8" s="593">
        <v>746356.02</v>
      </c>
      <c r="H8" s="709">
        <v>746356.02</v>
      </c>
      <c r="I8" s="593">
        <v>746356.02</v>
      </c>
      <c r="J8" s="717">
        <v>824241.24</v>
      </c>
      <c r="K8" s="594">
        <v>824241.24</v>
      </c>
      <c r="L8" s="594">
        <v>836014.93</v>
      </c>
      <c r="M8" s="595">
        <v>824632.23</v>
      </c>
      <c r="N8" s="561">
        <v>824632.22</v>
      </c>
      <c r="O8" s="591">
        <v>839353.17</v>
      </c>
      <c r="P8" s="591">
        <v>839353.18</v>
      </c>
      <c r="Q8" s="561">
        <f t="shared" si="0"/>
        <v>9541978.3000000007</v>
      </c>
      <c r="R8" s="571">
        <f t="shared" si="1"/>
        <v>8702625.120000001</v>
      </c>
    </row>
    <row r="9" spans="1:18" x14ac:dyDescent="0.3">
      <c r="A9" s="690">
        <v>5</v>
      </c>
      <c r="B9" s="559" t="s">
        <v>160</v>
      </c>
      <c r="C9" s="558" t="s">
        <v>193</v>
      </c>
      <c r="D9" s="560">
        <v>1344435.85</v>
      </c>
      <c r="E9" s="593">
        <v>96199.14</v>
      </c>
      <c r="F9" s="593">
        <v>96422.86</v>
      </c>
      <c r="G9" s="593">
        <v>96437.43</v>
      </c>
      <c r="H9" s="709">
        <v>96437.43</v>
      </c>
      <c r="I9" s="593">
        <v>96437.440000000002</v>
      </c>
      <c r="J9" s="717">
        <v>122776.57</v>
      </c>
      <c r="K9" s="594">
        <v>122776.57</v>
      </c>
      <c r="L9" s="594">
        <v>124850.17</v>
      </c>
      <c r="M9" s="595">
        <v>123024.56</v>
      </c>
      <c r="N9" s="561">
        <v>123024.56</v>
      </c>
      <c r="O9" s="591">
        <v>124009.85</v>
      </c>
      <c r="P9" s="591">
        <v>124009.85</v>
      </c>
      <c r="Q9" s="561">
        <f t="shared" si="0"/>
        <v>1346406.4300000002</v>
      </c>
      <c r="R9" s="571">
        <f t="shared" si="1"/>
        <v>1222396.58</v>
      </c>
    </row>
    <row r="10" spans="1:18" x14ac:dyDescent="0.3">
      <c r="A10" s="690">
        <v>6</v>
      </c>
      <c r="B10" s="611" t="s">
        <v>161</v>
      </c>
      <c r="C10" s="610" t="s">
        <v>595</v>
      </c>
      <c r="D10" s="612">
        <v>1540285.8099999996</v>
      </c>
      <c r="E10" s="613">
        <v>79086.62</v>
      </c>
      <c r="F10" s="613">
        <v>79408.67</v>
      </c>
      <c r="G10" s="616">
        <f>79413.53+33368.87</f>
        <v>112782.39999999999</v>
      </c>
      <c r="H10" s="709">
        <v>112782.39999999999</v>
      </c>
      <c r="I10" s="593">
        <v>112782.39999999999</v>
      </c>
      <c r="J10" s="717">
        <v>141539.98000000001</v>
      </c>
      <c r="K10" s="594">
        <v>141539.98000000001</v>
      </c>
      <c r="L10" s="594">
        <v>154523.73000000001</v>
      </c>
      <c r="M10" s="595">
        <v>151459.91</v>
      </c>
      <c r="N10" s="561">
        <v>151459.91</v>
      </c>
      <c r="O10" s="591">
        <v>152109.29</v>
      </c>
      <c r="P10" s="591">
        <v>152109.29</v>
      </c>
      <c r="Q10" s="561">
        <f t="shared" si="0"/>
        <v>1541584.5799999998</v>
      </c>
      <c r="R10" s="571">
        <f t="shared" si="1"/>
        <v>1389475.2899999998</v>
      </c>
    </row>
    <row r="11" spans="1:18" x14ac:dyDescent="0.3">
      <c r="A11" s="690">
        <v>7</v>
      </c>
      <c r="B11" s="559" t="s">
        <v>162</v>
      </c>
      <c r="C11" s="558" t="s">
        <v>295</v>
      </c>
      <c r="D11" s="560">
        <f>'Annual Rev &amp; Fees'!L12</f>
        <v>5354299.5600000015</v>
      </c>
      <c r="E11" s="593">
        <v>373318.84</v>
      </c>
      <c r="F11" s="593">
        <v>374880.45</v>
      </c>
      <c r="G11" s="593">
        <v>374908.37</v>
      </c>
      <c r="H11" s="709">
        <v>374908.37</v>
      </c>
      <c r="I11" s="593">
        <v>374908.37</v>
      </c>
      <c r="J11" s="717">
        <v>493269.72</v>
      </c>
      <c r="K11" s="594">
        <v>493269.72</v>
      </c>
      <c r="L11" s="594">
        <v>493203.62</v>
      </c>
      <c r="M11" s="595">
        <v>481492.28</v>
      </c>
      <c r="N11" s="561">
        <v>481492.27</v>
      </c>
      <c r="O11" s="591">
        <v>483667.18</v>
      </c>
      <c r="P11" s="591">
        <v>483667.18</v>
      </c>
      <c r="Q11" s="561">
        <f t="shared" si="0"/>
        <v>5282986.3699999992</v>
      </c>
      <c r="R11" s="571">
        <f t="shared" si="1"/>
        <v>4799319.1899999995</v>
      </c>
    </row>
    <row r="12" spans="1:18" x14ac:dyDescent="0.3">
      <c r="A12" s="690">
        <v>8</v>
      </c>
      <c r="B12" s="559" t="s">
        <v>163</v>
      </c>
      <c r="C12" s="558" t="s">
        <v>415</v>
      </c>
      <c r="D12" s="560">
        <v>5190302.66</v>
      </c>
      <c r="E12" s="593">
        <v>438241.71</v>
      </c>
      <c r="F12" s="593">
        <v>439779.53</v>
      </c>
      <c r="G12" s="593">
        <v>439835.38</v>
      </c>
      <c r="H12" s="709">
        <v>439835.38</v>
      </c>
      <c r="I12" s="593">
        <v>439835.38</v>
      </c>
      <c r="J12" s="717">
        <v>430636.58</v>
      </c>
      <c r="K12" s="594">
        <v>430636.58</v>
      </c>
      <c r="L12" s="594">
        <v>433305.67</v>
      </c>
      <c r="M12" s="595">
        <v>424549.11</v>
      </c>
      <c r="N12" s="561">
        <v>424549.11</v>
      </c>
      <c r="O12" s="591">
        <v>432065.16</v>
      </c>
      <c r="P12" s="591">
        <v>432065.16</v>
      </c>
      <c r="Q12" s="561">
        <f t="shared" si="0"/>
        <v>5205334.75</v>
      </c>
      <c r="R12" s="571">
        <f t="shared" si="1"/>
        <v>4773269.59</v>
      </c>
    </row>
    <row r="13" spans="1:18" x14ac:dyDescent="0.3">
      <c r="A13" s="690">
        <v>9</v>
      </c>
      <c r="B13" s="559" t="s">
        <v>164</v>
      </c>
      <c r="C13" s="558" t="s">
        <v>196</v>
      </c>
      <c r="D13" s="560">
        <v>6044517.870000001</v>
      </c>
      <c r="E13" s="593">
        <v>458554.15</v>
      </c>
      <c r="F13" s="593">
        <v>460340.26</v>
      </c>
      <c r="G13" s="593">
        <v>460361.47</v>
      </c>
      <c r="H13" s="709">
        <v>460361.47</v>
      </c>
      <c r="I13" s="593">
        <v>460361.47</v>
      </c>
      <c r="J13" s="717">
        <v>542615.68000000005</v>
      </c>
      <c r="K13" s="594">
        <v>542615.68000000005</v>
      </c>
      <c r="L13" s="594">
        <v>542100.03</v>
      </c>
      <c r="M13" s="595">
        <v>529301.92000000004</v>
      </c>
      <c r="N13" s="561">
        <v>529301.91</v>
      </c>
      <c r="O13" s="591">
        <v>538638.55000000005</v>
      </c>
      <c r="P13" s="591">
        <v>538638.54</v>
      </c>
      <c r="Q13" s="561">
        <f t="shared" si="0"/>
        <v>6063191.1299999999</v>
      </c>
      <c r="R13" s="571">
        <f t="shared" si="1"/>
        <v>5524552.5899999999</v>
      </c>
    </row>
    <row r="14" spans="1:18" x14ac:dyDescent="0.3">
      <c r="A14" s="690">
        <v>10</v>
      </c>
      <c r="B14" s="559" t="s">
        <v>165</v>
      </c>
      <c r="C14" s="558" t="s">
        <v>197</v>
      </c>
      <c r="D14" s="560">
        <v>10296273.35</v>
      </c>
      <c r="E14" s="593">
        <v>866760.71</v>
      </c>
      <c r="F14" s="593">
        <v>870181.98</v>
      </c>
      <c r="G14" s="593">
        <v>870232.61</v>
      </c>
      <c r="H14" s="709">
        <v>870232.61</v>
      </c>
      <c r="I14" s="593">
        <v>870232.61</v>
      </c>
      <c r="J14" s="717">
        <v>864585.46</v>
      </c>
      <c r="K14" s="594">
        <v>864585.46</v>
      </c>
      <c r="L14" s="594">
        <v>861472.91</v>
      </c>
      <c r="M14" s="595">
        <v>839497.25</v>
      </c>
      <c r="N14" s="561">
        <v>839497.25</v>
      </c>
      <c r="O14" s="591">
        <v>844552.06</v>
      </c>
      <c r="P14" s="591">
        <v>844552.07</v>
      </c>
      <c r="Q14" s="561">
        <f t="shared" si="0"/>
        <v>10306382.98</v>
      </c>
      <c r="R14" s="571">
        <f t="shared" si="1"/>
        <v>9461830.9100000001</v>
      </c>
    </row>
    <row r="15" spans="1:18" x14ac:dyDescent="0.3">
      <c r="A15" s="690">
        <v>11</v>
      </c>
      <c r="B15" s="559" t="s">
        <v>166</v>
      </c>
      <c r="C15" s="558" t="s">
        <v>427</v>
      </c>
      <c r="D15" s="560">
        <v>5814048.4699999988</v>
      </c>
      <c r="E15" s="593">
        <v>418062.5</v>
      </c>
      <c r="F15" s="593">
        <v>419801.64</v>
      </c>
      <c r="G15" s="593">
        <v>419829.87</v>
      </c>
      <c r="H15" s="709">
        <v>419829.87</v>
      </c>
      <c r="I15" s="593">
        <v>419829.87</v>
      </c>
      <c r="J15" s="717">
        <v>538568.26</v>
      </c>
      <c r="K15" s="594">
        <v>538568.27</v>
      </c>
      <c r="L15" s="594">
        <v>538568.26</v>
      </c>
      <c r="M15" s="595">
        <v>525247.48</v>
      </c>
      <c r="N15" s="561">
        <v>525247.48</v>
      </c>
      <c r="O15" s="591">
        <v>527383.21</v>
      </c>
      <c r="P15" s="591">
        <v>527383.21</v>
      </c>
      <c r="Q15" s="561">
        <f t="shared" si="0"/>
        <v>5818319.9199999999</v>
      </c>
      <c r="R15" s="571">
        <f t="shared" si="1"/>
        <v>5290936.71</v>
      </c>
    </row>
    <row r="16" spans="1:18" x14ac:dyDescent="0.3">
      <c r="A16" s="690">
        <v>12</v>
      </c>
      <c r="B16" s="559" t="s">
        <v>167</v>
      </c>
      <c r="C16" s="558" t="s">
        <v>426</v>
      </c>
      <c r="D16" s="560">
        <v>1082994.9200000002</v>
      </c>
      <c r="E16" s="593">
        <v>85480.95</v>
      </c>
      <c r="F16" s="593">
        <v>85606.82</v>
      </c>
      <c r="G16" s="593">
        <v>85621.5</v>
      </c>
      <c r="H16" s="709">
        <v>85621.5</v>
      </c>
      <c r="I16" s="593">
        <v>85621.5</v>
      </c>
      <c r="J16" s="717">
        <v>98560.43</v>
      </c>
      <c r="K16" s="594">
        <v>98560.43</v>
      </c>
      <c r="L16" s="594">
        <v>92162.42</v>
      </c>
      <c r="M16" s="595">
        <v>91439.84</v>
      </c>
      <c r="N16" s="561">
        <v>91439.84</v>
      </c>
      <c r="O16" s="591">
        <v>92461.52</v>
      </c>
      <c r="P16" s="591">
        <v>92461.52</v>
      </c>
      <c r="Q16" s="561">
        <f t="shared" si="0"/>
        <v>1085038.2699999998</v>
      </c>
      <c r="R16" s="571">
        <f t="shared" si="1"/>
        <v>992576.74999999988</v>
      </c>
    </row>
    <row r="17" spans="1:18" x14ac:dyDescent="0.3">
      <c r="A17" s="690">
        <v>13</v>
      </c>
      <c r="B17" s="559" t="s">
        <v>168</v>
      </c>
      <c r="C17" s="558" t="s">
        <v>200</v>
      </c>
      <c r="D17" s="560">
        <v>8983077.1699999981</v>
      </c>
      <c r="E17" s="593">
        <v>752379.59</v>
      </c>
      <c r="F17" s="593">
        <v>755267.04</v>
      </c>
      <c r="G17" s="593">
        <v>755288.45</v>
      </c>
      <c r="H17" s="709">
        <v>755288.45</v>
      </c>
      <c r="I17" s="593">
        <v>755288.46</v>
      </c>
      <c r="J17" s="717">
        <v>752295.59</v>
      </c>
      <c r="K17" s="594">
        <v>752295.59</v>
      </c>
      <c r="L17" s="594">
        <v>755542.99</v>
      </c>
      <c r="M17" s="595">
        <v>737357.75</v>
      </c>
      <c r="N17" s="561">
        <v>737357.75</v>
      </c>
      <c r="O17" s="591">
        <v>751183.18</v>
      </c>
      <c r="P17" s="591">
        <v>751183.19</v>
      </c>
      <c r="Q17" s="561">
        <f t="shared" si="0"/>
        <v>9010728.0299999993</v>
      </c>
      <c r="R17" s="571">
        <f t="shared" si="1"/>
        <v>8259544.8399999999</v>
      </c>
    </row>
    <row r="18" spans="1:18" x14ac:dyDescent="0.3">
      <c r="A18" s="690">
        <v>14</v>
      </c>
      <c r="B18" s="559" t="s">
        <v>169</v>
      </c>
      <c r="C18" s="558" t="s">
        <v>202</v>
      </c>
      <c r="D18" s="560">
        <v>2386903.9799999995</v>
      </c>
      <c r="E18" s="593">
        <v>183876.95</v>
      </c>
      <c r="F18" s="593">
        <v>184363.53</v>
      </c>
      <c r="G18" s="593">
        <v>184416.79</v>
      </c>
      <c r="H18" s="709">
        <v>184416.79</v>
      </c>
      <c r="I18" s="593">
        <v>184416.79</v>
      </c>
      <c r="J18" s="717">
        <v>207711.94</v>
      </c>
      <c r="K18" s="594">
        <v>207711.94</v>
      </c>
      <c r="L18" s="594">
        <v>211779.12</v>
      </c>
      <c r="M18" s="595">
        <v>209552.53</v>
      </c>
      <c r="N18" s="561">
        <v>209552.53</v>
      </c>
      <c r="O18" s="591">
        <v>212982.74</v>
      </c>
      <c r="P18" s="591">
        <v>212982.73</v>
      </c>
      <c r="Q18" s="561">
        <f t="shared" si="0"/>
        <v>2393764.3800000004</v>
      </c>
      <c r="R18" s="571">
        <f t="shared" si="1"/>
        <v>2180781.6500000004</v>
      </c>
    </row>
    <row r="19" spans="1:18" x14ac:dyDescent="0.3">
      <c r="A19" s="690">
        <v>15</v>
      </c>
      <c r="B19" s="611" t="s">
        <v>170</v>
      </c>
      <c r="C19" s="610" t="s">
        <v>204</v>
      </c>
      <c r="D19" s="612">
        <f>E19+F19</f>
        <v>66663.929999999993</v>
      </c>
      <c r="E19" s="613">
        <v>33300.01</v>
      </c>
      <c r="F19" s="613">
        <v>33363.919999999998</v>
      </c>
      <c r="G19" s="616">
        <v>0</v>
      </c>
      <c r="H19" s="709"/>
      <c r="I19" s="593">
        <v>0</v>
      </c>
      <c r="J19" s="717">
        <v>0</v>
      </c>
      <c r="K19" s="594">
        <v>0</v>
      </c>
      <c r="L19" s="594">
        <v>0</v>
      </c>
      <c r="M19" s="595"/>
      <c r="N19" s="561"/>
      <c r="O19" s="591">
        <v>0</v>
      </c>
      <c r="P19" s="591">
        <v>0</v>
      </c>
      <c r="Q19" s="561">
        <f t="shared" si="0"/>
        <v>66663.929999999993</v>
      </c>
      <c r="R19" s="571">
        <f t="shared" si="1"/>
        <v>66663.929999999993</v>
      </c>
    </row>
    <row r="20" spans="1:18" x14ac:dyDescent="0.3">
      <c r="A20" s="690">
        <v>16</v>
      </c>
      <c r="B20" s="559" t="s">
        <v>171</v>
      </c>
      <c r="C20" s="558" t="s">
        <v>205</v>
      </c>
      <c r="D20" s="560">
        <v>1634923.4899999998</v>
      </c>
      <c r="E20" s="593">
        <v>144251.51</v>
      </c>
      <c r="F20" s="593">
        <v>144800.1</v>
      </c>
      <c r="G20" s="593">
        <v>144845.64000000001</v>
      </c>
      <c r="H20" s="709">
        <v>144845.64000000001</v>
      </c>
      <c r="I20" s="593">
        <v>144845.64000000001</v>
      </c>
      <c r="J20" s="717">
        <v>133747.97</v>
      </c>
      <c r="K20" s="594">
        <v>133747.97</v>
      </c>
      <c r="L20" s="594">
        <v>131505.39000000001</v>
      </c>
      <c r="M20" s="595">
        <v>128083.41</v>
      </c>
      <c r="N20" s="561">
        <v>128083.41</v>
      </c>
      <c r="O20" s="591">
        <v>130502.71</v>
      </c>
      <c r="P20" s="591">
        <v>130502.7</v>
      </c>
      <c r="Q20" s="561">
        <f t="shared" si="0"/>
        <v>1639762.0899999996</v>
      </c>
      <c r="R20" s="571">
        <f t="shared" si="1"/>
        <v>1509259.3899999997</v>
      </c>
    </row>
    <row r="21" spans="1:18" x14ac:dyDescent="0.3">
      <c r="A21" s="690">
        <v>17</v>
      </c>
      <c r="B21" s="559" t="s">
        <v>172</v>
      </c>
      <c r="C21" s="558" t="s">
        <v>296</v>
      </c>
      <c r="D21" s="560">
        <v>4354218.2799999984</v>
      </c>
      <c r="E21" s="593">
        <v>370530.88</v>
      </c>
      <c r="F21" s="593">
        <v>371985.33</v>
      </c>
      <c r="G21" s="593">
        <v>372039.83</v>
      </c>
      <c r="H21" s="709">
        <v>372039.83</v>
      </c>
      <c r="I21" s="593">
        <v>372039.83</v>
      </c>
      <c r="J21" s="717">
        <v>361457.36</v>
      </c>
      <c r="K21" s="594">
        <v>361457.36</v>
      </c>
      <c r="L21" s="594">
        <v>361912.76</v>
      </c>
      <c r="M21" s="595">
        <v>352688.78</v>
      </c>
      <c r="N21" s="561">
        <v>352688.77</v>
      </c>
      <c r="O21" s="591">
        <v>359356.86</v>
      </c>
      <c r="P21" s="591">
        <v>359356.85</v>
      </c>
      <c r="Q21" s="561">
        <f t="shared" si="0"/>
        <v>4367554.4399999995</v>
      </c>
      <c r="R21" s="571">
        <f t="shared" si="1"/>
        <v>4008197.59</v>
      </c>
    </row>
    <row r="22" spans="1:18" x14ac:dyDescent="0.3">
      <c r="A22" s="690">
        <v>18</v>
      </c>
      <c r="B22" s="559" t="s">
        <v>173</v>
      </c>
      <c r="C22" s="558" t="s">
        <v>227</v>
      </c>
      <c r="D22" s="560">
        <v>5757622.9299999988</v>
      </c>
      <c r="E22" s="593">
        <v>457612.31</v>
      </c>
      <c r="F22" s="593">
        <v>459102.47</v>
      </c>
      <c r="G22" s="593">
        <v>465112.24</v>
      </c>
      <c r="H22" s="709">
        <v>465112.24</v>
      </c>
      <c r="I22" s="593">
        <v>465112.24</v>
      </c>
      <c r="J22" s="717">
        <v>506201.79</v>
      </c>
      <c r="K22" s="594">
        <v>506201.79</v>
      </c>
      <c r="L22" s="594">
        <v>494399.69</v>
      </c>
      <c r="M22" s="595">
        <v>484692.04</v>
      </c>
      <c r="N22" s="561">
        <v>484692.04</v>
      </c>
      <c r="O22" s="591">
        <v>494003.49</v>
      </c>
      <c r="P22" s="591">
        <v>494003.49</v>
      </c>
      <c r="Q22" s="561">
        <f t="shared" si="0"/>
        <v>5776245.8300000001</v>
      </c>
      <c r="R22" s="571">
        <f t="shared" si="1"/>
        <v>5282242.34</v>
      </c>
    </row>
    <row r="23" spans="1:18" x14ac:dyDescent="0.3">
      <c r="A23" s="690">
        <v>19</v>
      </c>
      <c r="B23" s="559" t="s">
        <v>174</v>
      </c>
      <c r="C23" s="558" t="s">
        <v>195</v>
      </c>
      <c r="D23" s="560">
        <v>901586.45000000019</v>
      </c>
      <c r="E23" s="593">
        <v>82429.48</v>
      </c>
      <c r="F23" s="593">
        <v>82658.69</v>
      </c>
      <c r="G23" s="593">
        <v>82683.14</v>
      </c>
      <c r="H23" s="709">
        <v>82683.14</v>
      </c>
      <c r="I23" s="593">
        <v>82683.14</v>
      </c>
      <c r="J23" s="717">
        <v>72136.72</v>
      </c>
      <c r="K23" s="594">
        <v>72136.73</v>
      </c>
      <c r="L23" s="594">
        <v>69725.149999999994</v>
      </c>
      <c r="M23" s="595">
        <v>68612.570000000007</v>
      </c>
      <c r="N23" s="561">
        <v>68612.56</v>
      </c>
      <c r="O23" s="591">
        <v>70040.23</v>
      </c>
      <c r="P23" s="591">
        <v>70040.22</v>
      </c>
      <c r="Q23" s="561">
        <f t="shared" si="0"/>
        <v>904441.77</v>
      </c>
      <c r="R23" s="571">
        <f t="shared" si="1"/>
        <v>834401.55</v>
      </c>
    </row>
    <row r="24" spans="1:18" x14ac:dyDescent="0.3">
      <c r="A24" s="690">
        <v>20</v>
      </c>
      <c r="B24" s="559" t="s">
        <v>175</v>
      </c>
      <c r="C24" s="558" t="s">
        <v>189</v>
      </c>
      <c r="D24" s="560">
        <v>1119947.5699999998</v>
      </c>
      <c r="E24" s="593">
        <v>93468.86</v>
      </c>
      <c r="F24" s="593">
        <v>93648.320000000007</v>
      </c>
      <c r="G24" s="593">
        <v>93667.31</v>
      </c>
      <c r="H24" s="709">
        <v>93667.3</v>
      </c>
      <c r="I24" s="593">
        <v>93667.31</v>
      </c>
      <c r="J24" s="717">
        <v>95159.11</v>
      </c>
      <c r="K24" s="594">
        <v>95159.11</v>
      </c>
      <c r="L24" s="594">
        <v>93255.37</v>
      </c>
      <c r="M24" s="595">
        <v>92063.72</v>
      </c>
      <c r="N24" s="561">
        <v>92063.72</v>
      </c>
      <c r="O24" s="591">
        <v>93334.52</v>
      </c>
      <c r="P24" s="591">
        <v>93334.51</v>
      </c>
      <c r="Q24" s="561">
        <f t="shared" si="0"/>
        <v>1122489.1599999999</v>
      </c>
      <c r="R24" s="571">
        <f t="shared" si="1"/>
        <v>1029154.6499999999</v>
      </c>
    </row>
    <row r="25" spans="1:18" x14ac:dyDescent="0.3">
      <c r="A25" s="690">
        <v>21</v>
      </c>
      <c r="B25" s="559" t="s">
        <v>176</v>
      </c>
      <c r="C25" s="558" t="s">
        <v>206</v>
      </c>
      <c r="D25" s="560">
        <v>3485855.5599999996</v>
      </c>
      <c r="E25" s="593">
        <v>261804.23</v>
      </c>
      <c r="F25" s="593">
        <v>262560.39</v>
      </c>
      <c r="G25" s="593">
        <v>262610.42</v>
      </c>
      <c r="H25" s="709">
        <v>262610.42</v>
      </c>
      <c r="I25" s="593">
        <v>262610.42</v>
      </c>
      <c r="J25" s="717">
        <v>313466.46999999997</v>
      </c>
      <c r="K25" s="594">
        <v>313466.48</v>
      </c>
      <c r="L25" s="594">
        <v>312882.59999999998</v>
      </c>
      <c r="M25" s="595">
        <v>308461.03000000003</v>
      </c>
      <c r="N25" s="561">
        <v>308461.03000000003</v>
      </c>
      <c r="O25" s="591">
        <v>313942.58</v>
      </c>
      <c r="P25" s="591">
        <v>313942.57</v>
      </c>
      <c r="Q25" s="561">
        <f t="shared" si="0"/>
        <v>3496818.64</v>
      </c>
      <c r="R25" s="571">
        <f t="shared" si="1"/>
        <v>3182876.0700000003</v>
      </c>
    </row>
    <row r="26" spans="1:18" x14ac:dyDescent="0.3">
      <c r="A26" s="690">
        <v>22</v>
      </c>
      <c r="B26" s="559" t="s">
        <v>177</v>
      </c>
      <c r="C26" s="558" t="s">
        <v>207</v>
      </c>
      <c r="D26" s="560">
        <v>3382971.5</v>
      </c>
      <c r="E26" s="593">
        <v>271329</v>
      </c>
      <c r="F26" s="593">
        <v>272395.59000000003</v>
      </c>
      <c r="G26" s="593">
        <v>272417.49</v>
      </c>
      <c r="H26" s="709">
        <v>272417.49</v>
      </c>
      <c r="I26" s="593">
        <v>272417.49</v>
      </c>
      <c r="J26" s="717">
        <v>293048.83</v>
      </c>
      <c r="K26" s="594">
        <v>293048.84000000003</v>
      </c>
      <c r="L26" s="594">
        <v>292984.34999999998</v>
      </c>
      <c r="M26" s="595">
        <v>285728.11</v>
      </c>
      <c r="N26" s="561">
        <v>285728.09999999998</v>
      </c>
      <c r="O26" s="591">
        <v>290836.2</v>
      </c>
      <c r="P26" s="591">
        <v>290836.19</v>
      </c>
      <c r="Q26" s="561">
        <f t="shared" si="0"/>
        <v>3393187.68</v>
      </c>
      <c r="R26" s="571">
        <f t="shared" si="1"/>
        <v>3102351.49</v>
      </c>
    </row>
    <row r="27" spans="1:18" x14ac:dyDescent="0.3">
      <c r="A27" s="690">
        <v>23</v>
      </c>
      <c r="B27" s="559" t="s">
        <v>178</v>
      </c>
      <c r="C27" s="558" t="s">
        <v>208</v>
      </c>
      <c r="D27" s="560">
        <v>3811855.0599999991</v>
      </c>
      <c r="E27" s="593">
        <v>269507.71999999997</v>
      </c>
      <c r="F27" s="593">
        <v>270454.28000000003</v>
      </c>
      <c r="G27" s="593">
        <v>270504.44</v>
      </c>
      <c r="H27" s="709">
        <v>270504.44</v>
      </c>
      <c r="I27" s="593">
        <v>270504.44</v>
      </c>
      <c r="J27" s="717">
        <v>351143.65</v>
      </c>
      <c r="K27" s="594">
        <v>351143.65</v>
      </c>
      <c r="L27" s="594">
        <v>356804.56</v>
      </c>
      <c r="M27" s="595">
        <v>350321.97</v>
      </c>
      <c r="N27" s="561">
        <v>350321.97</v>
      </c>
      <c r="O27" s="591">
        <v>356514.32</v>
      </c>
      <c r="P27" s="591">
        <v>356514.31</v>
      </c>
      <c r="Q27" s="561">
        <f t="shared" si="0"/>
        <v>3824239.7499999991</v>
      </c>
      <c r="R27" s="571">
        <f t="shared" si="1"/>
        <v>3467725.439999999</v>
      </c>
    </row>
    <row r="28" spans="1:18" x14ac:dyDescent="0.3">
      <c r="A28" s="690">
        <v>24</v>
      </c>
      <c r="B28" s="559" t="s">
        <v>179</v>
      </c>
      <c r="C28" s="558" t="s">
        <v>210</v>
      </c>
      <c r="D28" s="560">
        <v>8700721.3800000008</v>
      </c>
      <c r="E28" s="593">
        <v>702850.13</v>
      </c>
      <c r="F28" s="593">
        <v>705612.5</v>
      </c>
      <c r="G28" s="593">
        <v>705634.01</v>
      </c>
      <c r="H28" s="709">
        <v>705634.01</v>
      </c>
      <c r="I28" s="593">
        <v>705634.01</v>
      </c>
      <c r="J28" s="717">
        <v>745453.32</v>
      </c>
      <c r="K28" s="594">
        <v>745453.33</v>
      </c>
      <c r="L28" s="594">
        <v>751384.91</v>
      </c>
      <c r="M28" s="595">
        <v>733266.29</v>
      </c>
      <c r="N28" s="561">
        <v>733266.29</v>
      </c>
      <c r="O28" s="591">
        <v>746652.36</v>
      </c>
      <c r="P28" s="591">
        <v>746652.35</v>
      </c>
      <c r="Q28" s="561">
        <f t="shared" si="0"/>
        <v>8727493.5099999998</v>
      </c>
      <c r="R28" s="571">
        <f t="shared" si="1"/>
        <v>7980841.1600000001</v>
      </c>
    </row>
    <row r="29" spans="1:18" x14ac:dyDescent="0.3">
      <c r="A29" s="690">
        <v>25</v>
      </c>
      <c r="B29" s="559">
        <v>3441</v>
      </c>
      <c r="C29" s="558" t="s">
        <v>228</v>
      </c>
      <c r="D29" s="560">
        <v>4366954.78</v>
      </c>
      <c r="E29" s="593">
        <v>362240.2</v>
      </c>
      <c r="F29" s="593">
        <v>363336.93</v>
      </c>
      <c r="G29" s="593">
        <v>363387.69</v>
      </c>
      <c r="H29" s="709">
        <v>363387.68</v>
      </c>
      <c r="I29" s="593">
        <v>363387.69</v>
      </c>
      <c r="J29" s="717">
        <v>367176.42</v>
      </c>
      <c r="K29" s="594">
        <v>367176.42</v>
      </c>
      <c r="L29" s="594">
        <v>367790.18</v>
      </c>
      <c r="M29" s="595">
        <v>362267.89</v>
      </c>
      <c r="N29" s="561">
        <v>362267.89</v>
      </c>
      <c r="O29" s="591">
        <v>369101.12</v>
      </c>
      <c r="P29" s="591">
        <v>369101.12</v>
      </c>
      <c r="Q29" s="561">
        <f t="shared" si="0"/>
        <v>4380621.2300000004</v>
      </c>
      <c r="R29" s="571">
        <f t="shared" si="1"/>
        <v>4011520.1100000003</v>
      </c>
    </row>
    <row r="30" spans="1:18" x14ac:dyDescent="0.3">
      <c r="A30" s="690">
        <v>26</v>
      </c>
      <c r="B30" s="559">
        <v>3924</v>
      </c>
      <c r="C30" s="558" t="s">
        <v>414</v>
      </c>
      <c r="D30" s="560">
        <v>3626197.54</v>
      </c>
      <c r="E30" s="593">
        <v>321097.51</v>
      </c>
      <c r="F30" s="593">
        <v>322121.01</v>
      </c>
      <c r="G30" s="593">
        <v>322172.34999999998</v>
      </c>
      <c r="H30" s="709">
        <v>322172.34999999998</v>
      </c>
      <c r="I30" s="593">
        <v>322172.36</v>
      </c>
      <c r="J30" s="717">
        <v>292239.55</v>
      </c>
      <c r="K30" s="594">
        <v>292239.55</v>
      </c>
      <c r="L30" s="594">
        <v>290536.23</v>
      </c>
      <c r="M30" s="595">
        <v>285361.65999999997</v>
      </c>
      <c r="N30" s="561">
        <v>285361.65999999997</v>
      </c>
      <c r="O30" s="591">
        <v>290997.09000000003</v>
      </c>
      <c r="P30" s="591">
        <v>290997.08</v>
      </c>
      <c r="Q30" s="561">
        <f t="shared" si="0"/>
        <v>3637468.4000000004</v>
      </c>
      <c r="R30" s="571">
        <f t="shared" si="1"/>
        <v>3346471.3200000003</v>
      </c>
    </row>
    <row r="31" spans="1:18" x14ac:dyDescent="0.3">
      <c r="A31" s="690">
        <v>27</v>
      </c>
      <c r="B31" s="559" t="s">
        <v>180</v>
      </c>
      <c r="C31" s="558" t="s">
        <v>191</v>
      </c>
      <c r="D31" s="560">
        <v>1992087.5599999998</v>
      </c>
      <c r="E31" s="593">
        <v>183588.24</v>
      </c>
      <c r="F31" s="593">
        <v>184304.2</v>
      </c>
      <c r="G31" s="593">
        <v>184326.33</v>
      </c>
      <c r="H31" s="709">
        <v>184326.33</v>
      </c>
      <c r="I31" s="593">
        <v>184326.33</v>
      </c>
      <c r="J31" s="717">
        <v>155101.01</v>
      </c>
      <c r="K31" s="594">
        <v>155101.01</v>
      </c>
      <c r="L31" s="594">
        <v>155623.69</v>
      </c>
      <c r="M31" s="595">
        <v>151347.60999999999</v>
      </c>
      <c r="N31" s="561">
        <v>151347.6</v>
      </c>
      <c r="O31" s="591">
        <v>154326.01</v>
      </c>
      <c r="P31" s="591">
        <v>154326</v>
      </c>
      <c r="Q31" s="561">
        <f t="shared" si="0"/>
        <v>1998044.36</v>
      </c>
      <c r="R31" s="571">
        <f t="shared" si="1"/>
        <v>1843718.36</v>
      </c>
    </row>
    <row r="32" spans="1:18" x14ac:dyDescent="0.3">
      <c r="A32" s="690">
        <v>28</v>
      </c>
      <c r="B32" s="559" t="s">
        <v>181</v>
      </c>
      <c r="C32" s="558" t="s">
        <v>201</v>
      </c>
      <c r="D32" s="560">
        <v>2459958.0700000003</v>
      </c>
      <c r="E32" s="593">
        <v>227226.19</v>
      </c>
      <c r="F32" s="593">
        <v>228128.07</v>
      </c>
      <c r="G32" s="593">
        <v>222052.75</v>
      </c>
      <c r="H32" s="709">
        <v>222052.75</v>
      </c>
      <c r="I32" s="593">
        <v>222052.75</v>
      </c>
      <c r="J32" s="717">
        <v>192742.05</v>
      </c>
      <c r="K32" s="594">
        <v>192742.06</v>
      </c>
      <c r="L32" s="594">
        <v>194781.58</v>
      </c>
      <c r="M32" s="595">
        <v>189544.97</v>
      </c>
      <c r="N32" s="561">
        <v>189544.97</v>
      </c>
      <c r="O32" s="591">
        <v>193381</v>
      </c>
      <c r="P32" s="591">
        <v>193381</v>
      </c>
      <c r="Q32" s="561">
        <f t="shared" si="0"/>
        <v>2467630.14</v>
      </c>
      <c r="R32" s="571">
        <f t="shared" si="1"/>
        <v>2274249.14</v>
      </c>
    </row>
    <row r="33" spans="1:18" x14ac:dyDescent="0.3">
      <c r="A33" s="690">
        <v>29</v>
      </c>
      <c r="B33" s="559" t="s">
        <v>182</v>
      </c>
      <c r="C33" s="558" t="s">
        <v>354</v>
      </c>
      <c r="D33" s="560">
        <v>5001996.6100000003</v>
      </c>
      <c r="E33" s="593">
        <v>458603.06</v>
      </c>
      <c r="F33" s="593">
        <v>459980.77</v>
      </c>
      <c r="G33" s="593">
        <v>460031.21</v>
      </c>
      <c r="H33" s="709">
        <v>460031.21</v>
      </c>
      <c r="I33" s="593">
        <v>460031.21</v>
      </c>
      <c r="J33" s="717">
        <v>422865.75</v>
      </c>
      <c r="K33" s="594">
        <v>422865.75</v>
      </c>
      <c r="L33" s="594">
        <v>379686.32</v>
      </c>
      <c r="M33" s="595">
        <v>369475.33</v>
      </c>
      <c r="N33" s="561">
        <v>369475.33</v>
      </c>
      <c r="O33" s="591">
        <v>377682.61</v>
      </c>
      <c r="P33" s="591">
        <v>377682.6</v>
      </c>
      <c r="Q33" s="561">
        <f t="shared" si="0"/>
        <v>5018411.1499999994</v>
      </c>
      <c r="R33" s="571">
        <f t="shared" si="1"/>
        <v>4640728.55</v>
      </c>
    </row>
    <row r="34" spans="1:18" x14ac:dyDescent="0.3">
      <c r="A34" s="690">
        <v>30</v>
      </c>
      <c r="B34" s="559" t="s">
        <v>183</v>
      </c>
      <c r="C34" s="558" t="s">
        <v>219</v>
      </c>
      <c r="D34" s="560">
        <v>5814726.2000000002</v>
      </c>
      <c r="E34" s="593">
        <v>501572.04</v>
      </c>
      <c r="F34" s="593">
        <v>503475.79</v>
      </c>
      <c r="G34" s="593">
        <v>503529.61</v>
      </c>
      <c r="H34" s="709">
        <v>503529.6</v>
      </c>
      <c r="I34" s="593">
        <v>503529.61</v>
      </c>
      <c r="J34" s="717">
        <v>476778.75</v>
      </c>
      <c r="K34" s="594">
        <v>476778.75</v>
      </c>
      <c r="L34" s="594">
        <v>478450.35</v>
      </c>
      <c r="M34" s="595">
        <v>466770.43</v>
      </c>
      <c r="N34" s="561">
        <v>466770.42</v>
      </c>
      <c r="O34" s="591">
        <v>475652.15</v>
      </c>
      <c r="P34" s="591">
        <v>475652.15</v>
      </c>
      <c r="Q34" s="561">
        <f t="shared" si="0"/>
        <v>5832489.6500000004</v>
      </c>
      <c r="R34" s="571">
        <f t="shared" si="1"/>
        <v>5356837.5</v>
      </c>
    </row>
    <row r="35" spans="1:18" x14ac:dyDescent="0.3">
      <c r="A35" s="690">
        <v>31</v>
      </c>
      <c r="B35" s="559">
        <v>4002</v>
      </c>
      <c r="C35" s="558" t="s">
        <v>218</v>
      </c>
      <c r="D35" s="560">
        <v>8462138.7100000009</v>
      </c>
      <c r="E35" s="593">
        <v>777532.13</v>
      </c>
      <c r="F35" s="593">
        <v>780625.73</v>
      </c>
      <c r="G35" s="593">
        <v>780680.65</v>
      </c>
      <c r="H35" s="709">
        <v>780680.65</v>
      </c>
      <c r="I35" s="593">
        <v>780680.66</v>
      </c>
      <c r="J35" s="717">
        <v>662598.02</v>
      </c>
      <c r="K35" s="594">
        <v>662598.02</v>
      </c>
      <c r="L35" s="594">
        <v>661991.35</v>
      </c>
      <c r="M35" s="595">
        <v>643687.88</v>
      </c>
      <c r="N35" s="561">
        <v>643687.87</v>
      </c>
      <c r="O35" s="591">
        <v>656579.85</v>
      </c>
      <c r="P35" s="591">
        <v>656579.83999999997</v>
      </c>
      <c r="Q35" s="561">
        <f t="shared" si="0"/>
        <v>8487922.6499999985</v>
      </c>
      <c r="R35" s="571">
        <f t="shared" si="1"/>
        <v>7831342.8099999987</v>
      </c>
    </row>
    <row r="36" spans="1:18" x14ac:dyDescent="0.3">
      <c r="A36" s="690">
        <v>32</v>
      </c>
      <c r="B36" s="559">
        <v>4012</v>
      </c>
      <c r="C36" s="558" t="s">
        <v>221</v>
      </c>
      <c r="D36" s="560">
        <v>4800048.9899999993</v>
      </c>
      <c r="E36" s="593">
        <v>442138</v>
      </c>
      <c r="F36" s="593">
        <v>443875.95</v>
      </c>
      <c r="G36" s="593">
        <v>443896.27</v>
      </c>
      <c r="H36" s="709">
        <v>443896.27</v>
      </c>
      <c r="I36" s="593">
        <v>443896.27</v>
      </c>
      <c r="J36" s="717">
        <v>375074.97</v>
      </c>
      <c r="K36" s="594">
        <v>375074.97</v>
      </c>
      <c r="L36" s="594">
        <v>374624.01</v>
      </c>
      <c r="M36" s="595">
        <v>364393.07</v>
      </c>
      <c r="N36" s="561">
        <v>364393.07</v>
      </c>
      <c r="O36" s="591">
        <v>372235.31</v>
      </c>
      <c r="P36" s="591">
        <v>372235.3</v>
      </c>
      <c r="Q36" s="561">
        <f t="shared" si="0"/>
        <v>4815733.4599999981</v>
      </c>
      <c r="R36" s="571">
        <f t="shared" si="1"/>
        <v>4443498.1599999983</v>
      </c>
    </row>
    <row r="37" spans="1:18" x14ac:dyDescent="0.3">
      <c r="A37" s="690">
        <v>33</v>
      </c>
      <c r="B37" s="559">
        <v>4013</v>
      </c>
      <c r="C37" s="558" t="s">
        <v>223</v>
      </c>
      <c r="D37" s="560">
        <v>7984818.9300000006</v>
      </c>
      <c r="E37" s="593">
        <v>654398.57999999996</v>
      </c>
      <c r="F37" s="593">
        <v>657017.1</v>
      </c>
      <c r="G37" s="593">
        <v>657037.06999999995</v>
      </c>
      <c r="H37" s="709">
        <v>657037.06999999995</v>
      </c>
      <c r="I37" s="593">
        <v>657037.06999999995</v>
      </c>
      <c r="J37" s="717">
        <v>680253.26</v>
      </c>
      <c r="K37" s="594">
        <v>680253.26</v>
      </c>
      <c r="L37" s="594">
        <v>682191.99</v>
      </c>
      <c r="M37" s="595">
        <v>664898.38</v>
      </c>
      <c r="N37" s="561">
        <v>664898.38</v>
      </c>
      <c r="O37" s="591">
        <v>678382.41</v>
      </c>
      <c r="P37" s="591">
        <v>678382.4</v>
      </c>
      <c r="Q37" s="561">
        <f t="shared" si="0"/>
        <v>8011786.9699999997</v>
      </c>
      <c r="R37" s="571">
        <f t="shared" si="1"/>
        <v>7333404.5699999994</v>
      </c>
    </row>
    <row r="38" spans="1:18" x14ac:dyDescent="0.3">
      <c r="A38" s="690">
        <v>34</v>
      </c>
      <c r="B38" s="559">
        <v>4020</v>
      </c>
      <c r="C38" s="558" t="s">
        <v>364</v>
      </c>
      <c r="D38" s="560">
        <v>10680913.180000002</v>
      </c>
      <c r="E38" s="593">
        <v>848921.99</v>
      </c>
      <c r="F38" s="593">
        <v>852093.97</v>
      </c>
      <c r="G38" s="593">
        <v>852147.55</v>
      </c>
      <c r="H38" s="709">
        <v>852147.55</v>
      </c>
      <c r="I38" s="593">
        <v>852147.55</v>
      </c>
      <c r="J38" s="717">
        <v>925462.84</v>
      </c>
      <c r="K38" s="594">
        <v>925462.84</v>
      </c>
      <c r="L38" s="594">
        <v>930732.55</v>
      </c>
      <c r="M38" s="595">
        <v>910449.09</v>
      </c>
      <c r="N38" s="561">
        <v>910449.08</v>
      </c>
      <c r="O38" s="591">
        <v>926805.61</v>
      </c>
      <c r="P38" s="591">
        <v>926805.6</v>
      </c>
      <c r="Q38" s="561">
        <f t="shared" si="0"/>
        <v>10713626.219999997</v>
      </c>
      <c r="R38" s="571">
        <f t="shared" si="1"/>
        <v>9786820.6199999973</v>
      </c>
    </row>
    <row r="39" spans="1:18" x14ac:dyDescent="0.3">
      <c r="A39" s="690">
        <v>35</v>
      </c>
      <c r="B39" s="559">
        <v>4030</v>
      </c>
      <c r="C39" s="558" t="s">
        <v>348</v>
      </c>
      <c r="D39" s="560">
        <v>2594814.5200000005</v>
      </c>
      <c r="E39" s="593">
        <v>227815.64</v>
      </c>
      <c r="F39" s="593">
        <v>228733.02</v>
      </c>
      <c r="G39" s="593">
        <v>228790.53</v>
      </c>
      <c r="H39" s="709">
        <v>228790.53</v>
      </c>
      <c r="I39" s="593">
        <v>228790.53</v>
      </c>
      <c r="J39" s="717">
        <v>210714</v>
      </c>
      <c r="K39" s="594">
        <v>210714.01</v>
      </c>
      <c r="L39" s="594">
        <v>210605.27</v>
      </c>
      <c r="M39" s="595">
        <v>204965.25</v>
      </c>
      <c r="N39" s="561">
        <v>204965.25</v>
      </c>
      <c r="O39" s="591">
        <v>208832.09</v>
      </c>
      <c r="P39" s="591">
        <v>208832.08</v>
      </c>
      <c r="Q39" s="561">
        <f t="shared" si="0"/>
        <v>2602548.2000000002</v>
      </c>
      <c r="R39" s="571">
        <f t="shared" si="1"/>
        <v>2393716.12</v>
      </c>
    </row>
    <row r="40" spans="1:18" x14ac:dyDescent="0.3">
      <c r="A40" s="690">
        <v>36</v>
      </c>
      <c r="B40" s="559">
        <v>4031</v>
      </c>
      <c r="C40" s="558" t="s">
        <v>376</v>
      </c>
      <c r="D40" s="560">
        <v>3857975.08</v>
      </c>
      <c r="E40" s="593">
        <v>375586.71</v>
      </c>
      <c r="F40" s="593">
        <v>377076.81</v>
      </c>
      <c r="G40" s="593">
        <v>377131.17</v>
      </c>
      <c r="H40" s="709">
        <v>377131.17</v>
      </c>
      <c r="I40" s="593">
        <v>377131.18</v>
      </c>
      <c r="J40" s="717">
        <v>284716.40000000002</v>
      </c>
      <c r="K40" s="594">
        <v>284716.40000000002</v>
      </c>
      <c r="L40" s="594">
        <v>287538.09000000003</v>
      </c>
      <c r="M40" s="595">
        <v>279236.78999999998</v>
      </c>
      <c r="N40" s="561">
        <v>279236.78999999998</v>
      </c>
      <c r="O40" s="591">
        <v>285149.28999999998</v>
      </c>
      <c r="P40" s="591">
        <v>285149.28000000003</v>
      </c>
      <c r="Q40" s="561">
        <f t="shared" si="0"/>
        <v>3869800.08</v>
      </c>
      <c r="R40" s="571">
        <f t="shared" si="1"/>
        <v>3584650.8</v>
      </c>
    </row>
    <row r="41" spans="1:18" x14ac:dyDescent="0.3">
      <c r="A41" s="690">
        <v>37</v>
      </c>
      <c r="B41" s="559">
        <v>4041</v>
      </c>
      <c r="C41" s="558" t="s">
        <v>225</v>
      </c>
      <c r="D41" s="560">
        <v>759402.4099999998</v>
      </c>
      <c r="E41" s="593">
        <v>60968.85</v>
      </c>
      <c r="F41" s="593">
        <v>61206.94</v>
      </c>
      <c r="G41" s="593">
        <v>61214.31</v>
      </c>
      <c r="H41" s="709">
        <v>61214.31</v>
      </c>
      <c r="I41" s="593">
        <v>61214.31</v>
      </c>
      <c r="J41" s="717">
        <v>65401.79</v>
      </c>
      <c r="K41" s="594">
        <v>65401.79</v>
      </c>
      <c r="L41" s="594">
        <v>65859.06</v>
      </c>
      <c r="M41" s="595">
        <v>64230.26</v>
      </c>
      <c r="N41" s="561">
        <v>64230.26</v>
      </c>
      <c r="O41" s="591">
        <v>65461.66</v>
      </c>
      <c r="P41" s="591">
        <v>65461.65</v>
      </c>
      <c r="Q41" s="561">
        <f t="shared" si="0"/>
        <v>761865.19</v>
      </c>
      <c r="R41" s="571">
        <f t="shared" si="1"/>
        <v>696403.53999999992</v>
      </c>
    </row>
    <row r="42" spans="1:18" x14ac:dyDescent="0.3">
      <c r="A42" s="690">
        <v>38</v>
      </c>
      <c r="B42" s="559">
        <v>4050</v>
      </c>
      <c r="C42" s="558" t="s">
        <v>216</v>
      </c>
      <c r="D42" s="560">
        <v>6128565.25</v>
      </c>
      <c r="E42" s="593">
        <v>547951.48</v>
      </c>
      <c r="F42" s="593">
        <v>550135.93000000005</v>
      </c>
      <c r="G42" s="593">
        <v>550189.84</v>
      </c>
      <c r="H42" s="709">
        <v>550189.82999999996</v>
      </c>
      <c r="I42" s="593">
        <v>550189.84</v>
      </c>
      <c r="J42" s="717">
        <v>489528.4</v>
      </c>
      <c r="K42" s="594">
        <v>489528.4</v>
      </c>
      <c r="L42" s="594">
        <v>490763.47</v>
      </c>
      <c r="M42" s="595">
        <v>477522.02</v>
      </c>
      <c r="N42" s="561">
        <v>477522.01</v>
      </c>
      <c r="O42" s="591">
        <v>487005.43</v>
      </c>
      <c r="P42" s="591">
        <v>487005.42</v>
      </c>
      <c r="Q42" s="561">
        <f t="shared" si="0"/>
        <v>6147532.0699999984</v>
      </c>
      <c r="R42" s="571">
        <f t="shared" si="1"/>
        <v>5660526.6499999985</v>
      </c>
    </row>
    <row r="43" spans="1:18" x14ac:dyDescent="0.3">
      <c r="A43" s="690">
        <v>39</v>
      </c>
      <c r="B43" s="559">
        <v>4051</v>
      </c>
      <c r="C43" s="558" t="s">
        <v>214</v>
      </c>
      <c r="D43" s="560">
        <v>6474165.1999999993</v>
      </c>
      <c r="E43" s="593">
        <v>601326.9</v>
      </c>
      <c r="F43" s="593">
        <v>603719.79</v>
      </c>
      <c r="G43" s="593">
        <v>603774.15</v>
      </c>
      <c r="H43" s="709">
        <v>603774.14</v>
      </c>
      <c r="I43" s="593">
        <v>603774.15</v>
      </c>
      <c r="J43" s="717">
        <v>501859.92</v>
      </c>
      <c r="K43" s="594">
        <v>501859.92</v>
      </c>
      <c r="L43" s="594">
        <v>501996.96</v>
      </c>
      <c r="M43" s="595">
        <v>488019.82</v>
      </c>
      <c r="N43" s="561">
        <v>488019.82</v>
      </c>
      <c r="O43" s="591">
        <v>497976.17</v>
      </c>
      <c r="P43" s="591">
        <v>497976.17</v>
      </c>
      <c r="Q43" s="561">
        <f t="shared" si="0"/>
        <v>6494077.9100000001</v>
      </c>
      <c r="R43" s="571">
        <f t="shared" si="1"/>
        <v>5996101.7400000002</v>
      </c>
    </row>
    <row r="44" spans="1:18" x14ac:dyDescent="0.3">
      <c r="A44" s="690">
        <v>40</v>
      </c>
      <c r="B44" s="559">
        <v>4061</v>
      </c>
      <c r="C44" s="558" t="s">
        <v>366</v>
      </c>
      <c r="D44" s="560">
        <v>8210913.3700000001</v>
      </c>
      <c r="E44" s="593">
        <v>685584.55</v>
      </c>
      <c r="F44" s="593">
        <v>688138.52</v>
      </c>
      <c r="G44" s="593">
        <v>681940.1</v>
      </c>
      <c r="H44" s="709">
        <v>681940.1</v>
      </c>
      <c r="I44" s="593">
        <v>681940.1</v>
      </c>
      <c r="J44" s="717">
        <v>692271.49</v>
      </c>
      <c r="K44" s="594">
        <v>692271.5</v>
      </c>
      <c r="L44" s="594">
        <v>693895.59</v>
      </c>
      <c r="M44" s="595">
        <v>678232.86</v>
      </c>
      <c r="N44" s="561">
        <v>678232.85</v>
      </c>
      <c r="O44" s="591">
        <v>690828.19</v>
      </c>
      <c r="P44" s="591">
        <v>690828.18</v>
      </c>
      <c r="Q44" s="561">
        <f t="shared" si="0"/>
        <v>8236104.0299999993</v>
      </c>
      <c r="R44" s="571">
        <f t="shared" si="1"/>
        <v>7545275.8499999996</v>
      </c>
    </row>
    <row r="45" spans="1:18" x14ac:dyDescent="0.3">
      <c r="A45" s="690">
        <v>41</v>
      </c>
      <c r="B45" s="559">
        <v>4080</v>
      </c>
      <c r="C45" s="558" t="s">
        <v>237</v>
      </c>
      <c r="D45" s="560">
        <v>1986550.5399999998</v>
      </c>
      <c r="E45" s="593">
        <v>191555.8</v>
      </c>
      <c r="F45" s="593">
        <v>192257.13</v>
      </c>
      <c r="G45" s="593">
        <v>192310.43</v>
      </c>
      <c r="H45" s="709">
        <v>192310.42</v>
      </c>
      <c r="I45" s="593">
        <v>192310.43</v>
      </c>
      <c r="J45" s="717">
        <v>150128.91</v>
      </c>
      <c r="K45" s="594">
        <v>150128.91</v>
      </c>
      <c r="L45" s="594">
        <v>148225.35999999999</v>
      </c>
      <c r="M45" s="595">
        <v>144330.79</v>
      </c>
      <c r="N45" s="561">
        <v>144330.79</v>
      </c>
      <c r="O45" s="591">
        <v>147414.73000000001</v>
      </c>
      <c r="P45" s="591">
        <v>147414.73000000001</v>
      </c>
      <c r="Q45" s="561">
        <f t="shared" si="0"/>
        <v>1992718.4299999997</v>
      </c>
      <c r="R45" s="571">
        <f t="shared" si="1"/>
        <v>1845303.6999999997</v>
      </c>
    </row>
    <row r="46" spans="1:18" x14ac:dyDescent="0.3">
      <c r="A46" s="690">
        <v>42</v>
      </c>
      <c r="B46" s="559">
        <v>4081</v>
      </c>
      <c r="C46" s="558" t="s">
        <v>234</v>
      </c>
      <c r="D46" s="560">
        <v>999437.52999999991</v>
      </c>
      <c r="E46" s="593">
        <v>80762.73</v>
      </c>
      <c r="F46" s="593">
        <v>81046.89</v>
      </c>
      <c r="G46" s="593">
        <v>81071.899999999994</v>
      </c>
      <c r="H46" s="709">
        <v>81071.899999999994</v>
      </c>
      <c r="I46" s="593">
        <v>81071.899999999994</v>
      </c>
      <c r="J46" s="717">
        <v>85463.93</v>
      </c>
      <c r="K46" s="594">
        <v>85463.93</v>
      </c>
      <c r="L46" s="594">
        <v>86189.39</v>
      </c>
      <c r="M46" s="595">
        <v>84323.74</v>
      </c>
      <c r="N46" s="561">
        <v>84323.74</v>
      </c>
      <c r="O46" s="591">
        <v>85940.160000000003</v>
      </c>
      <c r="P46" s="591">
        <v>85940.15</v>
      </c>
      <c r="Q46" s="561">
        <f t="shared" si="0"/>
        <v>1002670.36</v>
      </c>
      <c r="R46" s="571">
        <f t="shared" si="1"/>
        <v>916730.21</v>
      </c>
    </row>
    <row r="47" spans="1:18" x14ac:dyDescent="0.3">
      <c r="A47" s="690">
        <v>43</v>
      </c>
      <c r="B47" s="559">
        <v>4090</v>
      </c>
      <c r="C47" s="558" t="s">
        <v>297</v>
      </c>
      <c r="D47" s="560">
        <v>2178096.58</v>
      </c>
      <c r="E47" s="593">
        <v>224404.48000000001</v>
      </c>
      <c r="F47" s="593">
        <v>225292.32</v>
      </c>
      <c r="G47" s="593">
        <v>225343.81</v>
      </c>
      <c r="H47" s="709">
        <v>225343.81</v>
      </c>
      <c r="I47" s="593">
        <v>225343.81</v>
      </c>
      <c r="J47" s="717">
        <v>153089.95000000001</v>
      </c>
      <c r="K47" s="594">
        <v>153089.95000000001</v>
      </c>
      <c r="L47" s="594">
        <v>152991.24</v>
      </c>
      <c r="M47" s="595">
        <v>148299.29999999999</v>
      </c>
      <c r="N47" s="561">
        <v>148299.29999999999</v>
      </c>
      <c r="O47" s="591">
        <v>151821.9</v>
      </c>
      <c r="P47" s="591">
        <v>151821.9</v>
      </c>
      <c r="Q47" s="561">
        <f>SUM(E47:P47)</f>
        <v>2185141.77</v>
      </c>
      <c r="R47" s="571">
        <f t="shared" si="1"/>
        <v>2033319.87</v>
      </c>
    </row>
    <row r="48" spans="1:18" x14ac:dyDescent="0.3">
      <c r="A48" s="690">
        <v>44</v>
      </c>
      <c r="B48" s="559">
        <v>4091</v>
      </c>
      <c r="C48" s="558" t="s">
        <v>275</v>
      </c>
      <c r="D48" s="560">
        <v>3421640.86</v>
      </c>
      <c r="E48" s="593">
        <v>299464.48</v>
      </c>
      <c r="F48" s="593">
        <v>300659.7</v>
      </c>
      <c r="G48" s="593">
        <v>300715.7</v>
      </c>
      <c r="H48" s="709">
        <v>300715.7</v>
      </c>
      <c r="I48" s="593">
        <v>300715.7</v>
      </c>
      <c r="J48" s="717">
        <v>277730.71999999997</v>
      </c>
      <c r="K48" s="594">
        <v>277730.71999999997</v>
      </c>
      <c r="L48" s="594">
        <v>278687.53999999998</v>
      </c>
      <c r="M48" s="595">
        <v>271305.15000000002</v>
      </c>
      <c r="N48" s="561">
        <v>271305.15000000002</v>
      </c>
      <c r="O48" s="591">
        <v>276431.3</v>
      </c>
      <c r="P48" s="591">
        <v>276431.28999999998</v>
      </c>
      <c r="Q48" s="561">
        <f t="shared" si="0"/>
        <v>3431893.1499999994</v>
      </c>
      <c r="R48" s="571">
        <f t="shared" si="1"/>
        <v>3155461.8599999994</v>
      </c>
    </row>
    <row r="49" spans="1:26" x14ac:dyDescent="0.3">
      <c r="A49" s="690">
        <v>45</v>
      </c>
      <c r="B49" s="559">
        <v>4100</v>
      </c>
      <c r="C49" s="558" t="s">
        <v>298</v>
      </c>
      <c r="D49" s="560">
        <v>3309753.4399999995</v>
      </c>
      <c r="E49" s="593">
        <v>267680.53000000003</v>
      </c>
      <c r="F49" s="593">
        <v>268790.57</v>
      </c>
      <c r="G49" s="593">
        <v>268808.69</v>
      </c>
      <c r="H49" s="709">
        <v>268808.69</v>
      </c>
      <c r="I49" s="593">
        <v>268808.69</v>
      </c>
      <c r="J49" s="717">
        <v>285464.21000000002</v>
      </c>
      <c r="K49" s="594">
        <v>285464.21000000002</v>
      </c>
      <c r="L49" s="594">
        <v>285228.24</v>
      </c>
      <c r="M49" s="595">
        <v>277674.90000000002</v>
      </c>
      <c r="N49" s="561">
        <v>277674.90000000002</v>
      </c>
      <c r="O49" s="591">
        <v>278895.31</v>
      </c>
      <c r="P49" s="591">
        <v>278895.31</v>
      </c>
      <c r="Q49" s="561">
        <f t="shared" si="0"/>
        <v>3312194.25</v>
      </c>
      <c r="R49" s="571">
        <f t="shared" si="1"/>
        <v>3033298.94</v>
      </c>
    </row>
    <row r="50" spans="1:26" x14ac:dyDescent="0.3">
      <c r="A50" s="690">
        <v>46</v>
      </c>
      <c r="B50" s="604">
        <v>4102</v>
      </c>
      <c r="C50" s="600" t="s">
        <v>299</v>
      </c>
      <c r="D50" s="599">
        <v>0</v>
      </c>
      <c r="E50" s="599">
        <v>0</v>
      </c>
      <c r="F50" s="599">
        <v>0</v>
      </c>
      <c r="G50" s="599">
        <v>0</v>
      </c>
      <c r="H50" s="715">
        <v>0</v>
      </c>
      <c r="I50" s="599">
        <v>0</v>
      </c>
      <c r="J50" s="717">
        <v>0</v>
      </c>
      <c r="K50" s="594">
        <v>0</v>
      </c>
      <c r="L50" s="594">
        <v>0</v>
      </c>
      <c r="M50" s="595"/>
      <c r="N50" s="561"/>
      <c r="O50" s="591">
        <v>0</v>
      </c>
      <c r="P50" s="591">
        <v>0</v>
      </c>
      <c r="Q50" s="561">
        <f t="shared" si="0"/>
        <v>0</v>
      </c>
      <c r="R50" s="571">
        <f t="shared" si="1"/>
        <v>0</v>
      </c>
      <c r="S50" s="608"/>
      <c r="T50" s="609"/>
      <c r="U50" s="609"/>
      <c r="V50" s="609"/>
      <c r="W50" s="609"/>
      <c r="X50" s="609"/>
      <c r="Y50" s="609"/>
      <c r="Z50" s="609"/>
    </row>
    <row r="51" spans="1:26" x14ac:dyDescent="0.3">
      <c r="A51" s="690">
        <v>47</v>
      </c>
      <c r="B51" s="559">
        <v>4103</v>
      </c>
      <c r="C51" s="558" t="s">
        <v>324</v>
      </c>
      <c r="D51" s="560">
        <v>7902449.7800000012</v>
      </c>
      <c r="E51" s="593">
        <v>703538.19</v>
      </c>
      <c r="F51" s="593">
        <v>706336.97</v>
      </c>
      <c r="G51" s="593">
        <v>706388.95</v>
      </c>
      <c r="H51" s="709">
        <v>706388.94</v>
      </c>
      <c r="I51" s="593">
        <v>706388.95</v>
      </c>
      <c r="J51" s="717">
        <v>633708.1</v>
      </c>
      <c r="K51" s="594">
        <v>633708.1</v>
      </c>
      <c r="L51" s="594">
        <v>634835.62</v>
      </c>
      <c r="M51" s="595">
        <v>617788.99</v>
      </c>
      <c r="N51" s="571">
        <v>617788.99</v>
      </c>
      <c r="O51" s="595">
        <v>630552.24</v>
      </c>
      <c r="P51" s="595">
        <v>630552.23</v>
      </c>
      <c r="Q51" s="561">
        <f t="shared" si="0"/>
        <v>7927976.2700000014</v>
      </c>
      <c r="R51" s="571">
        <f t="shared" si="1"/>
        <v>7297424.040000001</v>
      </c>
    </row>
    <row r="52" spans="1:26" x14ac:dyDescent="0.3">
      <c r="A52" s="690">
        <v>48</v>
      </c>
      <c r="B52" s="559">
        <v>4111</v>
      </c>
      <c r="C52" s="558" t="s">
        <v>355</v>
      </c>
      <c r="D52" s="560">
        <v>2394930.4299999997</v>
      </c>
      <c r="E52" s="593">
        <v>202038.36</v>
      </c>
      <c r="F52" s="593">
        <v>202840.7</v>
      </c>
      <c r="G52" s="593">
        <v>202891.8</v>
      </c>
      <c r="H52" s="709">
        <v>202891.8</v>
      </c>
      <c r="I52" s="593">
        <v>202891.8</v>
      </c>
      <c r="J52" s="717">
        <v>200498.24</v>
      </c>
      <c r="K52" s="594">
        <v>200498.24</v>
      </c>
      <c r="L52" s="594">
        <v>200210.41</v>
      </c>
      <c r="M52" s="595">
        <v>195042.27</v>
      </c>
      <c r="N52" s="561">
        <v>195042.27</v>
      </c>
      <c r="O52" s="591">
        <v>198951</v>
      </c>
      <c r="P52" s="591">
        <v>198951</v>
      </c>
      <c r="Q52" s="561">
        <f t="shared" si="0"/>
        <v>2402747.8899999997</v>
      </c>
      <c r="R52" s="571">
        <f t="shared" si="1"/>
        <v>2203796.8899999997</v>
      </c>
    </row>
    <row r="53" spans="1:26" x14ac:dyDescent="0.3">
      <c r="A53" s="690">
        <v>49</v>
      </c>
      <c r="B53" s="559">
        <v>4131</v>
      </c>
      <c r="C53" s="558" t="s">
        <v>412</v>
      </c>
      <c r="D53" s="560">
        <v>790754.05999999982</v>
      </c>
      <c r="E53" s="593">
        <v>44299.33</v>
      </c>
      <c r="F53" s="593">
        <v>44475.26</v>
      </c>
      <c r="G53" s="593">
        <v>44489.32</v>
      </c>
      <c r="H53" s="709">
        <v>44489.32</v>
      </c>
      <c r="I53" s="593">
        <v>44489.32</v>
      </c>
      <c r="J53" s="717">
        <v>82625.429999999993</v>
      </c>
      <c r="K53" s="594">
        <v>82625.429999999993</v>
      </c>
      <c r="L53" s="594">
        <v>82013.72</v>
      </c>
      <c r="M53" s="595">
        <v>80311.73</v>
      </c>
      <c r="N53" s="561">
        <v>80311.73</v>
      </c>
      <c r="O53" s="591">
        <v>81609.119999999995</v>
      </c>
      <c r="P53" s="591">
        <v>81609.11</v>
      </c>
      <c r="Q53" s="561">
        <f t="shared" si="0"/>
        <v>793348.82</v>
      </c>
      <c r="R53" s="571">
        <f t="shared" si="1"/>
        <v>711739.71</v>
      </c>
    </row>
    <row r="54" spans="1:26" x14ac:dyDescent="0.3">
      <c r="J54" s="719"/>
      <c r="L54" s="591"/>
      <c r="R54" s="571">
        <f t="shared" ref="R54" si="2">SUM(E54:M54)</f>
        <v>0</v>
      </c>
    </row>
    <row r="55" spans="1:26" x14ac:dyDescent="0.3">
      <c r="D55" s="560">
        <f>SUM(D5:D54)</f>
        <v>203331418.99000004</v>
      </c>
      <c r="E55" s="560">
        <f t="shared" ref="E55" si="3">SUM(E7:E54)</f>
        <v>17016582.480000004</v>
      </c>
      <c r="F55" s="560">
        <f>SUM(F7:F54)</f>
        <v>17079477.580000002</v>
      </c>
      <c r="G55" s="560">
        <f>SUM(G7:G54)</f>
        <v>17074744.390000001</v>
      </c>
      <c r="H55" s="560">
        <f t="shared" ref="H55:M55" si="4">SUM(H5:H54)</f>
        <v>17123232.370000001</v>
      </c>
      <c r="I55" s="560">
        <f t="shared" si="4"/>
        <v>17123225.07</v>
      </c>
      <c r="J55" s="572">
        <f t="shared" si="4"/>
        <v>17074911.039999999</v>
      </c>
      <c r="K55" s="572">
        <f>SUM(K5:K54)</f>
        <v>17074911.120000001</v>
      </c>
      <c r="L55" s="725">
        <f>SUM(L5:L54)</f>
        <v>17051540.059999999</v>
      </c>
      <c r="M55" s="560">
        <f t="shared" si="4"/>
        <v>16659283.030000001</v>
      </c>
      <c r="N55" s="560">
        <f>SUM(N5:N54)</f>
        <v>16659282.890000001</v>
      </c>
      <c r="O55" s="560">
        <f t="shared" ref="O55:P55" si="5">SUM(O5:O54)</f>
        <v>16943744.650000002</v>
      </c>
      <c r="P55" s="560">
        <f t="shared" si="5"/>
        <v>16943744.420000002</v>
      </c>
      <c r="Q55" s="560">
        <f>SUM(Q5:Q54)</f>
        <v>203824679.10000005</v>
      </c>
      <c r="R55" s="571">
        <f>SUM(E55:O55)</f>
        <v>186880934.68000004</v>
      </c>
    </row>
    <row r="57" spans="1:26" x14ac:dyDescent="0.3">
      <c r="I57" s="569" t="s">
        <v>294</v>
      </c>
      <c r="J57" s="562">
        <f>'Annual Rev &amp; Fees'!L63</f>
        <v>203597567.41</v>
      </c>
      <c r="L57" s="563"/>
    </row>
    <row r="58" spans="1:26" x14ac:dyDescent="0.3">
      <c r="I58" s="569" t="s">
        <v>551</v>
      </c>
      <c r="J58" s="565">
        <f>J57-R55</f>
        <v>16716632.729999959</v>
      </c>
      <c r="L58" s="563"/>
    </row>
    <row r="59" spans="1:26" x14ac:dyDescent="0.3">
      <c r="I59" s="569" t="s">
        <v>552</v>
      </c>
      <c r="J59" s="564">
        <f>J58/1</f>
        <v>16716632.729999959</v>
      </c>
      <c r="K59" s="573"/>
      <c r="L59" s="563"/>
    </row>
    <row r="60" spans="1:26" x14ac:dyDescent="0.3">
      <c r="I60" s="569" t="s">
        <v>553</v>
      </c>
      <c r="J60" s="565">
        <f>P55</f>
        <v>16943744.420000002</v>
      </c>
      <c r="L60" s="563"/>
    </row>
    <row r="61" spans="1:26" x14ac:dyDescent="0.3">
      <c r="J61" s="564">
        <f>J59-J60</f>
        <v>-227111.69000004232</v>
      </c>
      <c r="K61" s="570" t="s">
        <v>549</v>
      </c>
      <c r="L61" s="563"/>
    </row>
    <row r="62" spans="1:26" x14ac:dyDescent="0.3">
      <c r="J62" s="563"/>
      <c r="L62" s="563"/>
    </row>
    <row r="63" spans="1:26" x14ac:dyDescent="0.3">
      <c r="D63" s="574"/>
      <c r="J63" s="563"/>
      <c r="L63" s="563"/>
    </row>
    <row r="67" spans="1:21" x14ac:dyDescent="0.3">
      <c r="N67" s="592" t="s">
        <v>572</v>
      </c>
    </row>
    <row r="69" spans="1:21" ht="43.2" x14ac:dyDescent="0.3">
      <c r="A69" s="566" t="s">
        <v>328</v>
      </c>
      <c r="B69" s="567" t="s">
        <v>328</v>
      </c>
      <c r="C69" s="566" t="s">
        <v>328</v>
      </c>
      <c r="D69" s="576" t="s">
        <v>294</v>
      </c>
      <c r="E69" s="576" t="s">
        <v>537</v>
      </c>
      <c r="F69" s="567" t="s">
        <v>538</v>
      </c>
      <c r="G69" s="567" t="s">
        <v>539</v>
      </c>
      <c r="H69" s="567" t="s">
        <v>540</v>
      </c>
      <c r="I69" s="567" t="s">
        <v>541</v>
      </c>
      <c r="J69" s="567" t="s">
        <v>542</v>
      </c>
      <c r="K69" s="577" t="s">
        <v>543</v>
      </c>
      <c r="L69" s="567" t="s">
        <v>544</v>
      </c>
      <c r="M69" s="567" t="s">
        <v>545</v>
      </c>
      <c r="N69" s="567" t="s">
        <v>546</v>
      </c>
      <c r="O69" s="567" t="s">
        <v>547</v>
      </c>
      <c r="P69" s="567" t="s">
        <v>548</v>
      </c>
      <c r="Q69" s="567" t="s">
        <v>8</v>
      </c>
      <c r="R69" s="568" t="s">
        <v>550</v>
      </c>
    </row>
    <row r="70" spans="1:21" x14ac:dyDescent="0.3">
      <c r="A70" s="566"/>
      <c r="B70" s="567"/>
      <c r="C70" s="690" t="s">
        <v>587</v>
      </c>
      <c r="D70" s="576"/>
      <c r="E70" s="576"/>
      <c r="F70" s="567"/>
      <c r="G70" s="567"/>
      <c r="H70" s="713">
        <v>22026.35</v>
      </c>
      <c r="I70" s="716">
        <v>22018.93</v>
      </c>
      <c r="J70" s="723">
        <v>38571.97</v>
      </c>
      <c r="K70" s="724">
        <v>38571.97</v>
      </c>
      <c r="L70" s="724">
        <v>34661.769999999997</v>
      </c>
      <c r="M70" s="734">
        <v>34164.379999999997</v>
      </c>
      <c r="N70" s="735">
        <v>34164.379999999997</v>
      </c>
      <c r="O70" s="744">
        <v>34618.99</v>
      </c>
      <c r="P70" s="747">
        <v>34618.99</v>
      </c>
      <c r="Q70" s="714">
        <f>SUM(E70:P70)</f>
        <v>293417.73</v>
      </c>
      <c r="R70" s="571">
        <f>SUM(E70:P70)</f>
        <v>293417.73</v>
      </c>
      <c r="U70" s="561"/>
    </row>
    <row r="71" spans="1:21" x14ac:dyDescent="0.3">
      <c r="A71" s="566"/>
      <c r="B71" s="567"/>
      <c r="C71" s="690" t="s">
        <v>588</v>
      </c>
      <c r="D71" s="576"/>
      <c r="E71" s="576"/>
      <c r="F71" s="567"/>
      <c r="G71" s="567"/>
      <c r="H71" s="713">
        <v>26461.7</v>
      </c>
      <c r="I71" s="716">
        <v>26461.7</v>
      </c>
      <c r="J71" s="723">
        <v>32140.48</v>
      </c>
      <c r="K71" s="724">
        <v>32140.48</v>
      </c>
      <c r="L71" s="724">
        <v>30503.88</v>
      </c>
      <c r="M71" s="734">
        <v>29879.34</v>
      </c>
      <c r="N71" s="735">
        <v>29879.33</v>
      </c>
      <c r="O71" s="744">
        <v>30024.89</v>
      </c>
      <c r="P71" s="747">
        <v>30024.89</v>
      </c>
      <c r="Q71" s="714">
        <f>SUM(E71:P71)</f>
        <v>267516.69</v>
      </c>
      <c r="R71" s="571">
        <f t="shared" ref="R71:R118" si="6">SUM(E71:P71)</f>
        <v>267516.69</v>
      </c>
      <c r="U71" s="561"/>
    </row>
    <row r="72" spans="1:21" x14ac:dyDescent="0.3">
      <c r="A72" s="558">
        <v>1</v>
      </c>
      <c r="B72" s="559" t="s">
        <v>158</v>
      </c>
      <c r="C72" s="558" t="s">
        <v>190</v>
      </c>
      <c r="D72" s="560">
        <v>6536346.29</v>
      </c>
      <c r="E72" s="593">
        <v>543134.93000000005</v>
      </c>
      <c r="F72" s="593">
        <v>544837.4</v>
      </c>
      <c r="G72" s="593">
        <v>544837.4</v>
      </c>
      <c r="H72" s="593">
        <v>544837.4</v>
      </c>
      <c r="I72" s="717">
        <v>544837.4</v>
      </c>
      <c r="J72" s="717">
        <v>452087.81</v>
      </c>
      <c r="K72" s="594">
        <v>452087.81</v>
      </c>
      <c r="L72" s="595">
        <v>442547.57</v>
      </c>
      <c r="M72" s="595">
        <v>434286.35</v>
      </c>
      <c r="N72" s="595">
        <v>434286.34</v>
      </c>
      <c r="O72" s="591">
        <v>443499.84</v>
      </c>
      <c r="P72" s="748">
        <v>443499.84</v>
      </c>
      <c r="Q72" s="714">
        <f>SUM(E72:P72)</f>
        <v>5824780.0899999989</v>
      </c>
      <c r="R72" s="571">
        <f>SUM(E72:P72)</f>
        <v>5824780.0899999989</v>
      </c>
      <c r="U72" s="561"/>
    </row>
    <row r="73" spans="1:21" x14ac:dyDescent="0.3">
      <c r="A73" s="558">
        <v>2</v>
      </c>
      <c r="B73" s="559" t="s">
        <v>159</v>
      </c>
      <c r="C73" s="558" t="s">
        <v>192</v>
      </c>
      <c r="D73" s="560">
        <v>8953799.410000002</v>
      </c>
      <c r="E73" s="593">
        <v>744106.29</v>
      </c>
      <c r="F73" s="593">
        <v>746335.74</v>
      </c>
      <c r="G73" s="593">
        <v>746356.02</v>
      </c>
      <c r="H73" s="593">
        <v>746356.02</v>
      </c>
      <c r="I73" s="717">
        <v>746356.02</v>
      </c>
      <c r="J73" s="717">
        <v>824241.24</v>
      </c>
      <c r="K73" s="594">
        <v>824241.24</v>
      </c>
      <c r="L73" s="595">
        <v>836014.93</v>
      </c>
      <c r="M73" s="595">
        <v>824632.23</v>
      </c>
      <c r="N73" s="595">
        <v>824632.22</v>
      </c>
      <c r="O73" s="591">
        <v>839353.17</v>
      </c>
      <c r="P73" s="748">
        <v>839353.18</v>
      </c>
      <c r="Q73" s="714">
        <f>SUM(E73:P73)</f>
        <v>9541978.3000000007</v>
      </c>
      <c r="R73" s="571">
        <f t="shared" si="6"/>
        <v>9541978.3000000007</v>
      </c>
      <c r="U73" s="561"/>
    </row>
    <row r="74" spans="1:21" x14ac:dyDescent="0.3">
      <c r="A74" s="558">
        <v>3</v>
      </c>
      <c r="B74" s="559" t="s">
        <v>160</v>
      </c>
      <c r="C74" s="558" t="s">
        <v>193</v>
      </c>
      <c r="D74" s="560">
        <v>1156850.6299999999</v>
      </c>
      <c r="E74" s="593">
        <v>96199.14</v>
      </c>
      <c r="F74" s="593">
        <v>96422.86</v>
      </c>
      <c r="G74" s="593">
        <v>96437.43</v>
      </c>
      <c r="H74" s="593">
        <v>96437.43</v>
      </c>
      <c r="I74" s="717">
        <v>96437.440000000002</v>
      </c>
      <c r="J74" s="717">
        <v>122776.57</v>
      </c>
      <c r="K74" s="594">
        <v>122776.57</v>
      </c>
      <c r="L74" s="595">
        <v>124850.17</v>
      </c>
      <c r="M74" s="595">
        <v>123024.56</v>
      </c>
      <c r="N74" s="595">
        <v>123024.56</v>
      </c>
      <c r="O74" s="591">
        <v>124009.85</v>
      </c>
      <c r="P74" s="748">
        <v>124009.85</v>
      </c>
      <c r="Q74" s="714">
        <f t="shared" ref="Q74:Q114" si="7">SUM(E74:P74)</f>
        <v>1346406.4300000002</v>
      </c>
      <c r="R74" s="571">
        <f t="shared" si="6"/>
        <v>1346406.4300000002</v>
      </c>
      <c r="U74" s="561"/>
    </row>
    <row r="75" spans="1:21" x14ac:dyDescent="0.3">
      <c r="A75" s="558">
        <v>4</v>
      </c>
      <c r="B75" s="559" t="s">
        <v>161</v>
      </c>
      <c r="C75" s="558" t="s">
        <v>194</v>
      </c>
      <c r="D75" s="560">
        <v>952582.03</v>
      </c>
      <c r="E75" s="593">
        <v>79086.62</v>
      </c>
      <c r="F75" s="593">
        <v>79408.67</v>
      </c>
      <c r="G75" s="593">
        <v>112782.39999999999</v>
      </c>
      <c r="H75" s="593">
        <v>112782.39999999999</v>
      </c>
      <c r="I75" s="717">
        <v>112782.39999999999</v>
      </c>
      <c r="J75" s="717">
        <v>141539.98000000001</v>
      </c>
      <c r="K75" s="594">
        <v>141539.98000000001</v>
      </c>
      <c r="L75" s="595">
        <v>154523.73000000001</v>
      </c>
      <c r="M75" s="595">
        <v>151459.91</v>
      </c>
      <c r="N75" s="595">
        <v>151459.91</v>
      </c>
      <c r="O75" s="591">
        <v>152109.29</v>
      </c>
      <c r="P75" s="748">
        <v>152109.29</v>
      </c>
      <c r="Q75" s="714">
        <f t="shared" si="7"/>
        <v>1541584.5799999998</v>
      </c>
      <c r="R75" s="571">
        <f t="shared" si="6"/>
        <v>1541584.5799999998</v>
      </c>
      <c r="U75" s="561"/>
    </row>
    <row r="76" spans="1:21" x14ac:dyDescent="0.3">
      <c r="A76" s="558">
        <v>5</v>
      </c>
      <c r="B76" s="559" t="s">
        <v>162</v>
      </c>
      <c r="C76" s="558" t="s">
        <v>295</v>
      </c>
      <c r="D76" s="560">
        <v>4497003.78</v>
      </c>
      <c r="E76" s="593">
        <v>373318.84</v>
      </c>
      <c r="F76" s="593">
        <v>374880.45</v>
      </c>
      <c r="G76" s="593">
        <v>374908.37</v>
      </c>
      <c r="H76" s="593">
        <v>374908.37</v>
      </c>
      <c r="I76" s="717">
        <v>374908.37</v>
      </c>
      <c r="J76" s="717">
        <v>493269.72</v>
      </c>
      <c r="K76" s="594">
        <v>493269.72</v>
      </c>
      <c r="L76" s="595">
        <v>493203.62</v>
      </c>
      <c r="M76" s="595">
        <v>481492.28</v>
      </c>
      <c r="N76" s="595">
        <v>481492.27</v>
      </c>
      <c r="O76" s="591">
        <v>483667.18</v>
      </c>
      <c r="P76" s="748">
        <v>483667.18</v>
      </c>
      <c r="Q76" s="714">
        <f t="shared" si="7"/>
        <v>5282986.3699999992</v>
      </c>
      <c r="R76" s="571">
        <f t="shared" si="6"/>
        <v>5282986.3699999992</v>
      </c>
      <c r="U76" s="561"/>
    </row>
    <row r="77" spans="1:21" x14ac:dyDescent="0.3">
      <c r="A77" s="558">
        <v>6</v>
      </c>
      <c r="B77" s="559" t="s">
        <v>163</v>
      </c>
      <c r="C77" s="558" t="s">
        <v>415</v>
      </c>
      <c r="D77" s="560">
        <v>5275816.53</v>
      </c>
      <c r="E77" s="593">
        <v>438241.71</v>
      </c>
      <c r="F77" s="593">
        <v>439779.53</v>
      </c>
      <c r="G77" s="593">
        <v>439835.38</v>
      </c>
      <c r="H77" s="593">
        <v>439835.38</v>
      </c>
      <c r="I77" s="717">
        <v>439835.38</v>
      </c>
      <c r="J77" s="717">
        <v>430636.58</v>
      </c>
      <c r="K77" s="594">
        <v>430636.58</v>
      </c>
      <c r="L77" s="595">
        <v>433305.67</v>
      </c>
      <c r="M77" s="595">
        <v>424549.11</v>
      </c>
      <c r="N77" s="595">
        <v>424549.11</v>
      </c>
      <c r="O77" s="591">
        <v>432065.16</v>
      </c>
      <c r="P77" s="748">
        <v>432065.16</v>
      </c>
      <c r="Q77" s="714">
        <f t="shared" si="7"/>
        <v>5205334.75</v>
      </c>
      <c r="R77" s="571">
        <f t="shared" si="6"/>
        <v>5205334.75</v>
      </c>
      <c r="U77" s="561"/>
    </row>
    <row r="78" spans="1:21" x14ac:dyDescent="0.3">
      <c r="A78" s="558">
        <v>7</v>
      </c>
      <c r="B78" s="559" t="s">
        <v>164</v>
      </c>
      <c r="C78" s="558" t="s">
        <v>196</v>
      </c>
      <c r="D78" s="560">
        <v>5522296.9900000002</v>
      </c>
      <c r="E78" s="593">
        <v>458554.15</v>
      </c>
      <c r="F78" s="593">
        <v>460340.26</v>
      </c>
      <c r="G78" s="593">
        <v>460361.47</v>
      </c>
      <c r="H78" s="593">
        <v>460361.47</v>
      </c>
      <c r="I78" s="717">
        <v>460361.47</v>
      </c>
      <c r="J78" s="717">
        <v>542615.68000000005</v>
      </c>
      <c r="K78" s="594">
        <v>542615.68000000005</v>
      </c>
      <c r="L78" s="595">
        <v>542100.03</v>
      </c>
      <c r="M78" s="595">
        <v>529301.92000000004</v>
      </c>
      <c r="N78" s="595">
        <v>529301.91</v>
      </c>
      <c r="O78" s="591">
        <v>538638.55000000005</v>
      </c>
      <c r="P78" s="748">
        <v>538638.54</v>
      </c>
      <c r="Q78" s="714">
        <f t="shared" si="7"/>
        <v>6063191.1299999999</v>
      </c>
      <c r="R78" s="571">
        <f t="shared" si="6"/>
        <v>6063191.1299999999</v>
      </c>
      <c r="U78" s="561"/>
    </row>
    <row r="79" spans="1:21" x14ac:dyDescent="0.3">
      <c r="A79" s="558">
        <v>8</v>
      </c>
      <c r="B79" s="559" t="s">
        <v>165</v>
      </c>
      <c r="C79" s="558" t="s">
        <v>197</v>
      </c>
      <c r="D79" s="560">
        <v>10438762.450000001</v>
      </c>
      <c r="E79" s="593">
        <v>866760.71</v>
      </c>
      <c r="F79" s="593">
        <v>870181.98</v>
      </c>
      <c r="G79" s="593">
        <v>870232.61</v>
      </c>
      <c r="H79" s="593">
        <v>870232.61</v>
      </c>
      <c r="I79" s="717">
        <v>870232.61</v>
      </c>
      <c r="J79" s="717">
        <v>864585.46</v>
      </c>
      <c r="K79" s="594">
        <v>864585.46</v>
      </c>
      <c r="L79" s="595">
        <v>861472.91</v>
      </c>
      <c r="M79" s="595">
        <v>839497.25</v>
      </c>
      <c r="N79" s="595">
        <v>839497.25</v>
      </c>
      <c r="O79" s="591">
        <v>844552.06</v>
      </c>
      <c r="P79" s="748">
        <v>844552.07</v>
      </c>
      <c r="Q79" s="714">
        <f>SUM(E79:P79)</f>
        <v>10306382.98</v>
      </c>
      <c r="R79" s="571">
        <f t="shared" si="6"/>
        <v>10306382.98</v>
      </c>
      <c r="U79" s="561"/>
    </row>
    <row r="80" spans="1:21" x14ac:dyDescent="0.3">
      <c r="A80" s="558">
        <v>9</v>
      </c>
      <c r="B80" s="559" t="s">
        <v>166</v>
      </c>
      <c r="C80" s="558" t="s">
        <v>427</v>
      </c>
      <c r="D80" s="560">
        <v>5035880.4999999981</v>
      </c>
      <c r="E80" s="593">
        <v>418062.5</v>
      </c>
      <c r="F80" s="593">
        <v>419801.64</v>
      </c>
      <c r="G80" s="593">
        <v>419829.87</v>
      </c>
      <c r="H80" s="593">
        <v>419829.87</v>
      </c>
      <c r="I80" s="717">
        <v>419829.87</v>
      </c>
      <c r="J80" s="717">
        <v>538568.26</v>
      </c>
      <c r="K80" s="594">
        <v>538568.27</v>
      </c>
      <c r="L80" s="595">
        <v>538568.26</v>
      </c>
      <c r="M80" s="595">
        <v>525247.48</v>
      </c>
      <c r="N80" s="595">
        <v>525247.48</v>
      </c>
      <c r="O80" s="591">
        <v>527383.21</v>
      </c>
      <c r="P80" s="748">
        <v>527383.21</v>
      </c>
      <c r="Q80" s="714">
        <f t="shared" si="7"/>
        <v>5818319.9199999999</v>
      </c>
      <c r="R80" s="571">
        <f t="shared" si="6"/>
        <v>5818319.9199999999</v>
      </c>
      <c r="U80" s="561"/>
    </row>
    <row r="81" spans="1:21" x14ac:dyDescent="0.3">
      <c r="A81" s="558">
        <v>10</v>
      </c>
      <c r="B81" s="559" t="s">
        <v>167</v>
      </c>
      <c r="C81" s="558" t="s">
        <v>426</v>
      </c>
      <c r="D81" s="560">
        <v>1027156.0000000002</v>
      </c>
      <c r="E81" s="593">
        <v>85480.95</v>
      </c>
      <c r="F81" s="593">
        <v>85606.82</v>
      </c>
      <c r="G81" s="593">
        <v>85621.5</v>
      </c>
      <c r="H81" s="593">
        <v>85621.5</v>
      </c>
      <c r="I81" s="717">
        <v>85621.5</v>
      </c>
      <c r="J81" s="717">
        <v>98560.43</v>
      </c>
      <c r="K81" s="594">
        <v>98560.43</v>
      </c>
      <c r="L81" s="595">
        <v>92162.42</v>
      </c>
      <c r="M81" s="595">
        <v>91439.84</v>
      </c>
      <c r="N81" s="595">
        <v>91439.84</v>
      </c>
      <c r="O81" s="591">
        <v>92461.52</v>
      </c>
      <c r="P81" s="748">
        <v>92461.52</v>
      </c>
      <c r="Q81" s="714">
        <f t="shared" si="7"/>
        <v>1085038.2699999998</v>
      </c>
      <c r="R81" s="571">
        <f t="shared" si="6"/>
        <v>1085038.2699999998</v>
      </c>
      <c r="U81" s="561"/>
    </row>
    <row r="82" spans="1:21" x14ac:dyDescent="0.3">
      <c r="A82" s="558">
        <v>11</v>
      </c>
      <c r="B82" s="559" t="s">
        <v>168</v>
      </c>
      <c r="C82" s="558" t="s">
        <v>200</v>
      </c>
      <c r="D82" s="560">
        <v>9060317.0200000014</v>
      </c>
      <c r="E82" s="593">
        <v>752379.59</v>
      </c>
      <c r="F82" s="593">
        <v>755267.04</v>
      </c>
      <c r="G82" s="593">
        <v>755288.45</v>
      </c>
      <c r="H82" s="593">
        <v>755288.45</v>
      </c>
      <c r="I82" s="717">
        <v>755288.46</v>
      </c>
      <c r="J82" s="717">
        <v>752295.59</v>
      </c>
      <c r="K82" s="594">
        <v>752295.59</v>
      </c>
      <c r="L82" s="595">
        <v>755542.99</v>
      </c>
      <c r="M82" s="595">
        <v>737357.75</v>
      </c>
      <c r="N82" s="595">
        <v>737357.75</v>
      </c>
      <c r="O82" s="591">
        <v>751183.18</v>
      </c>
      <c r="P82" s="748">
        <v>751183.19</v>
      </c>
      <c r="Q82" s="714">
        <f t="shared" si="7"/>
        <v>9010728.0299999993</v>
      </c>
      <c r="R82" s="571">
        <f t="shared" si="6"/>
        <v>9010728.0299999993</v>
      </c>
      <c r="U82" s="561"/>
    </row>
    <row r="83" spans="1:21" x14ac:dyDescent="0.3">
      <c r="A83" s="558">
        <v>12</v>
      </c>
      <c r="B83" s="559" t="s">
        <v>169</v>
      </c>
      <c r="C83" s="558" t="s">
        <v>202</v>
      </c>
      <c r="D83" s="560">
        <v>2211875.7700000005</v>
      </c>
      <c r="E83" s="593">
        <v>183876.95</v>
      </c>
      <c r="F83" s="593">
        <v>184363.53</v>
      </c>
      <c r="G83" s="593">
        <v>184416.79</v>
      </c>
      <c r="H83" s="593">
        <v>184416.79</v>
      </c>
      <c r="I83" s="717">
        <v>184416.79</v>
      </c>
      <c r="J83" s="717">
        <v>207711.94</v>
      </c>
      <c r="K83" s="594">
        <v>207711.94</v>
      </c>
      <c r="L83" s="595">
        <v>211779.12</v>
      </c>
      <c r="M83" s="595">
        <v>209552.53</v>
      </c>
      <c r="N83" s="595">
        <v>209552.53</v>
      </c>
      <c r="O83" s="591">
        <v>212982.74</v>
      </c>
      <c r="P83" s="748">
        <v>212982.73</v>
      </c>
      <c r="Q83" s="714">
        <f t="shared" si="7"/>
        <v>2393764.3800000004</v>
      </c>
      <c r="R83" s="571">
        <f t="shared" si="6"/>
        <v>2393764.3800000004</v>
      </c>
      <c r="U83" s="561"/>
    </row>
    <row r="84" spans="1:21" x14ac:dyDescent="0.3">
      <c r="A84" s="558">
        <v>13</v>
      </c>
      <c r="B84" s="559" t="s">
        <v>170</v>
      </c>
      <c r="C84" s="558" t="s">
        <v>204</v>
      </c>
      <c r="D84" s="560">
        <v>400303.13</v>
      </c>
      <c r="E84" s="593">
        <v>33300.01</v>
      </c>
      <c r="F84" s="593">
        <v>33363.919999999998</v>
      </c>
      <c r="G84" s="593">
        <v>0</v>
      </c>
      <c r="H84" s="593">
        <v>0</v>
      </c>
      <c r="I84" s="717">
        <v>0</v>
      </c>
      <c r="J84" s="717"/>
      <c r="K84" s="594">
        <v>0</v>
      </c>
      <c r="L84" s="595">
        <v>0</v>
      </c>
      <c r="M84" s="595"/>
      <c r="N84" s="595"/>
      <c r="O84" s="591">
        <v>0</v>
      </c>
      <c r="P84" s="748">
        <v>0</v>
      </c>
      <c r="Q84" s="714">
        <f t="shared" si="7"/>
        <v>66663.929999999993</v>
      </c>
      <c r="R84" s="571">
        <f t="shared" si="6"/>
        <v>66663.929999999993</v>
      </c>
      <c r="U84" s="561"/>
    </row>
    <row r="85" spans="1:21" x14ac:dyDescent="0.3">
      <c r="A85" s="558">
        <v>14</v>
      </c>
      <c r="B85" s="559" t="s">
        <v>171</v>
      </c>
      <c r="C85" s="558" t="s">
        <v>205</v>
      </c>
      <c r="D85" s="560">
        <v>1737052.6</v>
      </c>
      <c r="E85" s="593">
        <v>144251.51</v>
      </c>
      <c r="F85" s="593">
        <v>144800.1</v>
      </c>
      <c r="G85" s="593">
        <v>144845.64000000001</v>
      </c>
      <c r="H85" s="593">
        <v>144845.64000000001</v>
      </c>
      <c r="I85" s="717">
        <v>144845.64000000001</v>
      </c>
      <c r="J85" s="717">
        <v>133747.97</v>
      </c>
      <c r="K85" s="594">
        <v>133747.97</v>
      </c>
      <c r="L85" s="595">
        <v>131505.39000000001</v>
      </c>
      <c r="M85" s="595">
        <v>128083.41</v>
      </c>
      <c r="N85" s="595">
        <v>128083.41</v>
      </c>
      <c r="O85" s="591">
        <v>130502.71</v>
      </c>
      <c r="P85" s="748">
        <v>130502.7</v>
      </c>
      <c r="Q85" s="714">
        <f t="shared" si="7"/>
        <v>1639762.0899999996</v>
      </c>
      <c r="R85" s="571">
        <f t="shared" si="6"/>
        <v>1639762.0899999996</v>
      </c>
      <c r="U85" s="561"/>
    </row>
    <row r="86" spans="1:21" x14ac:dyDescent="0.3">
      <c r="A86" s="558">
        <v>15</v>
      </c>
      <c r="B86" s="559" t="s">
        <v>172</v>
      </c>
      <c r="C86" s="558" t="s">
        <v>296</v>
      </c>
      <c r="D86" s="560">
        <v>4462369.46</v>
      </c>
      <c r="E86" s="593">
        <v>370530.88</v>
      </c>
      <c r="F86" s="593">
        <v>371985.33</v>
      </c>
      <c r="G86" s="593">
        <v>372039.83</v>
      </c>
      <c r="H86" s="593">
        <v>372039.83</v>
      </c>
      <c r="I86" s="717">
        <v>372039.83</v>
      </c>
      <c r="J86" s="717">
        <v>361457.36</v>
      </c>
      <c r="K86" s="594">
        <v>361457.36</v>
      </c>
      <c r="L86" s="595">
        <v>361912.76</v>
      </c>
      <c r="M86" s="595">
        <v>352688.78</v>
      </c>
      <c r="N86" s="595">
        <v>352688.77</v>
      </c>
      <c r="O86" s="591">
        <v>359356.86</v>
      </c>
      <c r="P86" s="748">
        <v>359356.85</v>
      </c>
      <c r="Q86" s="714">
        <f t="shared" si="7"/>
        <v>4367554.4399999995</v>
      </c>
      <c r="R86" s="571">
        <f t="shared" si="6"/>
        <v>4367554.4399999995</v>
      </c>
      <c r="U86" s="561"/>
    </row>
    <row r="87" spans="1:21" x14ac:dyDescent="0.3">
      <c r="A87" s="558">
        <v>16</v>
      </c>
      <c r="B87" s="559" t="s">
        <v>173</v>
      </c>
      <c r="C87" s="558" t="s">
        <v>227</v>
      </c>
      <c r="D87" s="560">
        <v>5507739.4900000002</v>
      </c>
      <c r="E87" s="593">
        <v>457612.31</v>
      </c>
      <c r="F87" s="593">
        <v>459102.47</v>
      </c>
      <c r="G87" s="593">
        <v>465112.24</v>
      </c>
      <c r="H87" s="593">
        <v>465112.24</v>
      </c>
      <c r="I87" s="717">
        <v>465112.24</v>
      </c>
      <c r="J87" s="717">
        <v>506201.79</v>
      </c>
      <c r="K87" s="594">
        <v>506201.79</v>
      </c>
      <c r="L87" s="595">
        <v>494399.69</v>
      </c>
      <c r="M87" s="595">
        <v>484692.04</v>
      </c>
      <c r="N87" s="595">
        <v>484692.04</v>
      </c>
      <c r="O87" s="591">
        <v>494003.49</v>
      </c>
      <c r="P87" s="748">
        <v>494003.49</v>
      </c>
      <c r="Q87" s="714">
        <f t="shared" si="7"/>
        <v>5776245.8300000001</v>
      </c>
      <c r="R87" s="571">
        <f t="shared" si="6"/>
        <v>5776245.8300000001</v>
      </c>
      <c r="U87" s="561"/>
    </row>
    <row r="88" spans="1:21" x14ac:dyDescent="0.3">
      <c r="A88" s="558">
        <v>17</v>
      </c>
      <c r="B88" s="559" t="s">
        <v>174</v>
      </c>
      <c r="C88" s="558" t="s">
        <v>195</v>
      </c>
      <c r="D88" s="560">
        <v>991675.07000000007</v>
      </c>
      <c r="E88" s="593">
        <v>82429.48</v>
      </c>
      <c r="F88" s="593">
        <v>82658.69</v>
      </c>
      <c r="G88" s="593">
        <v>82683.14</v>
      </c>
      <c r="H88" s="593">
        <v>82683.14</v>
      </c>
      <c r="I88" s="717">
        <v>82683.14</v>
      </c>
      <c r="J88" s="717">
        <v>72136.72</v>
      </c>
      <c r="K88" s="594">
        <v>72136.73</v>
      </c>
      <c r="L88" s="595">
        <v>69725.149999999994</v>
      </c>
      <c r="M88" s="595">
        <v>68612.570000000007</v>
      </c>
      <c r="N88" s="595">
        <v>68612.56</v>
      </c>
      <c r="O88" s="591">
        <v>70040.23</v>
      </c>
      <c r="P88" s="748">
        <v>70040.22</v>
      </c>
      <c r="Q88" s="714">
        <f t="shared" si="7"/>
        <v>904441.77</v>
      </c>
      <c r="R88" s="571">
        <f t="shared" si="6"/>
        <v>904441.77</v>
      </c>
      <c r="U88" s="561"/>
    </row>
    <row r="89" spans="1:21" x14ac:dyDescent="0.3">
      <c r="A89" s="558">
        <v>18</v>
      </c>
      <c r="B89" s="559" t="s">
        <v>175</v>
      </c>
      <c r="C89" s="558" t="s">
        <v>189</v>
      </c>
      <c r="D89" s="560">
        <v>1123600.3600000001</v>
      </c>
      <c r="E89" s="593">
        <v>93468.86</v>
      </c>
      <c r="F89" s="593">
        <v>93648.320000000007</v>
      </c>
      <c r="G89" s="593">
        <v>93667.31</v>
      </c>
      <c r="H89" s="593">
        <v>93667.3</v>
      </c>
      <c r="I89" s="717">
        <v>93667.31</v>
      </c>
      <c r="J89" s="717">
        <v>95159.11</v>
      </c>
      <c r="K89" s="594">
        <v>95159.11</v>
      </c>
      <c r="L89" s="595">
        <v>93255.37</v>
      </c>
      <c r="M89" s="595">
        <v>92063.72</v>
      </c>
      <c r="N89" s="595">
        <v>92063.72</v>
      </c>
      <c r="O89" s="591">
        <v>93334.52</v>
      </c>
      <c r="P89" s="748">
        <v>93334.51</v>
      </c>
      <c r="Q89" s="714">
        <f t="shared" si="7"/>
        <v>1122489.1599999999</v>
      </c>
      <c r="R89" s="571">
        <f t="shared" si="6"/>
        <v>1122489.1599999999</v>
      </c>
      <c r="U89" s="561"/>
    </row>
    <row r="90" spans="1:21" x14ac:dyDescent="0.3">
      <c r="A90" s="558">
        <v>19</v>
      </c>
      <c r="B90" s="559" t="s">
        <v>176</v>
      </c>
      <c r="C90" s="558" t="s">
        <v>206</v>
      </c>
      <c r="D90" s="560">
        <v>3149968.52</v>
      </c>
      <c r="E90" s="593">
        <v>261804.23</v>
      </c>
      <c r="F90" s="593">
        <v>262560.39</v>
      </c>
      <c r="G90" s="593">
        <v>262610.42</v>
      </c>
      <c r="H90" s="593">
        <v>262610.42</v>
      </c>
      <c r="I90" s="717">
        <v>262610.42</v>
      </c>
      <c r="J90" s="717">
        <v>313466.46999999997</v>
      </c>
      <c r="K90" s="594">
        <v>313466.48</v>
      </c>
      <c r="L90" s="595">
        <v>312882.59999999998</v>
      </c>
      <c r="M90" s="595">
        <v>308461.03000000003</v>
      </c>
      <c r="N90" s="595">
        <v>308461.03000000003</v>
      </c>
      <c r="O90" s="591">
        <v>313942.58</v>
      </c>
      <c r="P90" s="748">
        <v>313942.57</v>
      </c>
      <c r="Q90" s="714">
        <f t="shared" si="7"/>
        <v>3496818.64</v>
      </c>
      <c r="R90" s="571">
        <f t="shared" si="6"/>
        <v>3496818.64</v>
      </c>
      <c r="U90" s="561"/>
    </row>
    <row r="91" spans="1:21" x14ac:dyDescent="0.3">
      <c r="A91" s="558">
        <v>20</v>
      </c>
      <c r="B91" s="559" t="s">
        <v>177</v>
      </c>
      <c r="C91" s="558" t="s">
        <v>207</v>
      </c>
      <c r="D91" s="560">
        <v>3267680.47</v>
      </c>
      <c r="E91" s="593">
        <v>271329</v>
      </c>
      <c r="F91" s="593">
        <v>272395.59000000003</v>
      </c>
      <c r="G91" s="593">
        <v>272417.49</v>
      </c>
      <c r="H91" s="593">
        <v>272417.49</v>
      </c>
      <c r="I91" s="717">
        <v>272417.49</v>
      </c>
      <c r="J91" s="717">
        <v>293048.83</v>
      </c>
      <c r="K91" s="594">
        <v>293048.84000000003</v>
      </c>
      <c r="L91" s="595">
        <v>292984.34999999998</v>
      </c>
      <c r="M91" s="595">
        <v>285728.11</v>
      </c>
      <c r="N91" s="595">
        <v>285728.09999999998</v>
      </c>
      <c r="O91" s="591">
        <v>290836.2</v>
      </c>
      <c r="P91" s="748">
        <v>290836.19</v>
      </c>
      <c r="Q91" s="714">
        <f t="shared" si="7"/>
        <v>3393187.68</v>
      </c>
      <c r="R91" s="571">
        <f t="shared" si="6"/>
        <v>3393187.68</v>
      </c>
      <c r="U91" s="561"/>
    </row>
    <row r="92" spans="1:21" x14ac:dyDescent="0.3">
      <c r="A92" s="558">
        <v>21</v>
      </c>
      <c r="B92" s="559" t="s">
        <v>178</v>
      </c>
      <c r="C92" s="558" t="s">
        <v>208</v>
      </c>
      <c r="D92" s="560">
        <v>3244504.85</v>
      </c>
      <c r="E92" s="593">
        <v>269507.71999999997</v>
      </c>
      <c r="F92" s="593">
        <v>270454.28000000003</v>
      </c>
      <c r="G92" s="593">
        <v>270504.44</v>
      </c>
      <c r="H92" s="593">
        <v>270504.44</v>
      </c>
      <c r="I92" s="717">
        <v>270504.44</v>
      </c>
      <c r="J92" s="717">
        <v>351143.65</v>
      </c>
      <c r="K92" s="594">
        <v>351143.65</v>
      </c>
      <c r="L92" s="595">
        <v>356804.56</v>
      </c>
      <c r="M92" s="595">
        <v>350321.97</v>
      </c>
      <c r="N92" s="595">
        <v>350321.97</v>
      </c>
      <c r="O92" s="591">
        <v>356514.32</v>
      </c>
      <c r="P92" s="748">
        <v>356514.31</v>
      </c>
      <c r="Q92" s="714">
        <f t="shared" si="7"/>
        <v>3824239.7499999991</v>
      </c>
      <c r="R92" s="571">
        <f t="shared" si="6"/>
        <v>3824239.7499999991</v>
      </c>
      <c r="U92" s="561"/>
    </row>
    <row r="93" spans="1:21" x14ac:dyDescent="0.3">
      <c r="A93" s="558">
        <v>22</v>
      </c>
      <c r="B93" s="559" t="s">
        <v>179</v>
      </c>
      <c r="C93" s="558" t="s">
        <v>210</v>
      </c>
      <c r="D93" s="560">
        <v>8464587.6199999992</v>
      </c>
      <c r="E93" s="593">
        <v>702850.13</v>
      </c>
      <c r="F93" s="593">
        <v>705612.5</v>
      </c>
      <c r="G93" s="593">
        <v>705634.01</v>
      </c>
      <c r="H93" s="593">
        <v>705634.01</v>
      </c>
      <c r="I93" s="717">
        <v>705634.01</v>
      </c>
      <c r="J93" s="717">
        <v>745453.32</v>
      </c>
      <c r="K93" s="594">
        <v>745453.33</v>
      </c>
      <c r="L93" s="595">
        <v>751384.91</v>
      </c>
      <c r="M93" s="595">
        <v>733266.29</v>
      </c>
      <c r="N93" s="595">
        <v>733266.29</v>
      </c>
      <c r="O93" s="591">
        <v>746652.36</v>
      </c>
      <c r="P93" s="748">
        <v>746652.35</v>
      </c>
      <c r="Q93" s="714">
        <f t="shared" si="7"/>
        <v>8727493.5099999998</v>
      </c>
      <c r="R93" s="571">
        <f t="shared" si="6"/>
        <v>8727493.5099999998</v>
      </c>
      <c r="U93" s="561"/>
    </row>
    <row r="94" spans="1:21" x14ac:dyDescent="0.3">
      <c r="A94" s="558">
        <v>23</v>
      </c>
      <c r="B94" s="559">
        <v>3441</v>
      </c>
      <c r="C94" s="558" t="s">
        <v>228</v>
      </c>
      <c r="D94" s="560">
        <v>4358946.4000000004</v>
      </c>
      <c r="E94" s="593">
        <v>362240.2</v>
      </c>
      <c r="F94" s="593">
        <v>363336.93</v>
      </c>
      <c r="G94" s="593">
        <v>363387.69</v>
      </c>
      <c r="H94" s="593">
        <v>363387.68</v>
      </c>
      <c r="I94" s="717">
        <v>363387.69</v>
      </c>
      <c r="J94" s="717">
        <v>367176.42</v>
      </c>
      <c r="K94" s="594">
        <v>367176.42</v>
      </c>
      <c r="L94" s="595">
        <v>367790.18</v>
      </c>
      <c r="M94" s="595">
        <v>362267.89</v>
      </c>
      <c r="N94" s="595">
        <v>362267.89</v>
      </c>
      <c r="O94" s="591">
        <v>369101.12</v>
      </c>
      <c r="P94" s="748">
        <v>369101.12</v>
      </c>
      <c r="Q94" s="714">
        <f t="shared" si="7"/>
        <v>4380621.2300000004</v>
      </c>
      <c r="R94" s="571">
        <f t="shared" si="6"/>
        <v>4380621.2300000004</v>
      </c>
      <c r="U94" s="561"/>
    </row>
    <row r="95" spans="1:21" x14ac:dyDescent="0.3">
      <c r="A95" s="558">
        <v>24</v>
      </c>
      <c r="B95" s="559">
        <v>3924</v>
      </c>
      <c r="C95" s="558" t="s">
        <v>414</v>
      </c>
      <c r="D95" s="560">
        <v>3864428.6500000004</v>
      </c>
      <c r="E95" s="593">
        <v>321097.51</v>
      </c>
      <c r="F95" s="593">
        <v>322121.01</v>
      </c>
      <c r="G95" s="593">
        <v>322172.34999999998</v>
      </c>
      <c r="H95" s="593">
        <v>322172.34999999998</v>
      </c>
      <c r="I95" s="717">
        <v>322172.36</v>
      </c>
      <c r="J95" s="717">
        <v>292239.55</v>
      </c>
      <c r="K95" s="594">
        <v>292239.55</v>
      </c>
      <c r="L95" s="595">
        <v>290536.23</v>
      </c>
      <c r="M95" s="595">
        <v>285361.65999999997</v>
      </c>
      <c r="N95" s="595">
        <v>285361.65999999997</v>
      </c>
      <c r="O95" s="591">
        <v>290997.09000000003</v>
      </c>
      <c r="P95" s="748">
        <v>290997.08</v>
      </c>
      <c r="Q95" s="714">
        <f t="shared" si="7"/>
        <v>3637468.4000000004</v>
      </c>
      <c r="R95" s="571">
        <f t="shared" si="6"/>
        <v>3637468.4000000004</v>
      </c>
      <c r="U95" s="561"/>
    </row>
    <row r="96" spans="1:21" x14ac:dyDescent="0.3">
      <c r="A96" s="558">
        <v>25</v>
      </c>
      <c r="B96" s="559" t="s">
        <v>180</v>
      </c>
      <c r="C96" s="558" t="s">
        <v>191</v>
      </c>
      <c r="D96" s="560">
        <v>2210934.4499999997</v>
      </c>
      <c r="E96" s="593">
        <v>183588.24</v>
      </c>
      <c r="F96" s="593">
        <v>184304.2</v>
      </c>
      <c r="G96" s="593">
        <v>184326.33</v>
      </c>
      <c r="H96" s="593">
        <v>184326.33</v>
      </c>
      <c r="I96" s="717">
        <v>184326.33</v>
      </c>
      <c r="J96" s="717">
        <v>155101.01</v>
      </c>
      <c r="K96" s="594">
        <v>155101.01</v>
      </c>
      <c r="L96" s="595">
        <v>155623.69</v>
      </c>
      <c r="M96" s="595">
        <v>151347.60999999999</v>
      </c>
      <c r="N96" s="595">
        <v>151347.6</v>
      </c>
      <c r="O96" s="591">
        <v>154326.01</v>
      </c>
      <c r="P96" s="748">
        <v>154326</v>
      </c>
      <c r="Q96" s="714">
        <f t="shared" si="7"/>
        <v>1998044.36</v>
      </c>
      <c r="R96" s="571">
        <f t="shared" si="6"/>
        <v>1998044.36</v>
      </c>
      <c r="U96" s="561"/>
    </row>
    <row r="97" spans="1:21" x14ac:dyDescent="0.3">
      <c r="A97" s="558">
        <v>26</v>
      </c>
      <c r="B97" s="559" t="s">
        <v>181</v>
      </c>
      <c r="C97" s="558" t="s">
        <v>201</v>
      </c>
      <c r="D97" s="560">
        <v>2736635.01</v>
      </c>
      <c r="E97" s="593">
        <v>227226.19</v>
      </c>
      <c r="F97" s="593">
        <v>228128.07</v>
      </c>
      <c r="G97" s="593">
        <v>222052.75</v>
      </c>
      <c r="H97" s="593">
        <v>222052.75</v>
      </c>
      <c r="I97" s="717">
        <v>222052.75</v>
      </c>
      <c r="J97" s="717">
        <v>192742.05</v>
      </c>
      <c r="K97" s="594">
        <v>192742.06</v>
      </c>
      <c r="L97" s="595">
        <v>194781.58</v>
      </c>
      <c r="M97" s="595">
        <v>189544.97</v>
      </c>
      <c r="N97" s="595">
        <v>189544.97</v>
      </c>
      <c r="O97" s="591">
        <v>193381</v>
      </c>
      <c r="P97" s="748">
        <v>193381</v>
      </c>
      <c r="Q97" s="714">
        <f t="shared" si="7"/>
        <v>2467630.14</v>
      </c>
      <c r="R97" s="571">
        <f t="shared" si="6"/>
        <v>2467630.14</v>
      </c>
      <c r="U97" s="561"/>
    </row>
    <row r="98" spans="1:21" x14ac:dyDescent="0.3">
      <c r="A98" s="558">
        <v>27</v>
      </c>
      <c r="B98" s="559" t="s">
        <v>182</v>
      </c>
      <c r="C98" s="558" t="s">
        <v>354</v>
      </c>
      <c r="D98" s="560">
        <v>5518391.5700000003</v>
      </c>
      <c r="E98" s="593">
        <v>458603.06</v>
      </c>
      <c r="F98" s="593">
        <v>459980.77</v>
      </c>
      <c r="G98" s="593">
        <v>460031.21</v>
      </c>
      <c r="H98" s="593">
        <v>460031.21</v>
      </c>
      <c r="I98" s="717">
        <v>460031.21</v>
      </c>
      <c r="J98" s="717">
        <v>422865.75</v>
      </c>
      <c r="K98" s="594">
        <v>422865.75</v>
      </c>
      <c r="L98" s="595">
        <v>379686.32</v>
      </c>
      <c r="M98" s="595">
        <v>369475.33</v>
      </c>
      <c r="N98" s="595">
        <v>369475.33</v>
      </c>
      <c r="O98" s="591">
        <v>377682.61</v>
      </c>
      <c r="P98" s="748">
        <v>377682.6</v>
      </c>
      <c r="Q98" s="714">
        <f t="shared" si="7"/>
        <v>5018411.1499999994</v>
      </c>
      <c r="R98" s="571">
        <f t="shared" si="6"/>
        <v>5018411.1499999994</v>
      </c>
      <c r="U98" s="561"/>
    </row>
    <row r="99" spans="1:21" x14ac:dyDescent="0.3">
      <c r="A99" s="558">
        <v>28</v>
      </c>
      <c r="B99" s="559" t="s">
        <v>183</v>
      </c>
      <c r="C99" s="558" t="s">
        <v>219</v>
      </c>
      <c r="D99" s="560">
        <v>6039805.7000000002</v>
      </c>
      <c r="E99" s="593">
        <v>501572.04</v>
      </c>
      <c r="F99" s="593">
        <v>503475.79</v>
      </c>
      <c r="G99" s="593">
        <v>503529.61</v>
      </c>
      <c r="H99" s="593">
        <v>503529.6</v>
      </c>
      <c r="I99" s="717">
        <v>503529.61</v>
      </c>
      <c r="J99" s="717">
        <v>476778.75</v>
      </c>
      <c r="K99" s="594">
        <v>476778.75</v>
      </c>
      <c r="L99" s="595">
        <v>478450.35</v>
      </c>
      <c r="M99" s="595">
        <v>466770.43</v>
      </c>
      <c r="N99" s="595">
        <v>466770.42</v>
      </c>
      <c r="O99" s="591">
        <v>475652.15</v>
      </c>
      <c r="P99" s="748">
        <v>475652.15</v>
      </c>
      <c r="Q99" s="714">
        <f t="shared" si="7"/>
        <v>5832489.6500000004</v>
      </c>
      <c r="R99" s="571">
        <f t="shared" si="6"/>
        <v>5832489.6500000004</v>
      </c>
      <c r="U99" s="561"/>
    </row>
    <row r="100" spans="1:21" x14ac:dyDescent="0.3">
      <c r="A100" s="558">
        <v>29</v>
      </c>
      <c r="B100" s="559">
        <v>4002</v>
      </c>
      <c r="C100" s="558" t="s">
        <v>218</v>
      </c>
      <c r="D100" s="560">
        <v>9364415.1300000008</v>
      </c>
      <c r="E100" s="593">
        <v>777532.13</v>
      </c>
      <c r="F100" s="593">
        <v>780625.73</v>
      </c>
      <c r="G100" s="593">
        <v>780680.65</v>
      </c>
      <c r="H100" s="593">
        <v>780680.65</v>
      </c>
      <c r="I100" s="717">
        <v>780680.66</v>
      </c>
      <c r="J100" s="717">
        <v>662598.02</v>
      </c>
      <c r="K100" s="594">
        <v>662598.02</v>
      </c>
      <c r="L100" s="595">
        <v>661991.35</v>
      </c>
      <c r="M100" s="595">
        <v>643687.88</v>
      </c>
      <c r="N100" s="595">
        <v>643687.87</v>
      </c>
      <c r="O100" s="591">
        <v>656579.85</v>
      </c>
      <c r="P100" s="748">
        <v>656579.83999999997</v>
      </c>
      <c r="Q100" s="714">
        <f t="shared" si="7"/>
        <v>8487922.6499999985</v>
      </c>
      <c r="R100" s="571">
        <f t="shared" si="6"/>
        <v>8487922.6499999985</v>
      </c>
      <c r="U100" s="561"/>
    </row>
    <row r="101" spans="1:21" x14ac:dyDescent="0.3">
      <c r="A101" s="558">
        <v>30</v>
      </c>
      <c r="B101" s="559">
        <v>4012</v>
      </c>
      <c r="C101" s="558" t="s">
        <v>221</v>
      </c>
      <c r="D101" s="560">
        <v>5324773.49</v>
      </c>
      <c r="E101" s="593">
        <v>442138</v>
      </c>
      <c r="F101" s="593">
        <v>443875.95</v>
      </c>
      <c r="G101" s="593">
        <v>443896.27</v>
      </c>
      <c r="H101" s="593">
        <v>443896.27</v>
      </c>
      <c r="I101" s="717">
        <v>443896.27</v>
      </c>
      <c r="J101" s="717">
        <v>375074.97</v>
      </c>
      <c r="K101" s="594">
        <v>375074.97</v>
      </c>
      <c r="L101" s="595">
        <v>374624.01</v>
      </c>
      <c r="M101" s="595">
        <v>364393.07</v>
      </c>
      <c r="N101" s="595">
        <v>364393.07</v>
      </c>
      <c r="O101" s="591">
        <v>372235.31</v>
      </c>
      <c r="P101" s="748">
        <v>372235.3</v>
      </c>
      <c r="Q101" s="714">
        <f t="shared" si="7"/>
        <v>4815733.4599999981</v>
      </c>
      <c r="R101" s="571">
        <f t="shared" si="6"/>
        <v>4815733.4599999981</v>
      </c>
      <c r="U101" s="561"/>
    </row>
    <row r="102" spans="1:21" x14ac:dyDescent="0.3">
      <c r="A102" s="558">
        <v>31</v>
      </c>
      <c r="B102" s="559">
        <v>4013</v>
      </c>
      <c r="C102" s="558" t="s">
        <v>223</v>
      </c>
      <c r="D102" s="560">
        <v>7881586.6499999994</v>
      </c>
      <c r="E102" s="593">
        <v>654398.57999999996</v>
      </c>
      <c r="F102" s="593">
        <v>657017.1</v>
      </c>
      <c r="G102" s="593">
        <v>657037.06999999995</v>
      </c>
      <c r="H102" s="593">
        <v>657037.06999999995</v>
      </c>
      <c r="I102" s="717">
        <v>657037.06999999995</v>
      </c>
      <c r="J102" s="717">
        <v>680253.26</v>
      </c>
      <c r="K102" s="594">
        <v>680253.26</v>
      </c>
      <c r="L102" s="595">
        <v>682191.99</v>
      </c>
      <c r="M102" s="595">
        <v>664898.38</v>
      </c>
      <c r="N102" s="595">
        <v>664898.38</v>
      </c>
      <c r="O102" s="591">
        <v>678382.41</v>
      </c>
      <c r="P102" s="748">
        <v>678382.4</v>
      </c>
      <c r="Q102" s="714">
        <f t="shared" si="7"/>
        <v>8011786.9699999997</v>
      </c>
      <c r="R102" s="571">
        <f t="shared" si="6"/>
        <v>8011786.9699999997</v>
      </c>
      <c r="U102" s="561"/>
    </row>
    <row r="103" spans="1:21" x14ac:dyDescent="0.3">
      <c r="A103" s="558">
        <v>32</v>
      </c>
      <c r="B103" s="559">
        <v>4020</v>
      </c>
      <c r="C103" s="558" t="s">
        <v>364</v>
      </c>
      <c r="D103" s="560">
        <v>10221955.630000001</v>
      </c>
      <c r="E103" s="593">
        <v>848921.99</v>
      </c>
      <c r="F103" s="593">
        <v>852093.97</v>
      </c>
      <c r="G103" s="593">
        <v>852147.55</v>
      </c>
      <c r="H103" s="593">
        <v>852147.55</v>
      </c>
      <c r="I103" s="717">
        <v>852147.55</v>
      </c>
      <c r="J103" s="717">
        <v>925462.84</v>
      </c>
      <c r="K103" s="594">
        <v>925462.84</v>
      </c>
      <c r="L103" s="595">
        <v>930732.55</v>
      </c>
      <c r="M103" s="595">
        <v>910449.09</v>
      </c>
      <c r="N103" s="595">
        <v>910449.08</v>
      </c>
      <c r="O103" s="591">
        <v>926805.61</v>
      </c>
      <c r="P103" s="748">
        <v>926805.6</v>
      </c>
      <c r="Q103" s="714">
        <f t="shared" si="7"/>
        <v>10713626.219999997</v>
      </c>
      <c r="R103" s="571">
        <f t="shared" si="6"/>
        <v>10713626.219999997</v>
      </c>
      <c r="U103" s="561"/>
    </row>
    <row r="104" spans="1:21" x14ac:dyDescent="0.3">
      <c r="A104" s="558">
        <v>33</v>
      </c>
      <c r="B104" s="559">
        <v>4030</v>
      </c>
      <c r="C104" s="558" t="s">
        <v>348</v>
      </c>
      <c r="D104" s="560">
        <v>2743878.8399999994</v>
      </c>
      <c r="E104" s="593">
        <v>227815.64</v>
      </c>
      <c r="F104" s="593">
        <v>228733.02</v>
      </c>
      <c r="G104" s="593">
        <v>228790.53</v>
      </c>
      <c r="H104" s="593">
        <v>228790.53</v>
      </c>
      <c r="I104" s="717">
        <v>228790.53</v>
      </c>
      <c r="J104" s="717">
        <v>210714</v>
      </c>
      <c r="K104" s="594">
        <v>210714.01</v>
      </c>
      <c r="L104" s="595">
        <v>210605.27</v>
      </c>
      <c r="M104" s="595">
        <v>204965.25</v>
      </c>
      <c r="N104" s="595">
        <v>204965.25</v>
      </c>
      <c r="O104" s="591">
        <v>208832.09</v>
      </c>
      <c r="P104" s="748">
        <v>208832.08</v>
      </c>
      <c r="Q104" s="714">
        <f t="shared" si="7"/>
        <v>2602548.2000000002</v>
      </c>
      <c r="R104" s="571">
        <f t="shared" si="6"/>
        <v>2602548.2000000002</v>
      </c>
      <c r="U104" s="561"/>
    </row>
    <row r="105" spans="1:21" x14ac:dyDescent="0.3">
      <c r="A105" s="558">
        <v>34</v>
      </c>
      <c r="B105" s="559">
        <v>4031</v>
      </c>
      <c r="C105" s="558" t="s">
        <v>376</v>
      </c>
      <c r="D105" s="560">
        <v>4523431.59</v>
      </c>
      <c r="E105" s="593">
        <v>375586.71</v>
      </c>
      <c r="F105" s="593">
        <v>377076.81</v>
      </c>
      <c r="G105" s="593">
        <v>377131.17</v>
      </c>
      <c r="H105" s="593">
        <v>377131.17</v>
      </c>
      <c r="I105" s="717">
        <v>377131.18</v>
      </c>
      <c r="J105" s="717">
        <v>284716.40000000002</v>
      </c>
      <c r="K105" s="594">
        <v>284716.40000000002</v>
      </c>
      <c r="L105" s="595">
        <v>287538.09000000003</v>
      </c>
      <c r="M105" s="595">
        <v>279236.78999999998</v>
      </c>
      <c r="N105" s="595">
        <v>279236.78999999998</v>
      </c>
      <c r="O105" s="591">
        <v>285149.28999999998</v>
      </c>
      <c r="P105" s="748">
        <v>285149.28000000003</v>
      </c>
      <c r="Q105" s="714">
        <f t="shared" si="7"/>
        <v>3869800.08</v>
      </c>
      <c r="R105" s="571">
        <f t="shared" si="6"/>
        <v>3869800.08</v>
      </c>
      <c r="U105" s="561"/>
    </row>
    <row r="106" spans="1:21" x14ac:dyDescent="0.3">
      <c r="A106" s="558">
        <v>35</v>
      </c>
      <c r="B106" s="559">
        <v>4041</v>
      </c>
      <c r="C106" s="558" t="s">
        <v>225</v>
      </c>
      <c r="D106" s="560">
        <v>734245.24</v>
      </c>
      <c r="E106" s="593">
        <v>60968.85</v>
      </c>
      <c r="F106" s="593">
        <v>61206.94</v>
      </c>
      <c r="G106" s="593">
        <v>61214.31</v>
      </c>
      <c r="H106" s="593">
        <v>61214.31</v>
      </c>
      <c r="I106" s="717">
        <v>61214.31</v>
      </c>
      <c r="J106" s="717">
        <v>65401.79</v>
      </c>
      <c r="K106" s="594">
        <v>65401.79</v>
      </c>
      <c r="L106" s="595">
        <v>65859.06</v>
      </c>
      <c r="M106" s="595">
        <v>64230.26</v>
      </c>
      <c r="N106" s="595">
        <v>64230.26</v>
      </c>
      <c r="O106" s="591">
        <v>65461.66</v>
      </c>
      <c r="P106" s="748">
        <v>65461.65</v>
      </c>
      <c r="Q106" s="714">
        <f t="shared" si="7"/>
        <v>761865.19</v>
      </c>
      <c r="R106" s="571">
        <f t="shared" si="6"/>
        <v>761865.19</v>
      </c>
      <c r="U106" s="561"/>
    </row>
    <row r="107" spans="1:21" x14ac:dyDescent="0.3">
      <c r="A107" s="558">
        <v>36</v>
      </c>
      <c r="B107" s="559">
        <v>4050</v>
      </c>
      <c r="C107" s="558" t="s">
        <v>216</v>
      </c>
      <c r="D107" s="560">
        <v>6599446.6700000018</v>
      </c>
      <c r="E107" s="593">
        <v>547951.48</v>
      </c>
      <c r="F107" s="593">
        <v>550135.93000000005</v>
      </c>
      <c r="G107" s="593">
        <v>550189.84</v>
      </c>
      <c r="H107" s="593">
        <v>550189.82999999996</v>
      </c>
      <c r="I107" s="717">
        <v>550189.84</v>
      </c>
      <c r="J107" s="717">
        <v>489528.4</v>
      </c>
      <c r="K107" s="594">
        <v>489528.4</v>
      </c>
      <c r="L107" s="595">
        <v>490763.47</v>
      </c>
      <c r="M107" s="595">
        <v>477522.02</v>
      </c>
      <c r="N107" s="595">
        <v>477522.01</v>
      </c>
      <c r="O107" s="591">
        <v>487005.43</v>
      </c>
      <c r="P107" s="748">
        <v>487005.42</v>
      </c>
      <c r="Q107" s="714">
        <f t="shared" si="7"/>
        <v>6147532.0699999984</v>
      </c>
      <c r="R107" s="571">
        <f t="shared" si="6"/>
        <v>6147532.0699999984</v>
      </c>
      <c r="U107" s="561"/>
    </row>
    <row r="108" spans="1:21" x14ac:dyDescent="0.3">
      <c r="A108" s="558">
        <v>37</v>
      </c>
      <c r="B108" s="559">
        <v>4051</v>
      </c>
      <c r="C108" s="558" t="s">
        <v>214</v>
      </c>
      <c r="D108" s="560">
        <v>7242244.5699999994</v>
      </c>
      <c r="E108" s="593">
        <v>601326.9</v>
      </c>
      <c r="F108" s="593">
        <v>603719.79</v>
      </c>
      <c r="G108" s="593">
        <v>603774.15</v>
      </c>
      <c r="H108" s="593">
        <v>603774.14</v>
      </c>
      <c r="I108" s="717">
        <v>603774.15</v>
      </c>
      <c r="J108" s="717">
        <v>501859.92</v>
      </c>
      <c r="K108" s="594">
        <v>501859.92</v>
      </c>
      <c r="L108" s="595">
        <v>501996.96</v>
      </c>
      <c r="M108" s="595">
        <v>488019.82</v>
      </c>
      <c r="N108" s="595">
        <v>488019.82</v>
      </c>
      <c r="O108" s="591">
        <v>497976.17</v>
      </c>
      <c r="P108" s="748">
        <v>497976.17</v>
      </c>
      <c r="Q108" s="714">
        <f t="shared" si="7"/>
        <v>6494077.9100000001</v>
      </c>
      <c r="R108" s="571">
        <f t="shared" si="6"/>
        <v>6494077.9100000001</v>
      </c>
      <c r="U108" s="561"/>
    </row>
    <row r="109" spans="1:21" x14ac:dyDescent="0.3">
      <c r="A109" s="558">
        <v>38</v>
      </c>
      <c r="B109" s="559">
        <v>4061</v>
      </c>
      <c r="C109" s="558" t="s">
        <v>366</v>
      </c>
      <c r="D109" s="560">
        <v>8255108.2299999995</v>
      </c>
      <c r="E109" s="593">
        <v>685584.55</v>
      </c>
      <c r="F109" s="593">
        <v>688138.52</v>
      </c>
      <c r="G109" s="593">
        <v>681940.1</v>
      </c>
      <c r="H109" s="593">
        <v>681940.1</v>
      </c>
      <c r="I109" s="717">
        <v>681940.1</v>
      </c>
      <c r="J109" s="717">
        <v>692271.49</v>
      </c>
      <c r="K109" s="594">
        <v>692271.5</v>
      </c>
      <c r="L109" s="595">
        <v>693895.59</v>
      </c>
      <c r="M109" s="595">
        <v>678232.86</v>
      </c>
      <c r="N109" s="595">
        <v>678232.85</v>
      </c>
      <c r="O109" s="591">
        <v>690828.19</v>
      </c>
      <c r="P109" s="748">
        <v>690828.18</v>
      </c>
      <c r="Q109" s="714">
        <f t="shared" si="7"/>
        <v>8236104.0299999993</v>
      </c>
      <c r="R109" s="571">
        <f t="shared" si="6"/>
        <v>8236104.0299999993</v>
      </c>
      <c r="U109" s="561"/>
    </row>
    <row r="110" spans="1:21" x14ac:dyDescent="0.3">
      <c r="A110" s="558">
        <v>39</v>
      </c>
      <c r="B110" s="559">
        <v>4080</v>
      </c>
      <c r="C110" s="558" t="s">
        <v>237</v>
      </c>
      <c r="D110" s="560">
        <v>2306384.2200000002</v>
      </c>
      <c r="E110" s="593">
        <v>191555.8</v>
      </c>
      <c r="F110" s="593">
        <v>192257.13</v>
      </c>
      <c r="G110" s="593">
        <v>192310.43</v>
      </c>
      <c r="H110" s="593">
        <v>192310.42</v>
      </c>
      <c r="I110" s="717">
        <v>192310.43</v>
      </c>
      <c r="J110" s="717">
        <v>150128.91</v>
      </c>
      <c r="K110" s="594">
        <v>150128.91</v>
      </c>
      <c r="L110" s="595">
        <v>148225.35999999999</v>
      </c>
      <c r="M110" s="595">
        <v>144330.79</v>
      </c>
      <c r="N110" s="595">
        <v>144330.79</v>
      </c>
      <c r="O110" s="591">
        <v>147414.73000000001</v>
      </c>
      <c r="P110" s="748">
        <v>147414.73000000001</v>
      </c>
      <c r="Q110" s="714">
        <f t="shared" si="7"/>
        <v>1992718.4299999997</v>
      </c>
      <c r="R110" s="571">
        <f t="shared" si="6"/>
        <v>1992718.4299999997</v>
      </c>
      <c r="U110" s="561"/>
    </row>
    <row r="111" spans="1:21" x14ac:dyDescent="0.3">
      <c r="A111" s="558">
        <v>40</v>
      </c>
      <c r="B111" s="559">
        <v>4081</v>
      </c>
      <c r="C111" s="558" t="s">
        <v>234</v>
      </c>
      <c r="D111" s="560">
        <v>972278.55999999994</v>
      </c>
      <c r="E111" s="593">
        <v>80762.73</v>
      </c>
      <c r="F111" s="593">
        <v>81046.89</v>
      </c>
      <c r="G111" s="593">
        <v>81071.899999999994</v>
      </c>
      <c r="H111" s="593">
        <v>81071.899999999994</v>
      </c>
      <c r="I111" s="717">
        <v>81071.899999999994</v>
      </c>
      <c r="J111" s="717">
        <v>85463.93</v>
      </c>
      <c r="K111" s="594">
        <v>85463.93</v>
      </c>
      <c r="L111" s="595">
        <v>86189.39</v>
      </c>
      <c r="M111" s="595">
        <v>84323.74</v>
      </c>
      <c r="N111" s="595">
        <v>84323.74</v>
      </c>
      <c r="O111" s="591">
        <v>85940.160000000003</v>
      </c>
      <c r="P111" s="748">
        <v>85940.15</v>
      </c>
      <c r="Q111" s="714">
        <f t="shared" si="7"/>
        <v>1002670.36</v>
      </c>
      <c r="R111" s="571">
        <f t="shared" si="6"/>
        <v>1002670.36</v>
      </c>
      <c r="U111" s="561"/>
    </row>
    <row r="112" spans="1:21" x14ac:dyDescent="0.3">
      <c r="A112" s="558">
        <v>41</v>
      </c>
      <c r="B112" s="559">
        <v>4090</v>
      </c>
      <c r="C112" s="558" t="s">
        <v>297</v>
      </c>
      <c r="D112" s="560">
        <v>2702619.96</v>
      </c>
      <c r="E112" s="593">
        <v>224404.48000000001</v>
      </c>
      <c r="F112" s="593">
        <v>225292.32</v>
      </c>
      <c r="G112" s="593">
        <v>225343.81</v>
      </c>
      <c r="H112" s="593">
        <v>225343.81</v>
      </c>
      <c r="I112" s="717">
        <v>225343.81</v>
      </c>
      <c r="J112" s="717">
        <v>153089.95000000001</v>
      </c>
      <c r="K112" s="594">
        <v>153089.95000000001</v>
      </c>
      <c r="L112" s="595">
        <v>152991.24</v>
      </c>
      <c r="M112" s="595">
        <v>148299.29999999999</v>
      </c>
      <c r="N112" s="595">
        <v>148299.29999999999</v>
      </c>
      <c r="O112" s="591">
        <v>151821.9</v>
      </c>
      <c r="P112" s="748">
        <v>151821.9</v>
      </c>
      <c r="Q112" s="714">
        <f t="shared" si="7"/>
        <v>2185141.77</v>
      </c>
      <c r="R112" s="571">
        <f t="shared" si="6"/>
        <v>2185141.77</v>
      </c>
      <c r="U112" s="561"/>
    </row>
    <row r="113" spans="1:21" x14ac:dyDescent="0.3">
      <c r="A113" s="558">
        <v>42</v>
      </c>
      <c r="B113" s="559">
        <v>4091</v>
      </c>
      <c r="C113" s="558" t="s">
        <v>275</v>
      </c>
      <c r="D113" s="560">
        <v>3606721.18</v>
      </c>
      <c r="E113" s="593">
        <v>299464.48</v>
      </c>
      <c r="F113" s="593">
        <v>300659.7</v>
      </c>
      <c r="G113" s="593">
        <v>300715.7</v>
      </c>
      <c r="H113" s="593">
        <v>300715.7</v>
      </c>
      <c r="I113" s="717">
        <v>300715.7</v>
      </c>
      <c r="J113" s="717">
        <v>277730.71999999997</v>
      </c>
      <c r="K113" s="594">
        <v>277730.71999999997</v>
      </c>
      <c r="L113" s="595">
        <v>278687.53999999998</v>
      </c>
      <c r="M113" s="595">
        <v>271305.15000000002</v>
      </c>
      <c r="N113" s="595">
        <v>271305.15000000002</v>
      </c>
      <c r="O113" s="591">
        <v>276431.3</v>
      </c>
      <c r="P113" s="748">
        <v>276431.28999999998</v>
      </c>
      <c r="Q113" s="714">
        <f t="shared" si="7"/>
        <v>3431893.1499999994</v>
      </c>
      <c r="R113" s="571">
        <f t="shared" si="6"/>
        <v>3431893.1499999994</v>
      </c>
      <c r="U113" s="561"/>
    </row>
    <row r="114" spans="1:21" x14ac:dyDescent="0.3">
      <c r="A114" s="558">
        <v>43</v>
      </c>
      <c r="B114" s="559">
        <v>4100</v>
      </c>
      <c r="C114" s="558" t="s">
        <v>298</v>
      </c>
      <c r="D114" s="560">
        <v>3224376.77</v>
      </c>
      <c r="E114" s="593">
        <v>267680.53000000003</v>
      </c>
      <c r="F114" s="593">
        <v>268790.57</v>
      </c>
      <c r="G114" s="593">
        <v>268808.69</v>
      </c>
      <c r="H114" s="593">
        <v>268808.69</v>
      </c>
      <c r="I114" s="717">
        <v>268808.69</v>
      </c>
      <c r="J114" s="717">
        <v>285464.21000000002</v>
      </c>
      <c r="K114" s="594">
        <v>285464.21000000002</v>
      </c>
      <c r="L114" s="595">
        <v>285228.24</v>
      </c>
      <c r="M114" s="595">
        <v>277674.90000000002</v>
      </c>
      <c r="N114" s="595">
        <v>277674.90000000002</v>
      </c>
      <c r="O114" s="591">
        <v>278895.31</v>
      </c>
      <c r="P114" s="748">
        <v>278895.31</v>
      </c>
      <c r="Q114" s="714">
        <f t="shared" si="7"/>
        <v>3312194.25</v>
      </c>
      <c r="R114" s="571">
        <f t="shared" si="6"/>
        <v>3312194.25</v>
      </c>
      <c r="U114" s="561"/>
    </row>
    <row r="115" spans="1:21" x14ac:dyDescent="0.3">
      <c r="A115" s="558">
        <v>44</v>
      </c>
      <c r="B115" s="559">
        <v>4102</v>
      </c>
      <c r="C115" s="558" t="s">
        <v>299</v>
      </c>
      <c r="D115" s="560">
        <v>1010597.4900000001</v>
      </c>
      <c r="E115" s="593">
        <v>0</v>
      </c>
      <c r="F115" s="593">
        <v>0</v>
      </c>
      <c r="G115" s="593">
        <v>0</v>
      </c>
      <c r="H115" s="593">
        <v>0</v>
      </c>
      <c r="I115" s="717">
        <v>0</v>
      </c>
      <c r="J115" s="717">
        <v>0</v>
      </c>
      <c r="K115" s="594">
        <v>0</v>
      </c>
      <c r="L115" s="595">
        <v>0</v>
      </c>
      <c r="M115" s="595"/>
      <c r="N115" s="595"/>
      <c r="O115" s="591">
        <v>0</v>
      </c>
      <c r="P115" s="748">
        <v>0</v>
      </c>
      <c r="Q115" s="605"/>
      <c r="R115" s="571">
        <f t="shared" si="6"/>
        <v>0</v>
      </c>
      <c r="U115" s="561"/>
    </row>
    <row r="116" spans="1:21" x14ac:dyDescent="0.3">
      <c r="A116" s="558">
        <v>45</v>
      </c>
      <c r="B116" s="559">
        <v>4103</v>
      </c>
      <c r="C116" s="558" t="s">
        <v>324</v>
      </c>
      <c r="D116" s="560">
        <v>8473244.9000000022</v>
      </c>
      <c r="E116" s="593">
        <v>703538.19</v>
      </c>
      <c r="F116" s="593">
        <v>706336.97</v>
      </c>
      <c r="G116" s="593">
        <v>706388.95</v>
      </c>
      <c r="H116" s="593">
        <v>706388.94</v>
      </c>
      <c r="I116" s="717">
        <v>706388.95</v>
      </c>
      <c r="J116" s="717">
        <v>633708.1</v>
      </c>
      <c r="K116" s="594">
        <v>633708.1</v>
      </c>
      <c r="L116" s="595">
        <v>634835.62</v>
      </c>
      <c r="M116" s="595">
        <v>617788.99</v>
      </c>
      <c r="N116" s="595">
        <v>617788.99</v>
      </c>
      <c r="O116" s="591">
        <v>630552.24</v>
      </c>
      <c r="P116" s="748">
        <v>630552.23</v>
      </c>
      <c r="Q116" s="561">
        <f t="shared" ref="Q116:Q118" si="8">SUM(E116:P116)</f>
        <v>7927976.2700000014</v>
      </c>
      <c r="R116" s="571">
        <f t="shared" si="6"/>
        <v>7927976.2700000014</v>
      </c>
      <c r="U116" s="561"/>
    </row>
    <row r="117" spans="1:21" x14ac:dyDescent="0.3">
      <c r="A117" s="558">
        <v>46</v>
      </c>
      <c r="B117" s="559">
        <v>4111</v>
      </c>
      <c r="C117" s="558" t="s">
        <v>355</v>
      </c>
      <c r="D117" s="560">
        <v>2433286.09</v>
      </c>
      <c r="E117" s="593">
        <v>202038.36</v>
      </c>
      <c r="F117" s="593">
        <v>202840.7</v>
      </c>
      <c r="G117" s="593">
        <v>202891.8</v>
      </c>
      <c r="H117" s="593">
        <v>202891.8</v>
      </c>
      <c r="I117" s="717">
        <v>202891.8</v>
      </c>
      <c r="J117" s="717">
        <v>200498.24</v>
      </c>
      <c r="K117" s="594">
        <v>200498.24</v>
      </c>
      <c r="L117" s="595">
        <v>200210.41</v>
      </c>
      <c r="M117" s="595">
        <v>195042.27</v>
      </c>
      <c r="N117" s="595">
        <v>195042.27</v>
      </c>
      <c r="O117" s="591">
        <v>198951</v>
      </c>
      <c r="P117" s="748">
        <v>198951</v>
      </c>
      <c r="Q117" s="561">
        <f t="shared" si="8"/>
        <v>2402747.8899999997</v>
      </c>
      <c r="R117" s="571">
        <f t="shared" si="6"/>
        <v>2402747.8899999997</v>
      </c>
      <c r="U117" s="561"/>
    </row>
    <row r="118" spans="1:21" x14ac:dyDescent="0.3">
      <c r="A118" s="558">
        <v>47</v>
      </c>
      <c r="B118" s="559">
        <v>4131</v>
      </c>
      <c r="C118" s="558" t="s">
        <v>412</v>
      </c>
      <c r="D118" s="560">
        <v>533527.24000000011</v>
      </c>
      <c r="E118" s="593">
        <v>44299.33</v>
      </c>
      <c r="F118" s="593">
        <v>44475.26</v>
      </c>
      <c r="G118" s="593">
        <v>44489.32</v>
      </c>
      <c r="H118" s="593">
        <v>44489.32</v>
      </c>
      <c r="I118" s="717">
        <v>44489.32</v>
      </c>
      <c r="J118" s="717">
        <v>82625.429999999993</v>
      </c>
      <c r="K118" s="594">
        <v>82625.429999999993</v>
      </c>
      <c r="L118" s="595">
        <v>82013.72</v>
      </c>
      <c r="M118" s="595">
        <v>80311.73</v>
      </c>
      <c r="N118" s="595">
        <v>80311.73</v>
      </c>
      <c r="O118" s="591">
        <v>81609.119999999995</v>
      </c>
      <c r="P118" s="748">
        <v>81609.11</v>
      </c>
      <c r="Q118" s="561">
        <f t="shared" si="8"/>
        <v>793348.82</v>
      </c>
      <c r="R118" s="571">
        <f t="shared" si="6"/>
        <v>793348.82</v>
      </c>
      <c r="U118" s="561"/>
    </row>
    <row r="120" spans="1:21" x14ac:dyDescent="0.3">
      <c r="D120" s="560">
        <f>SUM(D72:D119)</f>
        <v>205901433.20000005</v>
      </c>
      <c r="E120" s="560">
        <f t="shared" ref="E120:K120" si="9">SUM(E72:E119)</f>
        <v>17016582.480000004</v>
      </c>
      <c r="F120" s="560">
        <f t="shared" si="9"/>
        <v>17079477.580000002</v>
      </c>
      <c r="G120" s="560">
        <f t="shared" si="9"/>
        <v>17074744.390000001</v>
      </c>
      <c r="H120" s="560">
        <f>SUM(H70:H119)</f>
        <v>17123232.370000001</v>
      </c>
      <c r="I120" s="560">
        <f>SUM(I70:I119)</f>
        <v>17123225.07</v>
      </c>
      <c r="J120" s="560">
        <f t="shared" si="9"/>
        <v>17004198.59</v>
      </c>
      <c r="K120" s="572">
        <f t="shared" si="9"/>
        <v>17004198.670000002</v>
      </c>
      <c r="L120" s="560">
        <f>SUM(L70:L119)</f>
        <v>17051540.059999999</v>
      </c>
      <c r="M120" s="560">
        <f>SUM(M70:M119)</f>
        <v>16659283.030000001</v>
      </c>
      <c r="N120" s="560">
        <f>SUM(N70:N119)</f>
        <v>16659282.890000001</v>
      </c>
      <c r="O120" s="560">
        <f t="shared" ref="O120:P120" si="10">SUM(O70:O119)</f>
        <v>16943744.650000002</v>
      </c>
      <c r="P120" s="560">
        <f t="shared" si="10"/>
        <v>16943744.420000002</v>
      </c>
      <c r="Q120" s="560">
        <f>SUM(Q70:Q119)</f>
        <v>203824679.10000005</v>
      </c>
      <c r="R120" s="560">
        <f>SUM(R70:R119)</f>
        <v>203824679.10000005</v>
      </c>
    </row>
    <row r="122" spans="1:21" x14ac:dyDescent="0.3">
      <c r="E122" s="560">
        <f>E55-E120</f>
        <v>0</v>
      </c>
    </row>
    <row r="123" spans="1:21" x14ac:dyDescent="0.3">
      <c r="E123" s="562"/>
    </row>
  </sheetData>
  <pageMargins left="0.7" right="0.7" top="0.75" bottom="0.75" header="0.3" footer="0.3"/>
  <pageSetup scale="43" fitToHeight="0" orientation="landscape" r:id="rId1"/>
  <ignoredErrors>
    <ignoredError sqref="Q116:Q118 Q5:R5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CC"/>
  </sheetPr>
  <dimension ref="A1:V246"/>
  <sheetViews>
    <sheetView topLeftCell="A104" workbookViewId="0">
      <selection activeCell="I139" sqref="I139"/>
    </sheetView>
  </sheetViews>
  <sheetFormatPr defaultColWidth="9.109375" defaultRowHeight="15.6" x14ac:dyDescent="0.3"/>
  <cols>
    <col min="1" max="1" width="10.33203125" style="657" customWidth="1"/>
    <col min="2" max="2" width="30.33203125" style="3" bestFit="1" customWidth="1"/>
    <col min="3" max="3" width="11.6640625" style="3" bestFit="1" customWidth="1"/>
    <col min="4" max="4" width="10.6640625" style="3" customWidth="1"/>
    <col min="5" max="5" width="11.6640625" style="3" customWidth="1"/>
    <col min="6" max="6" width="18" style="3" bestFit="1" customWidth="1"/>
    <col min="7" max="7" width="7.44140625" style="3" customWidth="1"/>
    <col min="8" max="8" width="14.5546875" style="3" customWidth="1"/>
    <col min="9" max="9" width="23.6640625" style="3" bestFit="1" customWidth="1"/>
    <col min="10" max="10" width="11" style="3" bestFit="1" customWidth="1"/>
    <col min="11" max="11" width="12.6640625" style="3" bestFit="1" customWidth="1"/>
    <col min="12" max="12" width="10.33203125" style="3" bestFit="1" customWidth="1"/>
    <col min="13" max="13" width="9.109375" style="3"/>
    <col min="14" max="14" width="10.33203125" style="657"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v>50</v>
      </c>
      <c r="B1" s="799" t="s">
        <v>15</v>
      </c>
      <c r="C1" s="800"/>
      <c r="D1" s="800"/>
      <c r="E1" s="800"/>
      <c r="F1" s="800"/>
      <c r="G1" s="800"/>
      <c r="H1" s="800"/>
      <c r="I1" s="800"/>
      <c r="J1" s="135"/>
      <c r="K1" s="135"/>
      <c r="L1" s="135"/>
      <c r="N1" s="82">
        <f>A1</f>
        <v>50</v>
      </c>
      <c r="O1" s="880" t="s">
        <v>15</v>
      </c>
      <c r="P1" s="881"/>
      <c r="Q1" s="881"/>
      <c r="R1" s="881"/>
      <c r="S1" s="881"/>
      <c r="T1" s="881"/>
      <c r="U1" s="881"/>
    </row>
    <row r="2" spans="1:21" ht="21" x14ac:dyDescent="0.4">
      <c r="A2" s="1" t="s">
        <v>586</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
        <v>617</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671"/>
      <c r="O5" s="671"/>
      <c r="P5" s="672"/>
      <c r="Q5" s="672"/>
      <c r="R5" s="5"/>
      <c r="S5" s="5"/>
      <c r="T5" s="5"/>
      <c r="U5" s="5"/>
    </row>
    <row r="6" spans="1:21" ht="12" customHeight="1" x14ac:dyDescent="0.3">
      <c r="A6" s="673"/>
      <c r="B6" s="673"/>
      <c r="C6" s="666"/>
      <c r="D6" s="666"/>
      <c r="E6" s="666"/>
      <c r="F6" s="4"/>
      <c r="G6" s="4"/>
      <c r="H6" s="4"/>
      <c r="I6" s="4"/>
      <c r="N6" s="671"/>
      <c r="O6" s="671"/>
      <c r="P6" s="672"/>
      <c r="Q6" s="672"/>
      <c r="R6" s="5"/>
      <c r="S6" s="5"/>
      <c r="T6" s="5"/>
      <c r="U6" s="5"/>
    </row>
    <row r="7" spans="1:21" x14ac:dyDescent="0.3">
      <c r="A7" s="803" t="s">
        <v>622</v>
      </c>
      <c r="B7" s="873"/>
      <c r="C7" s="873"/>
      <c r="D7" s="873"/>
      <c r="E7" s="873"/>
      <c r="F7" s="873"/>
      <c r="G7" s="873"/>
      <c r="H7" s="873"/>
      <c r="I7" s="873"/>
      <c r="N7" s="874" t="str">
        <f>A7</f>
        <v>1A.   2024-25 FEFP State and Local Funding</v>
      </c>
      <c r="O7" s="874"/>
      <c r="P7" s="874"/>
      <c r="Q7" s="874"/>
      <c r="R7" s="874"/>
      <c r="S7" s="874"/>
      <c r="T7" s="874"/>
      <c r="U7" s="874"/>
    </row>
    <row r="8" spans="1:21" x14ac:dyDescent="0.3">
      <c r="A8" s="84"/>
      <c r="B8" s="85" t="s">
        <v>92</v>
      </c>
      <c r="C8" s="298">
        <v>5330.98</v>
      </c>
      <c r="D8" s="86"/>
      <c r="E8" s="87"/>
      <c r="F8" s="84"/>
      <c r="G8" s="85" t="s">
        <v>455</v>
      </c>
      <c r="H8" s="286">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v>1</v>
      </c>
      <c r="I9" s="75"/>
      <c r="N9" s="674"/>
      <c r="O9" s="674"/>
      <c r="P9" s="675"/>
      <c r="Q9" s="675"/>
      <c r="R9" s="678" t="s">
        <v>454</v>
      </c>
      <c r="S9" s="678"/>
      <c r="T9" s="879">
        <f>H9</f>
        <v>1</v>
      </c>
      <c r="U9" s="879"/>
    </row>
    <row r="10" spans="1:21" x14ac:dyDescent="0.3">
      <c r="A10" s="7"/>
      <c r="B10" s="7" t="s">
        <v>328</v>
      </c>
      <c r="C10" s="8" t="s">
        <v>328</v>
      </c>
      <c r="D10" s="8" t="s">
        <v>328</v>
      </c>
      <c r="E10" s="8"/>
      <c r="F10" s="9"/>
      <c r="G10" s="9"/>
      <c r="H10" s="10"/>
      <c r="I10" s="340" t="s">
        <v>574</v>
      </c>
      <c r="N10" s="674"/>
      <c r="O10" s="674"/>
      <c r="P10" s="675"/>
      <c r="Q10" s="675"/>
      <c r="R10" s="14"/>
      <c r="S10" s="14"/>
      <c r="T10" s="15"/>
      <c r="U10" s="409" t="str">
        <f>I10</f>
        <v>2024-25</v>
      </c>
    </row>
    <row r="11" spans="1:21" x14ac:dyDescent="0.3">
      <c r="A11" s="7"/>
      <c r="B11" s="7"/>
      <c r="C11" s="88" t="s">
        <v>581</v>
      </c>
      <c r="D11" s="348" t="s">
        <v>582</v>
      </c>
      <c r="E11" s="89" t="s">
        <v>8</v>
      </c>
      <c r="F11" s="804" t="s">
        <v>1</v>
      </c>
      <c r="G11" s="804"/>
      <c r="H11" s="10" t="s">
        <v>60</v>
      </c>
      <c r="I11" s="11" t="s">
        <v>27</v>
      </c>
      <c r="N11" s="674"/>
      <c r="O11" s="674"/>
      <c r="P11" s="675"/>
      <c r="Q11" s="675"/>
      <c r="R11" s="870" t="s">
        <v>1</v>
      </c>
      <c r="S11" s="870"/>
      <c r="T11" s="15" t="s">
        <v>60</v>
      </c>
      <c r="U11" s="16" t="s">
        <v>27</v>
      </c>
    </row>
    <row r="12" spans="1:21" ht="15.75" customHeight="1" x14ac:dyDescent="0.3">
      <c r="A12" s="36" t="s">
        <v>1</v>
      </c>
      <c r="B12" s="36"/>
      <c r="C12" s="339" t="s">
        <v>2</v>
      </c>
      <c r="D12" s="339" t="s">
        <v>2</v>
      </c>
      <c r="E12" s="90"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667"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c r="D14" s="141">
        <v>0</v>
      </c>
      <c r="E14" s="187">
        <f>IF(D$30=0,C14*2,C14+D14)</f>
        <v>0</v>
      </c>
      <c r="F14" s="868">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c r="D15" s="143">
        <v>0</v>
      </c>
      <c r="E15" s="116">
        <f t="shared" ref="E15:E29" si="1">IF(D$30=0,C15*2,C15+D15)</f>
        <v>0</v>
      </c>
      <c r="F15" s="859">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10.53</v>
      </c>
      <c r="D16" s="143">
        <v>8.42</v>
      </c>
      <c r="E16" s="116">
        <f t="shared" si="1"/>
        <v>18.95</v>
      </c>
      <c r="F16" s="859">
        <v>1</v>
      </c>
      <c r="G16" s="859"/>
      <c r="H16" s="80">
        <f t="shared" si="2"/>
        <v>18.95</v>
      </c>
      <c r="I16" s="101">
        <f>ROUND(ROUND(ROUND(H16*$C$8,4)*($H$8),2)*(MAX($H$9,1)),2)</f>
        <v>105143.77</v>
      </c>
      <c r="K16" s="236"/>
      <c r="N16" s="818" t="s">
        <v>22</v>
      </c>
      <c r="O16" s="818"/>
      <c r="P16" s="860">
        <f t="shared" si="0"/>
        <v>0</v>
      </c>
      <c r="Q16" s="860"/>
      <c r="R16" s="864">
        <v>1</v>
      </c>
      <c r="S16" s="864"/>
      <c r="T16" s="95">
        <f t="shared" si="4"/>
        <v>0</v>
      </c>
      <c r="U16" s="523">
        <f t="shared" si="5"/>
        <v>0</v>
      </c>
    </row>
    <row r="17" spans="1:21" x14ac:dyDescent="0.3">
      <c r="A17" s="776" t="s">
        <v>23</v>
      </c>
      <c r="B17" s="776"/>
      <c r="C17" s="143">
        <v>5.0999999999999996</v>
      </c>
      <c r="D17" s="143">
        <v>7.08</v>
      </c>
      <c r="E17" s="116">
        <f t="shared" si="1"/>
        <v>12.18</v>
      </c>
      <c r="F17" s="859">
        <v>1</v>
      </c>
      <c r="G17" s="859"/>
      <c r="H17" s="80">
        <f t="shared" si="2"/>
        <v>12.18</v>
      </c>
      <c r="I17" s="101">
        <f t="shared" si="3"/>
        <v>67580.53</v>
      </c>
      <c r="J17" s="65" t="str">
        <f>IF(ROUND(E17,2)=ROUND(SUM(E60:E62),2)," ","CHECK 4-8 LINES BELOW")</f>
        <v xml:space="preserve"> </v>
      </c>
      <c r="K17" s="236"/>
      <c r="N17" s="818" t="s">
        <v>23</v>
      </c>
      <c r="O17" s="818"/>
      <c r="P17" s="860">
        <f t="shared" si="0"/>
        <v>0</v>
      </c>
      <c r="Q17" s="860"/>
      <c r="R17" s="864">
        <v>1</v>
      </c>
      <c r="S17" s="864"/>
      <c r="T17" s="95">
        <f t="shared" si="4"/>
        <v>0</v>
      </c>
      <c r="U17" s="523">
        <f t="shared" si="5"/>
        <v>0</v>
      </c>
    </row>
    <row r="18" spans="1:21" x14ac:dyDescent="0.3">
      <c r="A18" s="776" t="s">
        <v>24</v>
      </c>
      <c r="B18" s="776"/>
      <c r="C18" s="143"/>
      <c r="D18" s="143">
        <v>0</v>
      </c>
      <c r="E18" s="116">
        <f>IF(D$30=0,C18*2,C18+D18)</f>
        <v>0</v>
      </c>
      <c r="F18" s="859">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c r="D19" s="143">
        <v>0</v>
      </c>
      <c r="E19" s="116">
        <f t="shared" si="1"/>
        <v>0</v>
      </c>
      <c r="F19" s="859">
        <v>0.97799999999999998</v>
      </c>
      <c r="G19" s="859"/>
      <c r="H19" s="80">
        <f>ROUND(E19*F19,4)</f>
        <v>0</v>
      </c>
      <c r="I19" s="101">
        <f>ROUND(ROUND(ROUND(H19*$C$8,4)*($H$8),2)*(MAX($H$9,1)),2)</f>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c r="D20" s="143">
        <v>0</v>
      </c>
      <c r="E20" s="116">
        <f t="shared" si="1"/>
        <v>0</v>
      </c>
      <c r="F20" s="859">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c r="D21" s="143">
        <v>0</v>
      </c>
      <c r="E21" s="116">
        <f t="shared" si="1"/>
        <v>0</v>
      </c>
      <c r="F21" s="859">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c r="D22" s="143"/>
      <c r="E22" s="116">
        <f t="shared" si="1"/>
        <v>0</v>
      </c>
      <c r="F22" s="859">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c r="D23" s="143">
        <v>0</v>
      </c>
      <c r="E23" s="116">
        <f t="shared" si="1"/>
        <v>0</v>
      </c>
      <c r="F23" s="859">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c r="D24" s="143">
        <v>0</v>
      </c>
      <c r="E24" s="116">
        <f t="shared" si="1"/>
        <v>0</v>
      </c>
      <c r="F24" s="859">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c r="D25" s="143"/>
      <c r="E25" s="116">
        <f t="shared" si="1"/>
        <v>0</v>
      </c>
      <c r="F25" s="859">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c r="D26" s="143">
        <v>0</v>
      </c>
      <c r="E26" s="116">
        <f t="shared" si="1"/>
        <v>0</v>
      </c>
      <c r="F26" s="859">
        <v>1.1919999999999999</v>
      </c>
      <c r="G26" s="859"/>
      <c r="H26" s="80">
        <f t="shared" si="2"/>
        <v>0</v>
      </c>
      <c r="I26" s="101">
        <f t="shared" si="3"/>
        <v>0</v>
      </c>
      <c r="L26" s="250"/>
      <c r="N26" s="818" t="s">
        <v>85</v>
      </c>
      <c r="O26" s="818"/>
      <c r="P26" s="860">
        <f t="shared" si="0"/>
        <v>0</v>
      </c>
      <c r="Q26" s="860"/>
      <c r="R26" s="864">
        <v>1</v>
      </c>
      <c r="S26" s="864"/>
      <c r="T26" s="95">
        <f t="shared" si="4"/>
        <v>0</v>
      </c>
      <c r="U26" s="523">
        <f t="shared" si="5"/>
        <v>0</v>
      </c>
    </row>
    <row r="27" spans="1:21" x14ac:dyDescent="0.3">
      <c r="A27" s="776" t="s">
        <v>86</v>
      </c>
      <c r="B27" s="776"/>
      <c r="C27" s="143">
        <v>2.57</v>
      </c>
      <c r="D27" s="143">
        <v>1.7</v>
      </c>
      <c r="E27" s="116">
        <f t="shared" si="1"/>
        <v>4.2699999999999996</v>
      </c>
      <c r="F27" s="859">
        <v>1.1919999999999999</v>
      </c>
      <c r="G27" s="859"/>
      <c r="H27" s="80">
        <f t="shared" si="2"/>
        <v>5.0898000000000003</v>
      </c>
      <c r="I27" s="101">
        <f t="shared" si="3"/>
        <v>28240.67</v>
      </c>
      <c r="L27" s="250"/>
      <c r="N27" s="818" t="s">
        <v>86</v>
      </c>
      <c r="O27" s="818"/>
      <c r="P27" s="860">
        <f t="shared" si="0"/>
        <v>0</v>
      </c>
      <c r="Q27" s="860"/>
      <c r="R27" s="864">
        <v>1</v>
      </c>
      <c r="S27" s="864"/>
      <c r="T27" s="95">
        <f t="shared" si="4"/>
        <v>0</v>
      </c>
      <c r="U27" s="523">
        <f t="shared" si="5"/>
        <v>0</v>
      </c>
    </row>
    <row r="28" spans="1:21" x14ac:dyDescent="0.3">
      <c r="A28" s="776" t="s">
        <v>87</v>
      </c>
      <c r="B28" s="776"/>
      <c r="C28" s="143"/>
      <c r="D28" s="143">
        <v>0</v>
      </c>
      <c r="E28" s="116">
        <f t="shared" si="1"/>
        <v>0</v>
      </c>
      <c r="F28" s="859">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c r="D29" s="110">
        <v>0</v>
      </c>
      <c r="E29" s="154">
        <f t="shared" si="1"/>
        <v>0</v>
      </c>
      <c r="F29" s="859">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18.2</v>
      </c>
      <c r="D30" s="94">
        <f>SUM(D14:D29)</f>
        <v>17.2</v>
      </c>
      <c r="E30" s="94">
        <f>SUM(E14:E29)</f>
        <v>35.4</v>
      </c>
      <c r="F30" s="795"/>
      <c r="G30" s="795"/>
      <c r="H30" s="99">
        <f>SUM(H14:H29)</f>
        <v>36.219799999999999</v>
      </c>
      <c r="I30" s="94">
        <f>SUM(I14:I29)</f>
        <v>200964.96999999997</v>
      </c>
      <c r="N30" s="862" t="s">
        <v>5</v>
      </c>
      <c r="O30" s="862"/>
      <c r="P30" s="863">
        <f>SUM(P14:P29)</f>
        <v>0</v>
      </c>
      <c r="Q30" s="863"/>
      <c r="R30" s="852"/>
      <c r="S30" s="852"/>
      <c r="T30" s="100">
        <f>SUM(T14:T29)</f>
        <v>0</v>
      </c>
      <c r="U30" s="523">
        <f>SUM(U14:U29)</f>
        <v>0</v>
      </c>
    </row>
    <row r="31" spans="1:21" x14ac:dyDescent="0.3">
      <c r="A31" s="659"/>
      <c r="B31" s="659"/>
      <c r="C31" s="101"/>
      <c r="D31" s="101"/>
      <c r="E31" s="101"/>
      <c r="F31" s="664"/>
      <c r="G31" s="664"/>
      <c r="H31" s="80"/>
      <c r="I31" s="101"/>
      <c r="N31" s="686"/>
      <c r="O31" s="686"/>
      <c r="P31" s="29"/>
      <c r="Q31" s="29"/>
      <c r="R31" s="679"/>
      <c r="S31" s="679"/>
      <c r="T31" s="102"/>
      <c r="U31" s="103"/>
    </row>
    <row r="32" spans="1:21" hidden="1" x14ac:dyDescent="0.3">
      <c r="A32" s="281" t="s">
        <v>251</v>
      </c>
      <c r="B32" s="659"/>
      <c r="C32" s="101"/>
      <c r="D32" s="101"/>
      <c r="E32" s="101"/>
      <c r="F32" s="664"/>
      <c r="G32" s="664"/>
      <c r="H32" s="80"/>
      <c r="I32" s="101"/>
      <c r="N32" s="686"/>
      <c r="O32" s="686"/>
      <c r="P32" s="29"/>
      <c r="Q32" s="29"/>
      <c r="R32" s="679"/>
      <c r="S32" s="679"/>
      <c r="T32" s="102"/>
      <c r="U32" s="103"/>
    </row>
    <row r="33" spans="1:21" hidden="1" x14ac:dyDescent="0.3">
      <c r="A33" s="146"/>
      <c r="B33" s="659"/>
      <c r="C33" s="101"/>
      <c r="D33" s="101"/>
      <c r="E33" s="101"/>
      <c r="F33" s="664"/>
      <c r="G33" s="664"/>
      <c r="H33" s="80"/>
      <c r="I33" s="101"/>
      <c r="N33" s="686"/>
      <c r="O33" s="686"/>
      <c r="P33" s="29"/>
      <c r="Q33" s="29"/>
      <c r="R33" s="679"/>
      <c r="S33" s="679"/>
      <c r="T33" s="102"/>
      <c r="U33" s="103"/>
    </row>
    <row r="34" spans="1:21" hidden="1" x14ac:dyDescent="0.3">
      <c r="A34" s="146"/>
      <c r="B34" s="659"/>
      <c r="C34" s="101"/>
      <c r="D34" s="101"/>
      <c r="E34" s="101"/>
      <c r="F34" s="854" t="s">
        <v>232</v>
      </c>
      <c r="G34" s="854"/>
      <c r="H34" s="854"/>
      <c r="I34" s="101"/>
      <c r="N34" s="686"/>
      <c r="O34" s="686"/>
      <c r="P34" s="29"/>
      <c r="Q34" s="29"/>
      <c r="R34" s="679"/>
      <c r="S34" s="679"/>
      <c r="T34" s="102"/>
      <c r="U34" s="103"/>
    </row>
    <row r="35" spans="1:21" ht="15.6" hidden="1" customHeight="1" x14ac:dyDescent="0.3">
      <c r="A35" s="3"/>
      <c r="B35" s="657"/>
      <c r="C35" s="657"/>
      <c r="D35" s="657"/>
      <c r="E35" s="657"/>
      <c r="F35" s="854"/>
      <c r="G35" s="854"/>
      <c r="H35" s="854"/>
      <c r="I35" s="24" t="str">
        <f>I10</f>
        <v>2024-25</v>
      </c>
      <c r="N35" s="822" t="s">
        <v>26</v>
      </c>
      <c r="O35" s="822"/>
      <c r="P35" s="822"/>
      <c r="Q35" s="822"/>
      <c r="R35" s="822"/>
      <c r="S35" s="822"/>
      <c r="T35" s="822"/>
      <c r="U35" s="25" t="str">
        <f>I35</f>
        <v>2024-25</v>
      </c>
    </row>
    <row r="36" spans="1:21" hidden="1" x14ac:dyDescent="0.3">
      <c r="A36" s="659"/>
      <c r="B36" s="659"/>
      <c r="C36" s="88" t="s">
        <v>347</v>
      </c>
      <c r="D36" s="88"/>
      <c r="E36" s="89" t="s">
        <v>8</v>
      </c>
      <c r="F36" s="854"/>
      <c r="G36" s="854"/>
      <c r="H36" s="854"/>
      <c r="I36" s="24" t="s">
        <v>27</v>
      </c>
      <c r="N36" s="686"/>
      <c r="O36" s="686"/>
      <c r="P36" s="29"/>
      <c r="Q36" s="29"/>
      <c r="R36" s="679"/>
      <c r="S36" s="679"/>
      <c r="T36" s="102"/>
      <c r="U36" s="25" t="s">
        <v>27</v>
      </c>
    </row>
    <row r="37" spans="1:21" ht="27.6" hidden="1" x14ac:dyDescent="0.3">
      <c r="A37" s="796" t="s">
        <v>50</v>
      </c>
      <c r="B37" s="796"/>
      <c r="C37" s="339" t="s">
        <v>2</v>
      </c>
      <c r="D37" s="339"/>
      <c r="E37" s="90" t="s">
        <v>2</v>
      </c>
      <c r="F37" s="855"/>
      <c r="G37" s="855"/>
      <c r="H37" s="855"/>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686"/>
      <c r="O45" s="686"/>
      <c r="P45" s="686"/>
      <c r="Q45" s="686"/>
      <c r="R45" s="33"/>
      <c r="S45" s="679"/>
      <c r="T45" s="679"/>
      <c r="U45" s="103"/>
    </row>
    <row r="46" spans="1:21" ht="16.2" hidden="1" thickBot="1" x14ac:dyDescent="0.35">
      <c r="A46" s="3"/>
      <c r="B46" s="52" t="s">
        <v>96</v>
      </c>
      <c r="E46" s="152">
        <f>H30+E44</f>
        <v>36.219799999999999</v>
      </c>
      <c r="F46" s="34"/>
      <c r="G46" s="106"/>
      <c r="H46" s="107" t="s">
        <v>98</v>
      </c>
      <c r="I46" s="94">
        <f>SUM(I44,I30)</f>
        <v>200964.96999999997</v>
      </c>
      <c r="N46" s="847" t="s">
        <v>44</v>
      </c>
      <c r="O46" s="847"/>
      <c r="P46" s="847"/>
      <c r="Q46" s="847"/>
      <c r="R46" s="35">
        <f>R44+T30</f>
        <v>0</v>
      </c>
      <c r="S46" s="852" t="s">
        <v>42</v>
      </c>
      <c r="T46" s="852"/>
      <c r="U46" s="108">
        <f>SUM(U44,U30)</f>
        <v>0</v>
      </c>
    </row>
    <row r="47" spans="1:21" ht="16.2" hidden="1" thickTop="1" x14ac:dyDescent="0.3">
      <c r="A47" s="659"/>
      <c r="B47" s="659"/>
      <c r="C47" s="659"/>
      <c r="D47" s="659"/>
      <c r="E47" s="659"/>
      <c r="F47" s="34"/>
      <c r="G47" s="664"/>
      <c r="H47" s="664"/>
      <c r="I47" s="101"/>
      <c r="N47" s="686"/>
      <c r="O47" s="686"/>
      <c r="P47" s="686"/>
      <c r="Q47" s="686"/>
      <c r="R47" s="35"/>
      <c r="S47" s="679"/>
      <c r="T47" s="679"/>
      <c r="U47" s="103"/>
    </row>
    <row r="48" spans="1:21" x14ac:dyDescent="0.3">
      <c r="A48" s="656" t="s">
        <v>458</v>
      </c>
      <c r="B48" s="659"/>
      <c r="C48" s="659"/>
      <c r="D48" s="659"/>
      <c r="E48" s="659"/>
      <c r="F48" s="34"/>
      <c r="G48" s="664"/>
      <c r="H48" s="664"/>
      <c r="I48" s="101"/>
      <c r="N48" s="681" t="s">
        <v>458</v>
      </c>
      <c r="O48" s="686"/>
      <c r="P48" s="686"/>
      <c r="Q48" s="686"/>
      <c r="R48" s="35"/>
      <c r="S48" s="679"/>
      <c r="T48" s="679"/>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2" t="s">
        <v>460</v>
      </c>
      <c r="F50" s="443"/>
      <c r="G50" s="444"/>
      <c r="H50" s="444"/>
      <c r="I50" s="445"/>
      <c r="N50" s="463" t="s">
        <v>460</v>
      </c>
      <c r="O50" s="446"/>
      <c r="P50" s="446"/>
      <c r="Q50" s="446"/>
      <c r="R50" s="447"/>
      <c r="S50" s="448"/>
      <c r="T50" s="448"/>
      <c r="U50" s="455"/>
    </row>
    <row r="51" spans="1:22" x14ac:dyDescent="0.3">
      <c r="A51" s="440"/>
      <c r="B51" s="3" t="s">
        <v>577</v>
      </c>
      <c r="C51" s="659"/>
      <c r="D51" s="659"/>
      <c r="E51" s="669" t="s">
        <v>461</v>
      </c>
      <c r="F51" s="451">
        <v>205071.96</v>
      </c>
      <c r="G51" s="109" t="s">
        <v>6</v>
      </c>
      <c r="H51" s="452">
        <v>5.5899999999999998E-2</v>
      </c>
      <c r="I51" s="101">
        <f>ROUND(F51*H51,2)</f>
        <v>11463.52</v>
      </c>
      <c r="N51" s="457"/>
      <c r="O51" s="51" t="s">
        <v>576</v>
      </c>
      <c r="P51" s="686"/>
      <c r="Q51" s="44" t="s">
        <v>461</v>
      </c>
      <c r="R51" s="459">
        <f>U30</f>
        <v>0</v>
      </c>
      <c r="S51" s="460" t="s">
        <v>6</v>
      </c>
      <c r="T51" s="461">
        <v>5.5899999999999998E-2</v>
      </c>
      <c r="U51" s="453">
        <f>ROUND(R51*T51,2)</f>
        <v>0</v>
      </c>
    </row>
    <row r="52" spans="1:22" x14ac:dyDescent="0.3">
      <c r="A52" s="659"/>
      <c r="B52" s="656" t="s">
        <v>580</v>
      </c>
      <c r="C52" s="659"/>
      <c r="D52" s="659"/>
      <c r="E52" s="669" t="s">
        <v>461</v>
      </c>
      <c r="F52" s="451">
        <v>205071.96</v>
      </c>
      <c r="G52" s="109" t="s">
        <v>6</v>
      </c>
      <c r="H52" s="452">
        <v>1.0699999999999999E-2</v>
      </c>
      <c r="I52" s="101">
        <f>ROUND(F52*H52,2)</f>
        <v>2194.27</v>
      </c>
      <c r="N52" s="686"/>
      <c r="O52" s="681" t="s">
        <v>579</v>
      </c>
      <c r="P52" s="686"/>
      <c r="Q52" s="44" t="s">
        <v>461</v>
      </c>
      <c r="R52" s="459">
        <f>U30</f>
        <v>0</v>
      </c>
      <c r="S52" s="460" t="s">
        <v>6</v>
      </c>
      <c r="T52" s="461">
        <v>1.0699999999999999E-2</v>
      </c>
      <c r="U52" s="462">
        <f>ROUND(R52*T52,2)</f>
        <v>0</v>
      </c>
    </row>
    <row r="53" spans="1:22" x14ac:dyDescent="0.3">
      <c r="A53" s="659"/>
      <c r="B53" s="656" t="s">
        <v>462</v>
      </c>
      <c r="C53" s="659"/>
      <c r="D53" s="659"/>
      <c r="E53" s="669"/>
      <c r="F53" s="451"/>
      <c r="G53" s="109"/>
      <c r="H53" s="452"/>
      <c r="I53" s="97">
        <f>SUM(I51:I52)</f>
        <v>13657.79</v>
      </c>
      <c r="N53" s="686"/>
      <c r="O53" s="681" t="s">
        <v>462</v>
      </c>
      <c r="P53" s="686"/>
      <c r="Q53" s="44"/>
      <c r="R53" s="459"/>
      <c r="S53" s="460"/>
      <c r="T53" s="461"/>
      <c r="U53" s="453">
        <f>SUM(U51:U52)</f>
        <v>0</v>
      </c>
    </row>
    <row r="54" spans="1:22" x14ac:dyDescent="0.3">
      <c r="A54" s="241"/>
      <c r="C54" s="662" t="s">
        <v>505</v>
      </c>
      <c r="D54" s="662" t="s">
        <v>505</v>
      </c>
      <c r="G54" s="42"/>
      <c r="H54" s="114"/>
      <c r="I54" s="114"/>
      <c r="N54" s="511"/>
      <c r="O54" s="51"/>
      <c r="P54" s="40" t="s">
        <v>505</v>
      </c>
      <c r="Q54" s="40" t="s">
        <v>505</v>
      </c>
      <c r="R54" s="51"/>
      <c r="S54" s="51"/>
      <c r="T54" s="512"/>
      <c r="U54" s="513"/>
      <c r="V54" s="114"/>
    </row>
    <row r="55" spans="1:22" x14ac:dyDescent="0.3">
      <c r="A55" s="659"/>
      <c r="B55" s="659"/>
      <c r="C55" s="88" t="s">
        <v>581</v>
      </c>
      <c r="D55" s="348" t="s">
        <v>582</v>
      </c>
      <c r="E55" s="89" t="s">
        <v>8</v>
      </c>
      <c r="F55" s="46" t="s">
        <v>499</v>
      </c>
      <c r="G55" s="109" t="s">
        <v>500</v>
      </c>
      <c r="H55" s="504" t="s">
        <v>501</v>
      </c>
      <c r="I55" s="101"/>
      <c r="N55" s="686"/>
      <c r="O55" s="686"/>
      <c r="P55" s="514"/>
      <c r="Q55" s="515"/>
      <c r="R55" s="516"/>
      <c r="S55" s="518" t="s">
        <v>500</v>
      </c>
      <c r="T55" s="519" t="s">
        <v>501</v>
      </c>
      <c r="U55" s="517"/>
      <c r="V55" s="474"/>
    </row>
    <row r="56" spans="1:22" x14ac:dyDescent="0.3">
      <c r="A56" s="36" t="s">
        <v>502</v>
      </c>
      <c r="B56" s="36"/>
      <c r="C56" s="339" t="s">
        <v>2</v>
      </c>
      <c r="D56" s="339" t="s">
        <v>2</v>
      </c>
      <c r="E56" s="90" t="s">
        <v>2</v>
      </c>
      <c r="F56" s="667" t="s">
        <v>503</v>
      </c>
      <c r="G56" s="661" t="s">
        <v>503</v>
      </c>
      <c r="H56" s="505" t="s">
        <v>504</v>
      </c>
      <c r="I56" s="36"/>
      <c r="N56" s="509" t="s">
        <v>502</v>
      </c>
      <c r="O56" s="509"/>
      <c r="P56" s="848" t="s">
        <v>2</v>
      </c>
      <c r="Q56" s="848"/>
      <c r="R56" s="509" t="s">
        <v>508</v>
      </c>
      <c r="S56" s="677" t="s">
        <v>503</v>
      </c>
      <c r="T56" s="520" t="s">
        <v>504</v>
      </c>
      <c r="U56" s="509"/>
      <c r="V56" s="508"/>
    </row>
    <row r="57" spans="1:22" x14ac:dyDescent="0.3">
      <c r="A57" s="791" t="s">
        <v>506</v>
      </c>
      <c r="B57" s="791"/>
      <c r="C57" s="143">
        <v>0</v>
      </c>
      <c r="D57" s="143">
        <v>0</v>
      </c>
      <c r="E57" s="116">
        <f t="shared" ref="E57:E59" si="10">IF(D$72=0,C57*2,C57+D57)</f>
        <v>0</v>
      </c>
      <c r="F57" s="660" t="s">
        <v>498</v>
      </c>
      <c r="G57" s="660">
        <v>251</v>
      </c>
      <c r="H57" s="507">
        <v>1047</v>
      </c>
      <c r="I57" s="101">
        <f>ROUND(E57*H57,2)</f>
        <v>0</v>
      </c>
      <c r="N57" s="849" t="s">
        <v>506</v>
      </c>
      <c r="O57" s="849"/>
      <c r="P57" s="851"/>
      <c r="Q57" s="851"/>
      <c r="R57" s="670" t="s">
        <v>498</v>
      </c>
      <c r="S57" s="670">
        <v>251</v>
      </c>
      <c r="T57" s="510">
        <f>H57</f>
        <v>1047</v>
      </c>
      <c r="U57" s="524">
        <f>ROUND(P57*T57,2)</f>
        <v>0</v>
      </c>
      <c r="V57" s="474"/>
    </row>
    <row r="58" spans="1:22" x14ac:dyDescent="0.3">
      <c r="A58" s="792"/>
      <c r="B58" s="792"/>
      <c r="C58" s="143">
        <v>0</v>
      </c>
      <c r="D58" s="143">
        <v>0</v>
      </c>
      <c r="E58" s="116">
        <f t="shared" si="10"/>
        <v>0</v>
      </c>
      <c r="F58" s="660" t="s">
        <v>498</v>
      </c>
      <c r="G58" s="660">
        <v>252</v>
      </c>
      <c r="H58" s="507">
        <v>3380</v>
      </c>
      <c r="I58" s="101">
        <f t="shared" ref="I58:I65" si="11">ROUND(E58*H58,2)</f>
        <v>0</v>
      </c>
      <c r="N58" s="850"/>
      <c r="O58" s="850"/>
      <c r="P58" s="844"/>
      <c r="Q58" s="844"/>
      <c r="R58" s="670" t="s">
        <v>498</v>
      </c>
      <c r="S58" s="670">
        <v>252</v>
      </c>
      <c r="T58" s="510">
        <f t="shared" ref="T58:T65" si="12">H58</f>
        <v>3380</v>
      </c>
      <c r="U58" s="524">
        <f t="shared" ref="U58:U65" si="13">ROUND(P58*T58,2)</f>
        <v>0</v>
      </c>
      <c r="V58" s="474"/>
    </row>
    <row r="59" spans="1:22" x14ac:dyDescent="0.3">
      <c r="A59" s="792"/>
      <c r="B59" s="792"/>
      <c r="C59" s="143">
        <v>0</v>
      </c>
      <c r="D59" s="143">
        <v>0</v>
      </c>
      <c r="E59" s="116">
        <f t="shared" si="10"/>
        <v>0</v>
      </c>
      <c r="F59" s="660" t="s">
        <v>498</v>
      </c>
      <c r="G59" s="660">
        <v>253</v>
      </c>
      <c r="H59" s="507">
        <v>6896</v>
      </c>
      <c r="I59" s="101">
        <f t="shared" si="11"/>
        <v>0</v>
      </c>
      <c r="N59" s="850"/>
      <c r="O59" s="850"/>
      <c r="P59" s="844"/>
      <c r="Q59" s="844"/>
      <c r="R59" s="670" t="s">
        <v>498</v>
      </c>
      <c r="S59" s="670">
        <v>253</v>
      </c>
      <c r="T59" s="510">
        <f t="shared" si="12"/>
        <v>6896</v>
      </c>
      <c r="U59" s="524">
        <f t="shared" si="13"/>
        <v>0</v>
      </c>
      <c r="V59" s="474"/>
    </row>
    <row r="60" spans="1:22" x14ac:dyDescent="0.3">
      <c r="A60" s="792"/>
      <c r="B60" s="792"/>
      <c r="C60" s="143">
        <v>5.0999999999999996</v>
      </c>
      <c r="D60" s="143">
        <v>7.08</v>
      </c>
      <c r="E60" s="116">
        <f>IF(D$66=0,C60*2,C60+D60)</f>
        <v>12.18</v>
      </c>
      <c r="F60" s="662" t="s">
        <v>13</v>
      </c>
      <c r="G60" s="660">
        <v>251</v>
      </c>
      <c r="H60" s="507">
        <v>1173</v>
      </c>
      <c r="I60" s="101">
        <f t="shared" si="11"/>
        <v>14287.14</v>
      </c>
      <c r="N60" s="850"/>
      <c r="O60" s="850"/>
      <c r="P60" s="844"/>
      <c r="Q60" s="844"/>
      <c r="R60" s="40" t="s">
        <v>13</v>
      </c>
      <c r="S60" s="670">
        <v>251</v>
      </c>
      <c r="T60" s="510">
        <f t="shared" si="12"/>
        <v>1173</v>
      </c>
      <c r="U60" s="524">
        <f t="shared" si="13"/>
        <v>0</v>
      </c>
      <c r="V60" s="474"/>
    </row>
    <row r="61" spans="1:22" x14ac:dyDescent="0.3">
      <c r="A61" s="792"/>
      <c r="B61" s="792"/>
      <c r="C61" s="143">
        <v>0</v>
      </c>
      <c r="D61" s="143">
        <v>0</v>
      </c>
      <c r="E61" s="116">
        <f t="shared" ref="E61:E65" si="14">IF(D$66=0,C61*2,C61+D61)</f>
        <v>0</v>
      </c>
      <c r="F61" s="662" t="s">
        <v>13</v>
      </c>
      <c r="G61" s="660">
        <v>252</v>
      </c>
      <c r="H61" s="507">
        <v>3506</v>
      </c>
      <c r="I61" s="101">
        <f t="shared" si="11"/>
        <v>0</v>
      </c>
      <c r="N61" s="850"/>
      <c r="O61" s="850"/>
      <c r="P61" s="844"/>
      <c r="Q61" s="844"/>
      <c r="R61" s="40" t="s">
        <v>13</v>
      </c>
      <c r="S61" s="670">
        <v>252</v>
      </c>
      <c r="T61" s="510">
        <f t="shared" si="12"/>
        <v>3506</v>
      </c>
      <c r="U61" s="524">
        <f t="shared" si="13"/>
        <v>0</v>
      </c>
      <c r="V61" s="474"/>
    </row>
    <row r="62" spans="1:22" x14ac:dyDescent="0.3">
      <c r="A62" s="792"/>
      <c r="B62" s="792"/>
      <c r="C62" s="143">
        <v>0</v>
      </c>
      <c r="D62" s="143">
        <v>0</v>
      </c>
      <c r="E62" s="116">
        <f t="shared" si="14"/>
        <v>0</v>
      </c>
      <c r="F62" s="662" t="s">
        <v>13</v>
      </c>
      <c r="G62" s="660">
        <v>253</v>
      </c>
      <c r="H62" s="507">
        <v>7023</v>
      </c>
      <c r="I62" s="101">
        <f t="shared" si="11"/>
        <v>0</v>
      </c>
      <c r="N62" s="850"/>
      <c r="O62" s="850"/>
      <c r="P62" s="844"/>
      <c r="Q62" s="844"/>
      <c r="R62" s="40" t="s">
        <v>13</v>
      </c>
      <c r="S62" s="670">
        <v>253</v>
      </c>
      <c r="T62" s="510">
        <f t="shared" si="12"/>
        <v>7023</v>
      </c>
      <c r="U62" s="524">
        <f t="shared" si="13"/>
        <v>0</v>
      </c>
      <c r="V62" s="474"/>
    </row>
    <row r="63" spans="1:22" x14ac:dyDescent="0.3">
      <c r="A63" s="792"/>
      <c r="B63" s="792"/>
      <c r="C63" s="143">
        <v>0</v>
      </c>
      <c r="D63" s="143">
        <v>0</v>
      </c>
      <c r="E63" s="116">
        <f t="shared" si="14"/>
        <v>0</v>
      </c>
      <c r="F63" s="662" t="s">
        <v>14</v>
      </c>
      <c r="G63" s="660">
        <v>251</v>
      </c>
      <c r="H63" s="507">
        <v>835</v>
      </c>
      <c r="I63" s="101">
        <f>ROUND(E63*H63,2)</f>
        <v>0</v>
      </c>
      <c r="N63" s="850"/>
      <c r="O63" s="850"/>
      <c r="P63" s="844"/>
      <c r="Q63" s="844"/>
      <c r="R63" s="40" t="s">
        <v>14</v>
      </c>
      <c r="S63" s="670">
        <v>251</v>
      </c>
      <c r="T63" s="510">
        <f t="shared" si="12"/>
        <v>835</v>
      </c>
      <c r="U63" s="524">
        <f t="shared" si="13"/>
        <v>0</v>
      </c>
      <c r="V63" s="474"/>
    </row>
    <row r="64" spans="1:22" x14ac:dyDescent="0.3">
      <c r="A64" s="792"/>
      <c r="B64" s="792"/>
      <c r="C64" s="143">
        <v>0</v>
      </c>
      <c r="D64" s="143">
        <v>0</v>
      </c>
      <c r="E64" s="116">
        <f t="shared" si="14"/>
        <v>0</v>
      </c>
      <c r="F64" s="662" t="s">
        <v>14</v>
      </c>
      <c r="G64" s="660">
        <v>252</v>
      </c>
      <c r="H64" s="507">
        <v>3168</v>
      </c>
      <c r="I64" s="101">
        <f t="shared" si="11"/>
        <v>0</v>
      </c>
      <c r="N64" s="850"/>
      <c r="O64" s="850"/>
      <c r="P64" s="844"/>
      <c r="Q64" s="844"/>
      <c r="R64" s="40" t="s">
        <v>14</v>
      </c>
      <c r="S64" s="670">
        <v>252</v>
      </c>
      <c r="T64" s="510">
        <f t="shared" si="12"/>
        <v>3168</v>
      </c>
      <c r="U64" s="524">
        <f t="shared" si="13"/>
        <v>0</v>
      </c>
      <c r="V64" s="474"/>
    </row>
    <row r="65" spans="1:22" ht="16.2" thickBot="1" x14ac:dyDescent="0.35">
      <c r="A65" s="792"/>
      <c r="B65" s="792"/>
      <c r="C65" s="143">
        <v>0</v>
      </c>
      <c r="D65" s="143">
        <v>0</v>
      </c>
      <c r="E65" s="116">
        <f t="shared" si="14"/>
        <v>0</v>
      </c>
      <c r="F65" s="662" t="s">
        <v>14</v>
      </c>
      <c r="G65" s="660">
        <v>253</v>
      </c>
      <c r="H65" s="507">
        <v>6685</v>
      </c>
      <c r="I65" s="101">
        <f t="shared" si="11"/>
        <v>0</v>
      </c>
      <c r="N65" s="850"/>
      <c r="O65" s="850"/>
      <c r="P65" s="845"/>
      <c r="Q65" s="845"/>
      <c r="R65" s="40" t="s">
        <v>14</v>
      </c>
      <c r="S65" s="670">
        <v>253</v>
      </c>
      <c r="T65" s="510">
        <f t="shared" si="12"/>
        <v>6685</v>
      </c>
      <c r="U65" s="525">
        <f t="shared" si="13"/>
        <v>0</v>
      </c>
      <c r="V65" s="474"/>
    </row>
    <row r="66" spans="1:22" ht="16.2" thickBot="1" x14ac:dyDescent="0.35">
      <c r="A66" s="241"/>
      <c r="C66" s="97">
        <f>SUM(C57:C65)</f>
        <v>5.0999999999999996</v>
      </c>
      <c r="D66" s="97">
        <f>SUM(D57:D65)</f>
        <v>7.08</v>
      </c>
      <c r="E66" s="97">
        <f>SUM(E57:E65)</f>
        <v>12.18</v>
      </c>
      <c r="F66" s="779" t="s">
        <v>507</v>
      </c>
      <c r="G66" s="779"/>
      <c r="H66" s="779"/>
      <c r="I66" s="97">
        <f>SUM(I57:I65)</f>
        <v>14287.14</v>
      </c>
      <c r="N66" s="511"/>
      <c r="O66" s="51"/>
      <c r="P66" s="846">
        <f>SUM(P57:P65)</f>
        <v>0</v>
      </c>
      <c r="Q66" s="846"/>
      <c r="R66" s="847" t="s">
        <v>507</v>
      </c>
      <c r="S66" s="847"/>
      <c r="T66" s="847"/>
      <c r="U66" s="526">
        <f>SUM(U57:U65)</f>
        <v>0</v>
      </c>
      <c r="V66" s="474"/>
    </row>
    <row r="67" spans="1:22" x14ac:dyDescent="0.3">
      <c r="A67" s="241"/>
      <c r="C67" s="101"/>
      <c r="D67" s="101"/>
      <c r="E67" s="101"/>
      <c r="F67" s="659"/>
      <c r="G67" s="659"/>
      <c r="H67" s="659"/>
      <c r="I67" s="101"/>
      <c r="N67" s="676"/>
      <c r="O67" s="676"/>
      <c r="P67" s="676"/>
      <c r="Q67" s="676"/>
      <c r="R67" s="676"/>
      <c r="S67" s="676"/>
      <c r="T67" s="680"/>
      <c r="U67" s="680"/>
    </row>
    <row r="68" spans="1:22" x14ac:dyDescent="0.3">
      <c r="A68" s="656" t="s">
        <v>509</v>
      </c>
      <c r="N68" s="681" t="s">
        <v>517</v>
      </c>
      <c r="O68" s="51"/>
      <c r="P68" s="51"/>
      <c r="Q68" s="51"/>
      <c r="R68" s="51"/>
      <c r="S68" s="51"/>
      <c r="T68" s="51"/>
      <c r="U68" s="51"/>
    </row>
    <row r="69" spans="1:22" x14ac:dyDescent="0.3">
      <c r="A69" s="775" t="s">
        <v>463</v>
      </c>
      <c r="B69" s="776"/>
      <c r="C69" s="112">
        <f>E30</f>
        <v>35.4</v>
      </c>
      <c r="D69" s="789" t="s">
        <v>474</v>
      </c>
      <c r="E69" s="789"/>
      <c r="F69" s="789"/>
      <c r="G69" s="789"/>
      <c r="H69" s="287">
        <v>210166.87</v>
      </c>
      <c r="I69" s="113"/>
      <c r="N69" s="817" t="s">
        <v>467</v>
      </c>
      <c r="O69" s="818"/>
      <c r="P69" s="41">
        <f>P30</f>
        <v>0</v>
      </c>
      <c r="Q69" s="842" t="s">
        <v>469</v>
      </c>
      <c r="R69" s="843"/>
      <c r="S69" s="843"/>
      <c r="T69" s="831">
        <f>H69</f>
        <v>210166.87</v>
      </c>
      <c r="U69" s="831"/>
    </row>
    <row r="70" spans="1:22" x14ac:dyDescent="0.3">
      <c r="B70" s="657"/>
      <c r="G70" s="42" t="s">
        <v>12</v>
      </c>
      <c r="H70" s="114">
        <f>ROUND(C69/H69,6)</f>
        <v>1.6799999999999999E-4</v>
      </c>
      <c r="I70" s="115"/>
      <c r="N70" s="818"/>
      <c r="O70" s="818"/>
      <c r="P70" s="818"/>
      <c r="Q70" s="818"/>
      <c r="R70" s="818"/>
      <c r="S70" s="818"/>
      <c r="T70" s="836">
        <f>ROUND(P69/T69,6)</f>
        <v>0</v>
      </c>
      <c r="U70" s="836"/>
    </row>
    <row r="71" spans="1:22" x14ac:dyDescent="0.3">
      <c r="A71" s="656" t="s">
        <v>510</v>
      </c>
      <c r="N71" s="681" t="s">
        <v>518</v>
      </c>
      <c r="O71" s="51"/>
      <c r="P71" s="51"/>
      <c r="Q71" s="51"/>
      <c r="R71" s="51"/>
      <c r="S71" s="51"/>
      <c r="T71" s="51"/>
      <c r="U71" s="51"/>
    </row>
    <row r="72" spans="1:22" x14ac:dyDescent="0.3">
      <c r="A72" s="775" t="s">
        <v>464</v>
      </c>
      <c r="B72" s="776"/>
      <c r="C72" s="112">
        <f>H30</f>
        <v>36.219799999999999</v>
      </c>
      <c r="D72" s="789" t="s">
        <v>475</v>
      </c>
      <c r="E72" s="789"/>
      <c r="F72" s="789"/>
      <c r="G72" s="789"/>
      <c r="H72" s="288">
        <v>237198.6</v>
      </c>
      <c r="I72" s="116"/>
      <c r="N72" s="817" t="s">
        <v>468</v>
      </c>
      <c r="O72" s="818"/>
      <c r="P72" s="41">
        <f>T30</f>
        <v>0</v>
      </c>
      <c r="Q72" s="842" t="s">
        <v>470</v>
      </c>
      <c r="R72" s="843"/>
      <c r="S72" s="843"/>
      <c r="T72" s="831">
        <f>H72</f>
        <v>237198.6</v>
      </c>
      <c r="U72" s="831"/>
    </row>
    <row r="73" spans="1:22" x14ac:dyDescent="0.3">
      <c r="G73" s="42" t="s">
        <v>12</v>
      </c>
      <c r="H73" s="114">
        <f>ROUND(C72/H72,6)</f>
        <v>1.5300000000000001E-4</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35.4</v>
      </c>
      <c r="D75" s="788" t="s">
        <v>476</v>
      </c>
      <c r="E75" s="788"/>
      <c r="F75" s="788"/>
      <c r="G75" s="788"/>
      <c r="H75" s="287">
        <v>185588.37</v>
      </c>
      <c r="I75" s="113"/>
      <c r="N75" s="817" t="s">
        <v>466</v>
      </c>
      <c r="O75" s="818"/>
      <c r="P75" s="41">
        <f>P30</f>
        <v>0</v>
      </c>
      <c r="Q75" s="838" t="s">
        <v>471</v>
      </c>
      <c r="R75" s="839"/>
      <c r="S75" s="839"/>
      <c r="T75" s="831">
        <f>H75</f>
        <v>185588.37</v>
      </c>
      <c r="U75" s="831"/>
    </row>
    <row r="76" spans="1:22" x14ac:dyDescent="0.3">
      <c r="B76" s="657"/>
      <c r="G76" s="42" t="s">
        <v>12</v>
      </c>
      <c r="H76" s="114">
        <f>ROUND(C75/H75,6)</f>
        <v>1.9100000000000001E-4</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35.4</v>
      </c>
      <c r="D78" s="784" t="s">
        <v>477</v>
      </c>
      <c r="E78" s="784"/>
      <c r="F78" s="784"/>
      <c r="G78" s="784"/>
      <c r="H78" s="287">
        <v>209834.86</v>
      </c>
      <c r="I78" s="113"/>
      <c r="N78" s="817" t="s">
        <v>466</v>
      </c>
      <c r="O78" s="818"/>
      <c r="P78" s="41">
        <f>P30</f>
        <v>0</v>
      </c>
      <c r="Q78" s="840" t="s">
        <v>472</v>
      </c>
      <c r="R78" s="841"/>
      <c r="S78" s="841"/>
      <c r="T78" s="831">
        <f>H78</f>
        <v>209834.86</v>
      </c>
      <c r="U78" s="831"/>
    </row>
    <row r="79" spans="1:22" x14ac:dyDescent="0.3">
      <c r="B79" s="657"/>
      <c r="G79" s="42" t="s">
        <v>12</v>
      </c>
      <c r="H79" s="114">
        <f>ROUND(C78/H78,6)</f>
        <v>1.6899999999999999E-4</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35.4</v>
      </c>
      <c r="D81" s="788" t="s">
        <v>478</v>
      </c>
      <c r="E81" s="788"/>
      <c r="F81" s="788"/>
      <c r="G81" s="788"/>
      <c r="H81" s="287">
        <v>185256.36</v>
      </c>
      <c r="I81" s="113"/>
      <c r="N81" s="817" t="s">
        <v>479</v>
      </c>
      <c r="O81" s="818"/>
      <c r="P81" s="41">
        <f>P30</f>
        <v>0</v>
      </c>
      <c r="Q81" s="838" t="s">
        <v>480</v>
      </c>
      <c r="R81" s="839"/>
      <c r="S81" s="839"/>
      <c r="T81" s="831">
        <f>H81</f>
        <v>185256.36</v>
      </c>
      <c r="U81" s="831"/>
    </row>
    <row r="82" spans="1:21" x14ac:dyDescent="0.3">
      <c r="B82" s="657"/>
      <c r="G82" s="42" t="s">
        <v>12</v>
      </c>
      <c r="H82" s="114">
        <f>ROUND(C81/H81,6)</f>
        <v>1.9100000000000001E-4</v>
      </c>
      <c r="I82" s="115"/>
      <c r="N82" s="818"/>
      <c r="O82" s="818"/>
      <c r="P82" s="818"/>
      <c r="Q82" s="818"/>
      <c r="R82" s="818"/>
      <c r="S82" s="818"/>
      <c r="T82" s="836">
        <f>ROUND(P81/T81,6)</f>
        <v>0</v>
      </c>
      <c r="U82" s="836"/>
    </row>
    <row r="83" spans="1:21" x14ac:dyDescent="0.3">
      <c r="A83" s="241"/>
      <c r="G83" s="42"/>
      <c r="H83" s="114"/>
      <c r="I83" s="114"/>
      <c r="N83" s="676"/>
      <c r="O83" s="676"/>
      <c r="P83" s="676"/>
      <c r="Q83" s="676"/>
      <c r="R83" s="676"/>
      <c r="S83" s="676"/>
      <c r="T83" s="680"/>
      <c r="U83" s="680"/>
    </row>
    <row r="84" spans="1:21" x14ac:dyDescent="0.3">
      <c r="A84" s="241"/>
      <c r="G84" s="42"/>
      <c r="H84" s="114"/>
      <c r="I84" s="114"/>
      <c r="N84" s="676"/>
      <c r="O84" s="676"/>
      <c r="P84" s="676"/>
      <c r="Q84" s="676"/>
      <c r="R84" s="676"/>
      <c r="S84" s="676"/>
      <c r="T84" s="680"/>
      <c r="U84" s="680"/>
    </row>
    <row r="85" spans="1:21" x14ac:dyDescent="0.3">
      <c r="A85" s="656" t="s">
        <v>514</v>
      </c>
      <c r="D85" s="657"/>
      <c r="E85" s="669" t="s">
        <v>316</v>
      </c>
      <c r="F85" s="289">
        <v>46151079</v>
      </c>
      <c r="G85" s="660" t="s">
        <v>6</v>
      </c>
      <c r="H85" s="472">
        <f>H79</f>
        <v>1.6899999999999999E-4</v>
      </c>
      <c r="I85" s="101">
        <f>ROUND(F85*H85,2)</f>
        <v>7799.53</v>
      </c>
      <c r="N85" s="681" t="s">
        <v>514</v>
      </c>
      <c r="O85" s="51"/>
      <c r="P85" s="51"/>
      <c r="Q85" s="44"/>
      <c r="R85" s="469">
        <f>F85</f>
        <v>46151079</v>
      </c>
      <c r="S85" s="670" t="s">
        <v>6</v>
      </c>
      <c r="T85" s="471">
        <f>T79</f>
        <v>0</v>
      </c>
      <c r="U85" s="523">
        <f>ROUND(R85*T85,2)</f>
        <v>0</v>
      </c>
    </row>
    <row r="86" spans="1:21" x14ac:dyDescent="0.3">
      <c r="A86" s="450"/>
      <c r="D86" s="657"/>
      <c r="E86" s="669"/>
      <c r="F86" s="275"/>
      <c r="G86" s="660"/>
      <c r="H86" s="472"/>
      <c r="I86" s="101"/>
      <c r="N86" s="51"/>
      <c r="O86" s="51"/>
      <c r="P86" s="51"/>
      <c r="Q86" s="44"/>
      <c r="R86" s="470"/>
      <c r="S86" s="670"/>
      <c r="T86" s="471"/>
      <c r="U86" s="527"/>
    </row>
    <row r="87" spans="1:21" x14ac:dyDescent="0.3">
      <c r="A87" s="790" t="s">
        <v>71</v>
      </c>
      <c r="B87" s="776"/>
      <c r="C87" s="776"/>
      <c r="D87" s="657"/>
      <c r="E87" s="669"/>
      <c r="F87" s="275"/>
      <c r="G87" s="660"/>
      <c r="H87" s="472"/>
      <c r="I87" s="101"/>
      <c r="N87" s="817" t="s">
        <v>522</v>
      </c>
      <c r="O87" s="818"/>
      <c r="P87" s="818"/>
      <c r="Q87" s="51"/>
      <c r="R87" s="470"/>
      <c r="S87" s="51"/>
      <c r="T87" s="670"/>
      <c r="U87" s="528"/>
    </row>
    <row r="88" spans="1:21" x14ac:dyDescent="0.3">
      <c r="A88" s="790" t="s">
        <v>99</v>
      </c>
      <c r="B88" s="776"/>
      <c r="C88" s="776"/>
      <c r="D88" s="657"/>
      <c r="E88" s="669" t="s">
        <v>3</v>
      </c>
      <c r="F88" s="289">
        <v>0</v>
      </c>
      <c r="G88" s="660" t="s">
        <v>6</v>
      </c>
      <c r="H88" s="472">
        <f>H70</f>
        <v>1.6799999999999999E-4</v>
      </c>
      <c r="I88" s="101">
        <f>ROUND(F88*H88,2)</f>
        <v>0</v>
      </c>
      <c r="N88" s="837" t="s">
        <v>99</v>
      </c>
      <c r="O88" s="818"/>
      <c r="P88" s="818"/>
      <c r="Q88" s="44"/>
      <c r="R88" s="469">
        <f>F88</f>
        <v>0</v>
      </c>
      <c r="S88" s="670" t="s">
        <v>6</v>
      </c>
      <c r="T88" s="471">
        <f>T70</f>
        <v>0</v>
      </c>
      <c r="U88" s="523">
        <f>ROUND(R88*T88,2)</f>
        <v>0</v>
      </c>
    </row>
    <row r="89" spans="1:21" x14ac:dyDescent="0.3">
      <c r="A89" s="663"/>
      <c r="B89" s="657"/>
      <c r="C89" s="657"/>
      <c r="D89" s="657"/>
      <c r="E89" s="669"/>
      <c r="F89" s="275"/>
      <c r="G89" s="660"/>
      <c r="H89" s="472"/>
      <c r="I89" s="101"/>
      <c r="N89" s="682"/>
      <c r="O89" s="676"/>
      <c r="P89" s="676"/>
      <c r="Q89" s="44"/>
      <c r="R89" s="469"/>
      <c r="S89" s="670"/>
      <c r="T89" s="471"/>
      <c r="U89" s="523"/>
    </row>
    <row r="90" spans="1:21" x14ac:dyDescent="0.3">
      <c r="A90" s="656" t="s">
        <v>515</v>
      </c>
      <c r="D90" s="657"/>
      <c r="E90" s="669" t="s">
        <v>481</v>
      </c>
      <c r="F90" s="289">
        <v>19094340</v>
      </c>
      <c r="G90" s="660" t="s">
        <v>6</v>
      </c>
      <c r="H90" s="472">
        <f>H82</f>
        <v>1.9100000000000001E-4</v>
      </c>
      <c r="I90" s="101">
        <f>ROUND(F90*H90,2)</f>
        <v>3647.02</v>
      </c>
      <c r="N90" s="681" t="s">
        <v>515</v>
      </c>
      <c r="O90" s="51"/>
      <c r="P90" s="51"/>
      <c r="Q90" s="44"/>
      <c r="R90" s="469">
        <f>F90</f>
        <v>19094340</v>
      </c>
      <c r="S90" s="670" t="s">
        <v>6</v>
      </c>
      <c r="T90" s="471">
        <f>T82</f>
        <v>0</v>
      </c>
      <c r="U90" s="523">
        <f>ROUND(R90*T90,2)</f>
        <v>0</v>
      </c>
    </row>
    <row r="91" spans="1:21" x14ac:dyDescent="0.3">
      <c r="A91" s="450"/>
      <c r="D91" s="657"/>
      <c r="E91" s="669"/>
      <c r="F91" s="275"/>
      <c r="G91" s="660"/>
      <c r="H91" s="472"/>
      <c r="I91" s="101"/>
      <c r="N91" s="458"/>
      <c r="O91" s="51"/>
      <c r="P91" s="51"/>
      <c r="Q91" s="44"/>
      <c r="R91" s="469"/>
      <c r="S91" s="670"/>
      <c r="T91" s="471"/>
      <c r="U91" s="523"/>
    </row>
    <row r="92" spans="1:21" x14ac:dyDescent="0.3">
      <c r="A92" s="656" t="s">
        <v>516</v>
      </c>
      <c r="D92" s="657"/>
      <c r="E92" s="669" t="s">
        <v>3</v>
      </c>
      <c r="F92" s="289">
        <v>11461928</v>
      </c>
      <c r="G92" s="660" t="s">
        <v>6</v>
      </c>
      <c r="H92" s="472">
        <f>H76</f>
        <v>1.9100000000000001E-4</v>
      </c>
      <c r="I92" s="101">
        <f t="shared" ref="I92:I98" si="15">ROUND(F92*H92,2)</f>
        <v>2189.23</v>
      </c>
      <c r="N92" s="681" t="s">
        <v>516</v>
      </c>
      <c r="O92" s="51"/>
      <c r="P92" s="51"/>
      <c r="Q92" s="44"/>
      <c r="R92" s="469">
        <f t="shared" ref="R92:R96" si="16">F92</f>
        <v>11461928</v>
      </c>
      <c r="S92" s="670" t="s">
        <v>6</v>
      </c>
      <c r="T92" s="471">
        <f>T76</f>
        <v>0</v>
      </c>
      <c r="U92" s="523">
        <f>ROUND(R92*T92,2)</f>
        <v>0</v>
      </c>
    </row>
    <row r="93" spans="1:21" x14ac:dyDescent="0.3">
      <c r="A93" s="656"/>
      <c r="D93" s="657"/>
      <c r="E93" s="669"/>
      <c r="F93" s="275"/>
      <c r="G93" s="660"/>
      <c r="H93" s="472"/>
      <c r="I93" s="101"/>
      <c r="N93" s="681"/>
      <c r="O93" s="51"/>
      <c r="P93" s="51"/>
      <c r="Q93" s="44"/>
      <c r="R93" s="470"/>
      <c r="S93" s="670"/>
      <c r="T93" s="471"/>
      <c r="U93" s="527"/>
    </row>
    <row r="94" spans="1:21" x14ac:dyDescent="0.3">
      <c r="A94" s="775" t="s">
        <v>482</v>
      </c>
      <c r="B94" s="776"/>
      <c r="C94" s="776"/>
      <c r="D94" s="657"/>
      <c r="E94" s="669" t="s">
        <v>4</v>
      </c>
      <c r="F94" s="289">
        <v>255756816</v>
      </c>
      <c r="G94" s="660" t="s">
        <v>6</v>
      </c>
      <c r="H94" s="472">
        <f>H73</f>
        <v>1.5300000000000001E-4</v>
      </c>
      <c r="I94" s="101">
        <f t="shared" si="15"/>
        <v>39130.79</v>
      </c>
      <c r="N94" s="818" t="s">
        <v>482</v>
      </c>
      <c r="O94" s="818"/>
      <c r="P94" s="818"/>
      <c r="Q94" s="44"/>
      <c r="R94" s="469">
        <f t="shared" si="16"/>
        <v>255756816</v>
      </c>
      <c r="S94" s="670" t="s">
        <v>6</v>
      </c>
      <c r="T94" s="471">
        <f>T73</f>
        <v>0</v>
      </c>
      <c r="U94" s="523">
        <f>ROUND(R94*T94,2)</f>
        <v>0</v>
      </c>
    </row>
    <row r="95" spans="1:21" x14ac:dyDescent="0.3">
      <c r="A95" s="656"/>
      <c r="B95" s="657"/>
      <c r="C95" s="657"/>
      <c r="D95" s="657"/>
      <c r="E95" s="669"/>
      <c r="F95" s="275"/>
      <c r="G95" s="660"/>
      <c r="H95" s="472"/>
      <c r="I95" s="101"/>
      <c r="N95" s="676"/>
      <c r="O95" s="676"/>
      <c r="P95" s="676"/>
      <c r="Q95" s="44"/>
      <c r="R95" s="469"/>
      <c r="S95" s="670"/>
      <c r="T95" s="471"/>
      <c r="U95" s="523"/>
    </row>
    <row r="96" spans="1:21" x14ac:dyDescent="0.3">
      <c r="A96" s="775" t="s">
        <v>483</v>
      </c>
      <c r="B96" s="776"/>
      <c r="C96" s="776"/>
      <c r="D96" s="657"/>
      <c r="E96" s="669" t="s">
        <v>4</v>
      </c>
      <c r="F96" s="289">
        <v>-16705366</v>
      </c>
      <c r="G96" s="660" t="s">
        <v>6</v>
      </c>
      <c r="H96" s="472">
        <f>H73</f>
        <v>1.5300000000000001E-4</v>
      </c>
      <c r="I96" s="101">
        <f t="shared" si="15"/>
        <v>-2555.92</v>
      </c>
      <c r="N96" s="817" t="s">
        <v>483</v>
      </c>
      <c r="O96" s="817"/>
      <c r="P96" s="817"/>
      <c r="Q96" s="44"/>
      <c r="R96" s="469">
        <f t="shared" si="16"/>
        <v>-16705366</v>
      </c>
      <c r="S96" s="670" t="s">
        <v>6</v>
      </c>
      <c r="T96" s="471">
        <f>T73</f>
        <v>0</v>
      </c>
      <c r="U96" s="523">
        <f>ROUND(R96*T96,2)</f>
        <v>0</v>
      </c>
    </row>
    <row r="97" spans="1:21" x14ac:dyDescent="0.3">
      <c r="A97" s="656"/>
      <c r="B97" s="657"/>
      <c r="C97" s="657"/>
      <c r="D97" s="657"/>
      <c r="E97" s="669"/>
      <c r="F97" s="275"/>
      <c r="G97" s="660"/>
      <c r="H97" s="472"/>
      <c r="I97" s="101"/>
      <c r="N97" s="681"/>
      <c r="O97" s="681"/>
      <c r="P97" s="681"/>
      <c r="Q97" s="44"/>
      <c r="R97" s="587"/>
      <c r="S97" s="670"/>
      <c r="T97" s="471"/>
      <c r="U97" s="527"/>
    </row>
    <row r="98" spans="1:21" x14ac:dyDescent="0.3">
      <c r="A98" s="740" t="s">
        <v>556</v>
      </c>
      <c r="B98" s="657"/>
      <c r="C98" s="657"/>
      <c r="D98" s="657"/>
      <c r="E98" s="669" t="s">
        <v>3</v>
      </c>
      <c r="F98" s="289">
        <v>203862</v>
      </c>
      <c r="G98" s="660" t="s">
        <v>6</v>
      </c>
      <c r="H98" s="472">
        <f>H70</f>
        <v>1.6799999999999999E-4</v>
      </c>
      <c r="I98" s="101">
        <f t="shared" si="15"/>
        <v>34.25</v>
      </c>
      <c r="N98" s="681" t="s">
        <v>556</v>
      </c>
      <c r="O98" s="681"/>
      <c r="P98" s="681"/>
      <c r="Q98" s="44"/>
      <c r="R98" s="588">
        <f>F98</f>
        <v>203862</v>
      </c>
      <c r="S98" s="670" t="s">
        <v>6</v>
      </c>
      <c r="T98" s="471">
        <f>T70</f>
        <v>0</v>
      </c>
      <c r="U98" s="523">
        <f>ROUND(R98*T98,2)</f>
        <v>0</v>
      </c>
    </row>
    <row r="99" spans="1:21" x14ac:dyDescent="0.3">
      <c r="A99" s="656"/>
      <c r="B99" s="657"/>
      <c r="C99" s="657"/>
      <c r="D99" s="657"/>
      <c r="E99" s="669"/>
      <c r="F99" s="275"/>
      <c r="G99" s="660"/>
      <c r="H99" s="472"/>
      <c r="I99" s="101"/>
      <c r="N99" s="681"/>
      <c r="O99" s="681"/>
      <c r="P99" s="681"/>
      <c r="Q99" s="44"/>
      <c r="R99" s="587"/>
      <c r="S99" s="670"/>
      <c r="T99" s="471"/>
      <c r="U99" s="527"/>
    </row>
    <row r="100" spans="1:21" x14ac:dyDescent="0.3">
      <c r="A100" s="656"/>
      <c r="B100" s="657"/>
      <c r="C100" s="657"/>
      <c r="D100" s="657"/>
      <c r="E100" s="669"/>
      <c r="F100" s="275"/>
      <c r="G100" s="660"/>
      <c r="H100" s="472"/>
      <c r="I100" s="101"/>
      <c r="N100" s="681"/>
      <c r="O100" s="681"/>
      <c r="P100" s="681"/>
      <c r="Q100" s="44"/>
      <c r="R100" s="470"/>
      <c r="S100" s="670"/>
      <c r="T100" s="471"/>
      <c r="U100" s="103"/>
    </row>
    <row r="101" spans="1:21" ht="15" customHeight="1" x14ac:dyDescent="0.3">
      <c r="A101" s="450" t="s">
        <v>557</v>
      </c>
      <c r="N101" s="458" t="s">
        <v>557</v>
      </c>
      <c r="O101" s="51"/>
      <c r="P101" s="51"/>
      <c r="Q101" s="51"/>
      <c r="R101" s="51"/>
      <c r="S101" s="51"/>
      <c r="T101" s="51"/>
      <c r="U101" s="51"/>
    </row>
    <row r="102" spans="1:21" x14ac:dyDescent="0.3">
      <c r="B102" s="657"/>
      <c r="C102" s="785" t="s">
        <v>60</v>
      </c>
      <c r="D102" s="785"/>
      <c r="E102" s="657"/>
      <c r="F102" s="662" t="s">
        <v>28</v>
      </c>
      <c r="G102" s="657"/>
      <c r="H102" s="657"/>
      <c r="I102" s="657"/>
      <c r="N102" s="676"/>
      <c r="O102" s="676"/>
      <c r="P102" s="676"/>
      <c r="Q102" s="676"/>
      <c r="R102" s="676"/>
      <c r="S102" s="676"/>
      <c r="T102" s="676"/>
      <c r="U102" s="676"/>
    </row>
    <row r="103" spans="1:21" x14ac:dyDescent="0.3">
      <c r="A103" s="3"/>
      <c r="B103" s="118"/>
      <c r="C103" s="786" t="s">
        <v>101</v>
      </c>
      <c r="D103" s="786"/>
      <c r="E103" s="119" t="s">
        <v>485</v>
      </c>
      <c r="F103" s="120" t="s">
        <v>106</v>
      </c>
      <c r="G103" s="665"/>
      <c r="H103" s="665"/>
      <c r="I103" s="665"/>
      <c r="N103" s="833" t="s">
        <v>35</v>
      </c>
      <c r="O103" s="833"/>
      <c r="P103" s="834" t="s">
        <v>487</v>
      </c>
      <c r="Q103" s="835"/>
      <c r="R103" s="831" t="s">
        <v>31</v>
      </c>
      <c r="S103" s="831"/>
      <c r="T103" s="831"/>
      <c r="U103" s="831"/>
    </row>
    <row r="104" spans="1:21" x14ac:dyDescent="0.3">
      <c r="A104" s="659"/>
      <c r="B104" s="52" t="s">
        <v>105</v>
      </c>
      <c r="C104" s="774">
        <f>H14+H15+H20+H23+H26</f>
        <v>0</v>
      </c>
      <c r="D104" s="774"/>
      <c r="E104" s="46">
        <f>H8</f>
        <v>1.0407999999999999</v>
      </c>
      <c r="F104" s="290">
        <v>950.92</v>
      </c>
      <c r="G104" s="662" t="s">
        <v>12</v>
      </c>
      <c r="H104" s="101">
        <f>ROUND(C104*E104*F104,2)</f>
        <v>0</v>
      </c>
      <c r="I104" s="104"/>
      <c r="N104" s="686"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36.219799999999999</v>
      </c>
      <c r="D105" s="774"/>
      <c r="E105" s="46">
        <f>H8</f>
        <v>1.0407999999999999</v>
      </c>
      <c r="F105" s="290">
        <v>907.92</v>
      </c>
      <c r="G105" s="662" t="s">
        <v>12</v>
      </c>
      <c r="H105" s="101">
        <f>ROUND(C105*E105*F105,2)</f>
        <v>34226.379999999997</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290">
        <v>910.12</v>
      </c>
      <c r="G106" s="662"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36.219799999999999</v>
      </c>
      <c r="D107" s="787"/>
      <c r="E107" s="123"/>
      <c r="F107" s="123"/>
      <c r="G107" s="123"/>
      <c r="H107" s="124" t="s">
        <v>100</v>
      </c>
      <c r="I107" s="101">
        <f>IF(A1=75,0,H106+H105+H104)</f>
        <v>34226.379999999997</v>
      </c>
      <c r="N107" s="687"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668"/>
      <c r="B109" s="668"/>
      <c r="C109" s="668"/>
      <c r="D109" s="668"/>
      <c r="E109" s="668"/>
      <c r="F109" s="668"/>
      <c r="G109" s="668"/>
      <c r="H109" s="668"/>
      <c r="I109" s="668"/>
      <c r="N109" s="688"/>
      <c r="O109" s="688"/>
      <c r="P109" s="688"/>
      <c r="Q109" s="688"/>
      <c r="R109" s="688"/>
      <c r="S109" s="688"/>
      <c r="T109" s="688"/>
      <c r="U109" s="688"/>
    </row>
    <row r="110" spans="1:21" x14ac:dyDescent="0.3">
      <c r="A110" s="656" t="s">
        <v>558</v>
      </c>
      <c r="C110" s="669"/>
      <c r="D110" s="657"/>
      <c r="E110" s="669" t="s">
        <v>32</v>
      </c>
      <c r="F110" s="813"/>
      <c r="G110" s="813"/>
      <c r="H110" s="813"/>
      <c r="I110" s="813"/>
      <c r="N110" s="817" t="s">
        <v>558</v>
      </c>
      <c r="O110" s="818"/>
      <c r="P110" s="818"/>
      <c r="Q110" s="830"/>
      <c r="R110" s="830"/>
      <c r="S110" s="830"/>
      <c r="T110" s="830"/>
      <c r="U110" s="103"/>
    </row>
    <row r="111" spans="1:21" x14ac:dyDescent="0.3">
      <c r="B111" s="657"/>
      <c r="C111" s="88" t="s">
        <v>581</v>
      </c>
      <c r="D111" s="348" t="s">
        <v>582</v>
      </c>
      <c r="E111" s="89" t="s">
        <v>107</v>
      </c>
      <c r="F111" s="669"/>
      <c r="G111" s="669"/>
      <c r="H111" s="669"/>
      <c r="I111" s="669"/>
      <c r="N111" s="676"/>
      <c r="O111" s="676"/>
      <c r="P111" s="676"/>
      <c r="Q111" s="689"/>
      <c r="R111" s="689"/>
      <c r="S111" s="689"/>
      <c r="T111" s="689"/>
      <c r="U111" s="103"/>
    </row>
    <row r="112" spans="1:21" x14ac:dyDescent="0.3">
      <c r="B112" s="657"/>
      <c r="C112" s="339" t="s">
        <v>2</v>
      </c>
      <c r="D112" s="339" t="s">
        <v>2</v>
      </c>
      <c r="E112" s="90" t="s">
        <v>2</v>
      </c>
      <c r="F112" s="669"/>
      <c r="G112" s="669"/>
      <c r="H112" s="669"/>
      <c r="I112" s="669"/>
      <c r="N112" s="676"/>
      <c r="O112" s="676"/>
      <c r="P112" s="676"/>
      <c r="Q112" s="689"/>
      <c r="R112" s="689"/>
      <c r="S112" s="689"/>
      <c r="T112" s="689"/>
      <c r="U112" s="103"/>
    </row>
    <row r="113" spans="1:21" x14ac:dyDescent="0.3">
      <c r="A113" s="788" t="s">
        <v>443</v>
      </c>
      <c r="B113" s="809"/>
      <c r="C113" s="143">
        <v>7</v>
      </c>
      <c r="D113" s="143">
        <v>7</v>
      </c>
      <c r="E113" s="116">
        <f>C113</f>
        <v>7</v>
      </c>
      <c r="F113" s="126" t="s">
        <v>30</v>
      </c>
      <c r="G113" s="291">
        <v>584</v>
      </c>
      <c r="I113" s="101">
        <f>ROUND(G113*E113,2)</f>
        <v>4088</v>
      </c>
      <c r="N113" s="826" t="s">
        <v>52</v>
      </c>
      <c r="O113" s="826"/>
      <c r="P113" s="825">
        <f>IF(H133=1,E113,0)</f>
        <v>0</v>
      </c>
      <c r="Q113" s="825"/>
      <c r="R113" s="825"/>
      <c r="S113" s="671" t="s">
        <v>30</v>
      </c>
      <c r="T113" s="58">
        <f>G113</f>
        <v>584</v>
      </c>
      <c r="U113" s="523">
        <f>ROUND(T113*P113,2)</f>
        <v>0</v>
      </c>
    </row>
    <row r="114" spans="1:21" x14ac:dyDescent="0.3">
      <c r="A114" s="788" t="s">
        <v>444</v>
      </c>
      <c r="B114" s="809"/>
      <c r="C114" s="143">
        <v>0</v>
      </c>
      <c r="D114" s="143">
        <v>0</v>
      </c>
      <c r="E114" s="116">
        <f>(C114+D114)/2</f>
        <v>0</v>
      </c>
      <c r="F114" s="126" t="s">
        <v>30</v>
      </c>
      <c r="G114" s="291">
        <v>1838</v>
      </c>
      <c r="I114" s="101">
        <f>ROUND(G114*E114,2)</f>
        <v>0</v>
      </c>
      <c r="N114" s="826" t="s">
        <v>64</v>
      </c>
      <c r="O114" s="826"/>
      <c r="P114" s="820"/>
      <c r="Q114" s="820"/>
      <c r="R114" s="820"/>
      <c r="S114" s="671" t="s">
        <v>30</v>
      </c>
      <c r="T114" s="58">
        <f>G114</f>
        <v>1838</v>
      </c>
      <c r="U114" s="523">
        <f>ROUND(T114*P114,2)</f>
        <v>0</v>
      </c>
    </row>
    <row r="115" spans="1:21" x14ac:dyDescent="0.3">
      <c r="A115" s="127"/>
      <c r="B115" s="127"/>
      <c r="C115" s="65"/>
      <c r="D115" s="65"/>
      <c r="E115" s="65"/>
      <c r="F115" s="65"/>
      <c r="G115" s="673"/>
      <c r="H115" s="129"/>
      <c r="I115" s="101"/>
      <c r="N115" s="685"/>
      <c r="O115" s="685"/>
      <c r="P115" s="131"/>
      <c r="Q115" s="131"/>
      <c r="R115" s="131"/>
      <c r="S115" s="671"/>
      <c r="T115" s="58"/>
      <c r="U115" s="103"/>
    </row>
    <row r="116" spans="1:21" x14ac:dyDescent="0.3">
      <c r="A116" s="127"/>
      <c r="B116" s="127"/>
      <c r="C116" s="65"/>
      <c r="D116" s="65"/>
      <c r="E116" s="65"/>
      <c r="F116" s="65"/>
      <c r="G116" s="673"/>
      <c r="H116" s="129"/>
      <c r="I116" s="101"/>
      <c r="N116" s="685"/>
      <c r="O116" s="685"/>
      <c r="P116" s="131"/>
      <c r="Q116" s="131"/>
      <c r="R116" s="131"/>
      <c r="S116" s="671"/>
      <c r="T116" s="58"/>
      <c r="U116" s="103"/>
    </row>
    <row r="117" spans="1:21" hidden="1" x14ac:dyDescent="0.3">
      <c r="A117" s="775" t="s">
        <v>559</v>
      </c>
      <c r="B117" s="776"/>
      <c r="C117" s="776"/>
      <c r="D117" s="657"/>
      <c r="E117" s="662" t="s">
        <v>317</v>
      </c>
      <c r="F117" s="785"/>
      <c r="G117" s="785"/>
      <c r="H117" s="785"/>
      <c r="I117" s="785"/>
      <c r="N117" s="817" t="s">
        <v>560</v>
      </c>
      <c r="O117" s="818"/>
      <c r="P117" s="818"/>
      <c r="Q117" s="818"/>
      <c r="R117" s="818"/>
      <c r="S117" s="818"/>
      <c r="T117" s="818"/>
      <c r="U117" s="818"/>
    </row>
    <row r="118" spans="1:21" hidden="1" x14ac:dyDescent="0.3">
      <c r="B118" s="657"/>
      <c r="C118" s="786" t="s">
        <v>66</v>
      </c>
      <c r="D118" s="786"/>
      <c r="E118" s="786"/>
      <c r="F118" s="660"/>
      <c r="G118" s="660"/>
      <c r="H118" s="662" t="s">
        <v>108</v>
      </c>
      <c r="I118" s="660"/>
      <c r="N118" s="676"/>
      <c r="O118" s="676"/>
      <c r="P118" s="676"/>
      <c r="Q118" s="676"/>
      <c r="R118" s="676"/>
      <c r="S118" s="676"/>
      <c r="T118" s="676"/>
      <c r="U118" s="676"/>
    </row>
    <row r="119" spans="1:21" hidden="1" x14ac:dyDescent="0.3">
      <c r="B119" s="657"/>
      <c r="C119" s="88" t="s">
        <v>341</v>
      </c>
      <c r="D119" s="88" t="s">
        <v>314</v>
      </c>
      <c r="E119" s="137" t="s">
        <v>8</v>
      </c>
      <c r="F119" s="789" t="s">
        <v>109</v>
      </c>
      <c r="G119" s="785"/>
      <c r="H119" s="660" t="s">
        <v>29</v>
      </c>
      <c r="I119" s="660"/>
      <c r="N119" s="676"/>
      <c r="O119" s="676"/>
      <c r="P119" s="676"/>
      <c r="Q119" s="676"/>
      <c r="R119" s="676"/>
      <c r="S119" s="676"/>
      <c r="T119" s="676"/>
      <c r="U119" s="676"/>
    </row>
    <row r="120" spans="1:21" hidden="1" x14ac:dyDescent="0.3">
      <c r="A120" s="786" t="s">
        <v>69</v>
      </c>
      <c r="B120" s="786"/>
      <c r="C120" s="90" t="s">
        <v>2</v>
      </c>
      <c r="D120" s="90" t="s">
        <v>2</v>
      </c>
      <c r="E120" s="661" t="s">
        <v>2</v>
      </c>
      <c r="F120" s="786" t="s">
        <v>28</v>
      </c>
      <c r="G120" s="786"/>
      <c r="H120" s="661" t="s">
        <v>28</v>
      </c>
      <c r="I120" s="661" t="s">
        <v>8</v>
      </c>
      <c r="N120" s="821" t="s">
        <v>53</v>
      </c>
      <c r="O120" s="821"/>
      <c r="P120" s="825" t="s">
        <v>66</v>
      </c>
      <c r="Q120" s="825"/>
      <c r="R120" s="821" t="s">
        <v>54</v>
      </c>
      <c r="S120" s="821"/>
      <c r="T120" s="684" t="s">
        <v>55</v>
      </c>
      <c r="U120" s="684"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idden="1" x14ac:dyDescent="0.3">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x14ac:dyDescent="0.3">
      <c r="A125" s="660"/>
      <c r="B125" s="660"/>
      <c r="C125" s="65"/>
      <c r="D125" s="65"/>
      <c r="E125" s="65"/>
      <c r="F125" s="65"/>
      <c r="G125" s="65"/>
      <c r="H125" s="65"/>
      <c r="I125" s="101"/>
      <c r="N125" s="670"/>
      <c r="O125" s="670"/>
      <c r="P125" s="66"/>
      <c r="Q125" s="66"/>
      <c r="R125" s="66"/>
      <c r="S125" s="66"/>
      <c r="T125" s="66"/>
      <c r="U125" s="138"/>
    </row>
    <row r="126" spans="1:21" x14ac:dyDescent="0.3">
      <c r="A126" s="775" t="s">
        <v>492</v>
      </c>
      <c r="B126" s="776"/>
      <c r="C126" s="776"/>
      <c r="D126" s="657"/>
      <c r="E126" s="658" t="s">
        <v>34</v>
      </c>
      <c r="F126" s="778"/>
      <c r="G126" s="778"/>
      <c r="H126" s="778"/>
      <c r="I126" s="154">
        <v>0</v>
      </c>
      <c r="N126" s="817" t="s">
        <v>492</v>
      </c>
      <c r="O126" s="818"/>
      <c r="P126" s="818"/>
      <c r="Q126" s="305"/>
      <c r="R126" s="305"/>
      <c r="S126" s="305"/>
      <c r="T126" s="305"/>
      <c r="U126" s="523">
        <f>IF($H$133=1,I126,0)</f>
        <v>0</v>
      </c>
    </row>
    <row r="127" spans="1:21" x14ac:dyDescent="0.3">
      <c r="B127" s="657"/>
      <c r="C127" s="657"/>
      <c r="D127" s="657"/>
      <c r="E127" s="658"/>
      <c r="F127" s="658"/>
      <c r="G127" s="658"/>
      <c r="H127" s="658"/>
      <c r="I127" s="116"/>
      <c r="N127" s="681"/>
      <c r="O127" s="676"/>
      <c r="P127" s="676"/>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303811.39</v>
      </c>
      <c r="J128" s="250"/>
      <c r="N128" s="681"/>
      <c r="O128" s="676"/>
      <c r="P128" s="676"/>
      <c r="Q128" s="305"/>
      <c r="R128" s="305"/>
      <c r="S128" s="305"/>
      <c r="T128" s="305"/>
      <c r="U128" s="530">
        <f>SUM(U30,U85,U88,U90,U92,U94,U96,U107,U113,U114,U124,U126)</f>
        <v>0</v>
      </c>
    </row>
    <row r="129" spans="1:21" ht="16.2" thickTop="1" x14ac:dyDescent="0.3">
      <c r="A129" s="659"/>
      <c r="B129" s="659"/>
      <c r="C129" s="659"/>
      <c r="D129" s="659"/>
      <c r="E129" s="659"/>
      <c r="F129" s="659"/>
      <c r="G129" s="659"/>
      <c r="H129" s="659"/>
      <c r="I129" s="101"/>
      <c r="J129" s="250"/>
      <c r="N129" s="681"/>
      <c r="O129" s="676"/>
      <c r="P129" s="676"/>
      <c r="Q129" s="305"/>
      <c r="R129" s="305"/>
      <c r="S129" s="305"/>
      <c r="T129" s="305"/>
      <c r="U129" s="103"/>
    </row>
    <row r="130" spans="1:21" ht="16.2" thickBot="1" x14ac:dyDescent="0.35">
      <c r="A130" s="656" t="s">
        <v>494</v>
      </c>
      <c r="B130" s="659"/>
      <c r="C130" s="659"/>
      <c r="D130" s="659"/>
      <c r="E130" s="659"/>
      <c r="F130" s="659"/>
      <c r="G130" s="659"/>
      <c r="H130" s="659"/>
      <c r="I130" s="101">
        <f>I128-I53</f>
        <v>290153.60000000003</v>
      </c>
      <c r="J130" s="250"/>
      <c r="N130" s="818" t="s">
        <v>494</v>
      </c>
      <c r="O130" s="818"/>
      <c r="P130" s="818"/>
      <c r="Q130" s="818"/>
      <c r="R130" s="818"/>
      <c r="S130" s="818"/>
      <c r="T130" s="818"/>
      <c r="U130" s="132">
        <f>U128-U53</f>
        <v>0</v>
      </c>
    </row>
    <row r="131" spans="1:21" ht="16.2" thickTop="1" x14ac:dyDescent="0.3">
      <c r="A131" s="659"/>
      <c r="B131" s="659"/>
      <c r="C131" s="659"/>
      <c r="D131" s="659"/>
      <c r="E131" s="659"/>
      <c r="F131" s="659"/>
      <c r="G131" s="659"/>
      <c r="H131" s="659"/>
      <c r="I131" s="101"/>
      <c r="J131" s="250"/>
      <c r="N131" s="686"/>
      <c r="O131" s="686"/>
      <c r="P131" s="686"/>
      <c r="Q131" s="686"/>
      <c r="R131" s="686"/>
      <c r="S131" s="686"/>
      <c r="T131" s="686"/>
      <c r="U131" s="138"/>
    </row>
    <row r="132" spans="1:21" x14ac:dyDescent="0.3">
      <c r="A132" s="775" t="s">
        <v>561</v>
      </c>
      <c r="B132" s="776"/>
      <c r="C132" s="776"/>
      <c r="D132" s="776"/>
      <c r="E132" s="776"/>
      <c r="F132" s="776"/>
      <c r="G132" s="776"/>
      <c r="H132" s="656" t="s">
        <v>375</v>
      </c>
      <c r="I132" s="134"/>
      <c r="J132" s="250"/>
      <c r="N132" s="817" t="s">
        <v>562</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686"/>
      <c r="O133" s="686"/>
      <c r="P133" s="686"/>
      <c r="Q133" s="686"/>
      <c r="R133" s="686"/>
      <c r="S133" s="686"/>
      <c r="T133" s="686"/>
      <c r="U133" s="138"/>
    </row>
    <row r="134" spans="1:21" x14ac:dyDescent="0.3">
      <c r="B134" s="657"/>
      <c r="C134" s="657"/>
      <c r="D134" s="657"/>
      <c r="E134" s="657"/>
      <c r="F134" s="657"/>
      <c r="G134" s="657"/>
      <c r="H134" s="65"/>
      <c r="I134" s="101"/>
      <c r="N134" s="686"/>
      <c r="O134" s="686"/>
      <c r="P134" s="686"/>
      <c r="Q134" s="686"/>
      <c r="R134" s="686"/>
      <c r="S134" s="686"/>
      <c r="T134" s="686"/>
      <c r="U134" s="138"/>
    </row>
    <row r="135" spans="1:21" x14ac:dyDescent="0.3">
      <c r="A135" s="3" t="s">
        <v>73</v>
      </c>
      <c r="B135" s="657"/>
      <c r="C135" s="657"/>
      <c r="D135" s="657"/>
      <c r="E135" s="657"/>
      <c r="F135" s="657"/>
      <c r="G135" s="257">
        <v>0</v>
      </c>
      <c r="H135" s="139">
        <f>IF(H133=1,I133,I130)</f>
        <v>290153.60000000003</v>
      </c>
      <c r="I135" s="94">
        <f>ROUND(IF(E30=0,0,IF(E30&gt;250,-(((250/E30)*H135)*IF(G135="H",0.02,0.05)),IF(G135="H",-0.02*H135,-0.05*H135))),2)</f>
        <v>-14507.68</v>
      </c>
      <c r="N135" s="814"/>
      <c r="O135" s="814"/>
      <c r="P135" s="814"/>
      <c r="Q135" s="814"/>
      <c r="R135" s="814"/>
      <c r="S135" s="814"/>
      <c r="T135" s="814"/>
      <c r="U135" s="814"/>
    </row>
    <row r="136" spans="1:21" x14ac:dyDescent="0.3">
      <c r="B136" s="657"/>
      <c r="C136" s="657"/>
      <c r="D136" s="657"/>
      <c r="E136" s="657"/>
      <c r="F136" s="657"/>
      <c r="G136" s="657"/>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289303.71000000002</v>
      </c>
      <c r="N137" s="71" t="s">
        <v>77</v>
      </c>
      <c r="O137" s="71"/>
      <c r="P137" s="71"/>
      <c r="Q137" s="71"/>
      <c r="R137" s="71"/>
      <c r="S137" s="71"/>
      <c r="T137" s="71"/>
      <c r="U137" s="71"/>
    </row>
    <row r="138" spans="1:21" x14ac:dyDescent="0.3">
      <c r="B138" s="657"/>
      <c r="C138" s="657"/>
      <c r="D138" s="657"/>
      <c r="E138" s="657"/>
      <c r="F138" s="657"/>
      <c r="G138" s="657"/>
      <c r="H138" s="65"/>
      <c r="I138" s="101"/>
      <c r="N138" s="72" t="s">
        <v>78</v>
      </c>
      <c r="O138" s="71"/>
      <c r="P138" s="71"/>
      <c r="Q138" s="71"/>
      <c r="R138" s="71"/>
      <c r="S138" s="71"/>
      <c r="T138" s="71"/>
      <c r="U138" s="71"/>
    </row>
    <row r="139" spans="1:21" x14ac:dyDescent="0.3">
      <c r="A139" s="3" t="s">
        <v>75</v>
      </c>
      <c r="B139" s="657"/>
      <c r="C139" s="140"/>
      <c r="D139" s="657"/>
      <c r="F139" s="657"/>
      <c r="G139" s="657"/>
      <c r="H139" s="65"/>
      <c r="I139" s="271">
        <f>-'Cumulative Payments'!Q70</f>
        <v>-293417.73</v>
      </c>
      <c r="N139" s="683"/>
      <c r="O139" s="683"/>
      <c r="P139" s="683"/>
      <c r="Q139" s="683"/>
      <c r="R139" s="683"/>
      <c r="S139" s="683"/>
      <c r="T139" s="683"/>
      <c r="U139" s="683"/>
    </row>
    <row r="140" spans="1:21" x14ac:dyDescent="0.3">
      <c r="B140" s="657"/>
      <c r="C140" s="657"/>
      <c r="D140" s="657"/>
      <c r="E140" s="657"/>
      <c r="F140" s="657"/>
      <c r="G140" s="657"/>
      <c r="H140" s="65"/>
      <c r="I140" s="101"/>
      <c r="N140" s="683"/>
      <c r="O140" s="683"/>
      <c r="P140" s="683"/>
      <c r="Q140" s="683"/>
      <c r="R140" s="683"/>
      <c r="S140" s="683"/>
      <c r="T140" s="683"/>
      <c r="U140" s="683"/>
    </row>
    <row r="141" spans="1:21" x14ac:dyDescent="0.3">
      <c r="A141" s="3" t="s">
        <v>246</v>
      </c>
      <c r="B141" s="657"/>
      <c r="C141" s="657"/>
      <c r="D141" s="657"/>
      <c r="E141" s="657"/>
      <c r="F141" s="657"/>
      <c r="G141" s="657"/>
      <c r="H141" s="65"/>
      <c r="I141" s="101">
        <f>I137+I139</f>
        <v>-4114.0199999999604</v>
      </c>
      <c r="N141" s="683"/>
      <c r="O141" s="683"/>
      <c r="P141" s="683"/>
      <c r="Q141" s="683"/>
      <c r="R141" s="683"/>
      <c r="S141" s="683"/>
      <c r="T141" s="683"/>
      <c r="U141" s="683"/>
    </row>
    <row r="142" spans="1:21" x14ac:dyDescent="0.3">
      <c r="A142" s="3"/>
      <c r="B142" s="657"/>
      <c r="C142" s="657"/>
      <c r="D142" s="657"/>
      <c r="E142" s="657"/>
      <c r="F142" s="657"/>
      <c r="G142" s="657"/>
      <c r="H142" s="65"/>
      <c r="I142" s="101"/>
      <c r="N142" s="683"/>
      <c r="O142" s="683"/>
      <c r="P142" s="683"/>
      <c r="Q142" s="683"/>
      <c r="R142" s="683"/>
      <c r="S142" s="683"/>
      <c r="T142" s="683"/>
      <c r="U142" s="683"/>
    </row>
    <row r="143" spans="1:21" x14ac:dyDescent="0.3">
      <c r="A143" s="3" t="s">
        <v>247</v>
      </c>
      <c r="B143" s="657"/>
      <c r="C143" s="657"/>
      <c r="D143" s="657"/>
      <c r="E143" s="657"/>
      <c r="F143" s="657"/>
      <c r="G143" s="657"/>
      <c r="H143" s="65"/>
      <c r="I143" s="272">
        <f>'1461'!I143</f>
        <v>1</v>
      </c>
      <c r="N143" s="683"/>
      <c r="O143" s="683"/>
      <c r="P143" s="683"/>
      <c r="Q143" s="683"/>
      <c r="R143" s="683"/>
      <c r="S143" s="683"/>
      <c r="T143" s="683"/>
      <c r="U143" s="683"/>
    </row>
    <row r="144" spans="1:21" x14ac:dyDescent="0.3">
      <c r="B144" s="657"/>
      <c r="C144" s="657"/>
      <c r="D144" s="657"/>
      <c r="E144" s="657"/>
      <c r="F144" s="657"/>
      <c r="G144" s="657"/>
      <c r="H144" s="65"/>
      <c r="I144" s="101"/>
      <c r="N144" s="683"/>
      <c r="O144" s="683"/>
      <c r="P144" s="683"/>
      <c r="Q144" s="683"/>
      <c r="R144" s="683"/>
      <c r="S144" s="683"/>
      <c r="T144" s="683"/>
      <c r="U144" s="683"/>
    </row>
    <row r="145" spans="1:21" ht="16.2" thickBot="1" x14ac:dyDescent="0.35">
      <c r="A145" s="3" t="s">
        <v>76</v>
      </c>
      <c r="B145" s="657"/>
      <c r="C145" s="657"/>
      <c r="D145" s="657"/>
      <c r="E145" s="657"/>
      <c r="F145" s="657"/>
      <c r="G145" s="657"/>
      <c r="H145" s="65"/>
      <c r="I145" s="155">
        <f>ROUND(I141/I143,2)</f>
        <v>-4114.0200000000004</v>
      </c>
      <c r="K145" s="468"/>
      <c r="N145" s="683"/>
      <c r="O145" s="683"/>
      <c r="P145" s="683"/>
      <c r="Q145" s="683"/>
      <c r="R145" s="683"/>
      <c r="S145" s="683"/>
      <c r="T145" s="683"/>
      <c r="U145" s="683"/>
    </row>
    <row r="146" spans="1:21" ht="16.2" thickTop="1" x14ac:dyDescent="0.3">
      <c r="B146" s="657"/>
      <c r="C146" s="657"/>
      <c r="D146" s="657"/>
      <c r="E146" s="657"/>
      <c r="F146" s="657"/>
      <c r="G146" s="657"/>
      <c r="H146" s="65"/>
      <c r="I146" s="101"/>
      <c r="N146" s="683"/>
      <c r="O146" s="683"/>
      <c r="P146" s="683"/>
      <c r="Q146" s="683"/>
      <c r="R146" s="683"/>
      <c r="S146" s="683"/>
      <c r="T146" s="683"/>
      <c r="U146" s="683"/>
    </row>
    <row r="147" spans="1:21" ht="16.2" thickBot="1" x14ac:dyDescent="0.35">
      <c r="A147" s="3" t="s">
        <v>90</v>
      </c>
      <c r="B147" s="657"/>
      <c r="C147" s="657"/>
      <c r="D147" s="657"/>
      <c r="E147" s="657"/>
      <c r="F147" s="657"/>
      <c r="G147" s="657"/>
      <c r="H147" s="65"/>
      <c r="I147" s="133">
        <f>ROUND(IF(G135="H",(H135*0.02)+I135,(H135*0.05)+I135),2)</f>
        <v>0</v>
      </c>
      <c r="N147" s="683"/>
      <c r="O147" s="683"/>
      <c r="P147" s="683"/>
      <c r="Q147" s="683"/>
      <c r="R147" s="683"/>
      <c r="S147" s="683"/>
      <c r="T147" s="683"/>
      <c r="U147" s="683"/>
    </row>
    <row r="148" spans="1:21" ht="16.2" thickTop="1" x14ac:dyDescent="0.3">
      <c r="B148" s="657"/>
      <c r="C148" s="657"/>
      <c r="D148" s="657"/>
      <c r="E148" s="657"/>
      <c r="F148" s="657"/>
      <c r="G148" s="657"/>
      <c r="H148" s="65"/>
      <c r="I148" s="134"/>
      <c r="N148" s="683"/>
      <c r="O148" s="683"/>
      <c r="P148" s="683"/>
      <c r="Q148" s="683"/>
      <c r="R148" s="683"/>
      <c r="S148" s="683"/>
      <c r="T148" s="683"/>
      <c r="U148" s="683"/>
    </row>
    <row r="149" spans="1:21" x14ac:dyDescent="0.3">
      <c r="B149" s="657"/>
      <c r="C149" s="657"/>
      <c r="D149" s="657"/>
      <c r="E149" s="657"/>
      <c r="F149" s="657"/>
      <c r="G149" s="657"/>
      <c r="H149" s="65"/>
      <c r="I149" s="101"/>
      <c r="N149" s="683"/>
      <c r="O149" s="683"/>
      <c r="P149" s="683"/>
      <c r="Q149" s="683"/>
      <c r="R149" s="683"/>
      <c r="S149" s="683"/>
      <c r="T149" s="683"/>
      <c r="U149" s="683"/>
    </row>
    <row r="150" spans="1:21" x14ac:dyDescent="0.3">
      <c r="B150" s="657"/>
      <c r="C150" s="657"/>
      <c r="D150" s="657"/>
      <c r="E150" s="657"/>
      <c r="F150" s="657"/>
      <c r="G150" s="657"/>
      <c r="H150" s="65"/>
      <c r="I150" s="134"/>
      <c r="N150" s="683"/>
      <c r="O150" s="683"/>
      <c r="P150" s="683"/>
      <c r="Q150" s="683"/>
      <c r="R150" s="683"/>
      <c r="S150" s="683"/>
      <c r="T150" s="683"/>
      <c r="U150" s="683"/>
    </row>
    <row r="151" spans="1:21" ht="12.75" customHeight="1" x14ac:dyDescent="0.3">
      <c r="A151" s="356" t="s">
        <v>7</v>
      </c>
      <c r="B151" s="356"/>
      <c r="C151" s="356"/>
      <c r="D151" s="356"/>
      <c r="E151" s="356"/>
      <c r="F151" s="356"/>
      <c r="G151" s="356"/>
      <c r="H151" s="356"/>
      <c r="I151" s="356"/>
      <c r="J151" s="134"/>
      <c r="N151" s="683"/>
      <c r="O151" s="683"/>
      <c r="P151" s="683"/>
      <c r="Q151" s="683"/>
      <c r="R151" s="683"/>
      <c r="S151" s="683"/>
      <c r="T151" s="683"/>
      <c r="U151" s="683"/>
    </row>
    <row r="152" spans="1:21" ht="12.75" customHeight="1" x14ac:dyDescent="0.3">
      <c r="A152" s="357" t="s">
        <v>259</v>
      </c>
      <c r="B152" s="358"/>
      <c r="C152" s="358"/>
      <c r="D152" s="358"/>
      <c r="E152" s="358"/>
      <c r="F152" s="358"/>
      <c r="G152" s="358"/>
      <c r="H152" s="358"/>
      <c r="I152" s="358"/>
      <c r="J152" s="77"/>
      <c r="K152" s="338"/>
      <c r="L152" s="76"/>
      <c r="M152" s="76"/>
      <c r="N152" s="683"/>
      <c r="O152" s="683"/>
      <c r="P152" s="683"/>
      <c r="Q152" s="683"/>
      <c r="R152" s="683"/>
      <c r="S152" s="683"/>
      <c r="T152" s="683"/>
      <c r="U152" s="683"/>
    </row>
    <row r="153" spans="1:21" ht="12.75" customHeight="1" x14ac:dyDescent="0.3">
      <c r="A153" s="363" t="s">
        <v>434</v>
      </c>
      <c r="B153" s="358"/>
      <c r="C153" s="358"/>
      <c r="D153" s="358"/>
      <c r="E153" s="358"/>
      <c r="F153" s="358"/>
      <c r="G153" s="358"/>
      <c r="H153" s="358"/>
      <c r="I153" s="358"/>
      <c r="J153" s="77"/>
      <c r="K153" s="338"/>
      <c r="L153" s="76"/>
      <c r="M153" s="76"/>
      <c r="N153" s="683"/>
      <c r="O153" s="683"/>
      <c r="P153" s="683"/>
      <c r="Q153" s="683"/>
      <c r="R153" s="683"/>
      <c r="S153" s="683"/>
      <c r="T153" s="683"/>
      <c r="U153" s="683"/>
    </row>
    <row r="154" spans="1:21" ht="12.75" customHeight="1" x14ac:dyDescent="0.3">
      <c r="A154" s="360" t="s">
        <v>435</v>
      </c>
      <c r="B154" s="359"/>
      <c r="C154" s="359"/>
      <c r="D154" s="359"/>
      <c r="E154" s="359"/>
      <c r="F154" s="359"/>
      <c r="G154" s="359"/>
      <c r="H154" s="359"/>
      <c r="I154" s="359"/>
      <c r="J154" s="76"/>
      <c r="K154" s="76"/>
      <c r="L154" s="76"/>
      <c r="M154" s="76"/>
      <c r="N154" s="683"/>
      <c r="O154" s="683"/>
      <c r="P154" s="683"/>
      <c r="Q154" s="683"/>
      <c r="R154" s="683"/>
      <c r="S154" s="683"/>
      <c r="T154" s="683"/>
      <c r="U154" s="683"/>
    </row>
    <row r="155" spans="1:21" s="76" customFormat="1" ht="12.75" customHeight="1" x14ac:dyDescent="0.3">
      <c r="A155" s="360" t="s">
        <v>436</v>
      </c>
      <c r="B155" s="359"/>
      <c r="C155" s="359"/>
      <c r="D155" s="359"/>
      <c r="E155" s="359"/>
      <c r="F155" s="359"/>
      <c r="G155" s="359"/>
      <c r="H155" s="359"/>
      <c r="I155" s="359"/>
      <c r="N155" s="816"/>
      <c r="O155" s="816"/>
      <c r="P155" s="816"/>
      <c r="Q155" s="816"/>
      <c r="R155" s="816"/>
      <c r="S155" s="816"/>
      <c r="T155" s="816"/>
      <c r="U155" s="816"/>
    </row>
    <row r="156" spans="1:21" s="76" customFormat="1" ht="12.75" customHeight="1" x14ac:dyDescent="0.3">
      <c r="A156" s="360" t="s">
        <v>437</v>
      </c>
      <c r="B156" s="359"/>
      <c r="C156" s="359"/>
      <c r="D156" s="359"/>
      <c r="E156" s="359"/>
      <c r="F156" s="359"/>
      <c r="G156" s="359"/>
      <c r="H156" s="359"/>
      <c r="I156" s="359"/>
      <c r="N156" s="683"/>
      <c r="O156" s="683"/>
      <c r="P156" s="683"/>
      <c r="Q156" s="683"/>
      <c r="R156" s="683"/>
      <c r="S156" s="683"/>
      <c r="T156" s="683"/>
      <c r="U156" s="683"/>
    </row>
    <row r="157" spans="1:21" s="76" customFormat="1" ht="12.75" customHeight="1" x14ac:dyDescent="0.25">
      <c r="A157" s="360" t="s">
        <v>438</v>
      </c>
      <c r="B157" s="359"/>
      <c r="C157" s="359"/>
      <c r="D157" s="359"/>
      <c r="E157" s="359"/>
      <c r="F157" s="359"/>
      <c r="G157" s="359"/>
      <c r="H157" s="359"/>
      <c r="I157" s="359"/>
      <c r="N157" s="78"/>
      <c r="O157" s="79"/>
      <c r="P157" s="79"/>
      <c r="Q157" s="79"/>
      <c r="R157" s="79"/>
      <c r="S157" s="79"/>
      <c r="T157" s="79"/>
      <c r="U157" s="79"/>
    </row>
    <row r="158" spans="1:21" s="76" customFormat="1" ht="12.75" customHeight="1" x14ac:dyDescent="0.25">
      <c r="A158" s="360" t="s">
        <v>439</v>
      </c>
      <c r="B158" s="359"/>
      <c r="C158" s="359"/>
      <c r="D158" s="359"/>
      <c r="E158" s="359"/>
      <c r="F158" s="359"/>
      <c r="G158" s="359"/>
      <c r="H158" s="359"/>
      <c r="I158" s="359"/>
      <c r="N158" s="78"/>
    </row>
    <row r="159" spans="1:21" s="76" customFormat="1" ht="12.75" customHeight="1" x14ac:dyDescent="0.25">
      <c r="A159" s="360" t="s">
        <v>441</v>
      </c>
      <c r="B159" s="359"/>
      <c r="C159" s="359"/>
      <c r="D159" s="359"/>
      <c r="E159" s="359"/>
      <c r="F159" s="359"/>
      <c r="G159" s="359"/>
      <c r="H159" s="359"/>
      <c r="I159" s="359"/>
      <c r="K159" s="359"/>
      <c r="N159" s="78"/>
    </row>
    <row r="160" spans="1:21" s="76" customFormat="1" ht="12.75" customHeight="1" x14ac:dyDescent="0.25">
      <c r="A160" s="365" t="s">
        <v>440</v>
      </c>
      <c r="B160" s="359"/>
      <c r="C160" s="359"/>
      <c r="D160" s="359"/>
      <c r="E160" s="359"/>
      <c r="F160" s="359"/>
      <c r="G160" s="359"/>
      <c r="H160" s="359"/>
      <c r="I160" s="359"/>
      <c r="N160" s="78"/>
    </row>
    <row r="161" spans="1:14" s="76" customFormat="1" ht="12.75" customHeight="1" x14ac:dyDescent="0.25">
      <c r="A161" s="360" t="s">
        <v>442</v>
      </c>
      <c r="B161" s="359"/>
      <c r="C161" s="359"/>
      <c r="D161" s="359"/>
      <c r="E161" s="359"/>
      <c r="F161" s="359"/>
      <c r="G161" s="359"/>
      <c r="H161" s="359"/>
      <c r="I161" s="359"/>
      <c r="N161" s="78"/>
    </row>
    <row r="162" spans="1:14" s="76" customFormat="1" ht="12.75" customHeight="1" x14ac:dyDescent="0.25">
      <c r="A162" s="364" t="s">
        <v>260</v>
      </c>
      <c r="B162" s="359"/>
      <c r="C162" s="359"/>
      <c r="D162" s="359"/>
      <c r="E162" s="359"/>
      <c r="F162" s="359"/>
      <c r="G162" s="359"/>
      <c r="H162" s="359"/>
      <c r="I162" s="359"/>
      <c r="N162" s="78"/>
    </row>
    <row r="163" spans="1:14" s="76" customFormat="1" ht="12.75" customHeight="1" x14ac:dyDescent="0.25">
      <c r="A163" s="360" t="s">
        <v>445</v>
      </c>
      <c r="B163" s="359"/>
      <c r="C163" s="359"/>
      <c r="D163" s="359"/>
      <c r="E163" s="359"/>
      <c r="F163" s="359"/>
      <c r="G163" s="359"/>
      <c r="H163" s="359"/>
      <c r="I163" s="359"/>
      <c r="N163" s="78"/>
    </row>
    <row r="164" spans="1:14" s="76" customFormat="1" ht="12.75" customHeight="1" x14ac:dyDescent="0.25">
      <c r="A164" s="360" t="s">
        <v>287</v>
      </c>
      <c r="B164" s="359"/>
      <c r="C164" s="359"/>
      <c r="D164" s="359"/>
      <c r="E164" s="359"/>
      <c r="F164" s="359"/>
      <c r="G164" s="359"/>
      <c r="H164" s="359"/>
      <c r="I164" s="359"/>
      <c r="N164" s="78"/>
    </row>
    <row r="165" spans="1:14" s="76" customFormat="1" ht="12.75" customHeight="1" x14ac:dyDescent="0.25">
      <c r="A165" s="360" t="s">
        <v>447</v>
      </c>
      <c r="B165" s="359"/>
      <c r="C165" s="359"/>
      <c r="D165" s="359"/>
      <c r="E165" s="359"/>
      <c r="F165" s="359"/>
      <c r="G165" s="359"/>
      <c r="H165" s="359"/>
      <c r="I165" s="359"/>
      <c r="N165" s="78"/>
    </row>
    <row r="166" spans="1:14" s="76" customFormat="1" ht="12.75" customHeight="1" x14ac:dyDescent="0.25">
      <c r="A166" s="365" t="s">
        <v>446</v>
      </c>
      <c r="B166" s="359"/>
      <c r="C166" s="359"/>
      <c r="D166" s="359"/>
      <c r="E166" s="359"/>
      <c r="F166" s="359"/>
      <c r="G166" s="359"/>
      <c r="H166" s="359"/>
      <c r="I166" s="359"/>
      <c r="N166" s="78"/>
    </row>
    <row r="167" spans="1:14" s="76" customFormat="1" ht="12.75" customHeight="1" x14ac:dyDescent="0.25">
      <c r="A167" s="360" t="s">
        <v>448</v>
      </c>
      <c r="B167" s="359"/>
      <c r="C167" s="359"/>
      <c r="D167" s="359"/>
      <c r="E167" s="359"/>
      <c r="F167" s="359"/>
      <c r="G167" s="359"/>
      <c r="H167" s="359"/>
      <c r="I167" s="359"/>
      <c r="N167" s="78"/>
    </row>
    <row r="168" spans="1:14" s="76" customFormat="1" ht="12.75" customHeight="1" x14ac:dyDescent="0.25">
      <c r="A168" s="365" t="s">
        <v>261</v>
      </c>
      <c r="B168" s="359"/>
      <c r="C168" s="359"/>
      <c r="D168" s="359"/>
      <c r="E168" s="359"/>
      <c r="F168" s="359"/>
      <c r="G168" s="359"/>
      <c r="H168" s="359"/>
      <c r="I168" s="359"/>
      <c r="N168" s="78"/>
    </row>
    <row r="169" spans="1:14" s="76" customFormat="1" ht="12.75" customHeight="1" x14ac:dyDescent="0.25">
      <c r="A169" s="360" t="s">
        <v>450</v>
      </c>
      <c r="B169" s="359"/>
      <c r="C169" s="359"/>
      <c r="D169" s="359"/>
      <c r="E169" s="359"/>
      <c r="F169" s="359"/>
      <c r="G169" s="359"/>
      <c r="H169" s="359"/>
      <c r="I169" s="359"/>
      <c r="N169" s="78"/>
    </row>
    <row r="170" spans="1:14" s="76" customFormat="1" ht="12.75" customHeight="1" x14ac:dyDescent="0.25">
      <c r="A170" s="365" t="s">
        <v>449</v>
      </c>
      <c r="B170" s="359"/>
      <c r="C170" s="359"/>
      <c r="D170" s="359"/>
      <c r="E170" s="359"/>
      <c r="F170" s="359"/>
      <c r="G170" s="359"/>
      <c r="H170" s="359"/>
      <c r="I170" s="359"/>
      <c r="N170" s="78"/>
    </row>
    <row r="171" spans="1:14" s="76" customFormat="1" ht="12.75" customHeight="1" x14ac:dyDescent="0.25">
      <c r="A171" s="360"/>
      <c r="B171" s="359"/>
      <c r="C171" s="359"/>
      <c r="D171" s="359"/>
      <c r="E171" s="359"/>
      <c r="F171" s="359"/>
      <c r="G171" s="359"/>
      <c r="H171" s="359"/>
      <c r="I171" s="359"/>
      <c r="N171" s="78"/>
    </row>
    <row r="172" spans="1:14" s="76" customFormat="1" ht="12.75" customHeight="1" x14ac:dyDescent="0.25">
      <c r="A172" s="368" t="s">
        <v>67</v>
      </c>
      <c r="B172" s="359"/>
      <c r="C172" s="359"/>
      <c r="D172" s="359"/>
      <c r="E172" s="359"/>
      <c r="F172" s="359"/>
      <c r="G172" s="359"/>
      <c r="H172" s="359"/>
      <c r="I172" s="359"/>
      <c r="N172" s="78"/>
    </row>
    <row r="173" spans="1:14" s="76" customFormat="1" ht="12.75" customHeight="1" x14ac:dyDescent="0.25">
      <c r="A173" s="361" t="s">
        <v>262</v>
      </c>
      <c r="B173" s="362"/>
      <c r="C173" s="362"/>
      <c r="D173" s="362"/>
      <c r="E173" s="362"/>
      <c r="F173" s="362"/>
      <c r="G173" s="362"/>
      <c r="H173" s="362"/>
      <c r="I173" s="362"/>
      <c r="N173" s="78"/>
    </row>
    <row r="174" spans="1:14" s="76" customFormat="1" ht="12.75" customHeight="1" x14ac:dyDescent="0.25">
      <c r="A174" s="366" t="s">
        <v>318</v>
      </c>
      <c r="B174" s="369"/>
      <c r="C174" s="369"/>
      <c r="D174" s="369"/>
      <c r="E174" s="369"/>
      <c r="F174" s="369"/>
      <c r="G174" s="369"/>
      <c r="H174" s="369"/>
      <c r="I174" s="369"/>
      <c r="N174" s="78"/>
    </row>
    <row r="175" spans="1:14" s="76" customFormat="1" ht="12.75" customHeight="1" x14ac:dyDescent="0.25">
      <c r="A175" s="366" t="s">
        <v>451</v>
      </c>
      <c r="B175" s="369"/>
      <c r="C175" s="369"/>
      <c r="D175" s="369"/>
      <c r="E175" s="369"/>
      <c r="F175" s="369"/>
      <c r="G175" s="369"/>
      <c r="H175" s="369"/>
      <c r="I175" s="369"/>
      <c r="N175" s="78"/>
    </row>
    <row r="176" spans="1:14" s="76" customFormat="1" ht="12.75" customHeight="1" x14ac:dyDescent="0.25">
      <c r="A176" s="366" t="s">
        <v>452</v>
      </c>
      <c r="B176" s="369"/>
      <c r="C176" s="369"/>
      <c r="D176" s="369"/>
      <c r="E176" s="369"/>
      <c r="F176" s="369"/>
      <c r="G176" s="369"/>
      <c r="H176" s="369"/>
      <c r="I176" s="369"/>
      <c r="N176" s="78"/>
    </row>
    <row r="177" spans="1:21" s="76" customFormat="1" ht="12.75" customHeight="1" x14ac:dyDescent="0.25">
      <c r="A177" s="361"/>
      <c r="B177" s="369"/>
      <c r="C177" s="369"/>
      <c r="D177" s="369"/>
      <c r="E177" s="369"/>
      <c r="F177" s="369"/>
      <c r="G177" s="369"/>
      <c r="H177" s="369"/>
      <c r="I177" s="369"/>
      <c r="N177" s="78"/>
    </row>
    <row r="178" spans="1:21" s="76" customFormat="1" ht="12.75" customHeight="1" x14ac:dyDescent="0.3">
      <c r="A178" s="361" t="s">
        <v>319</v>
      </c>
      <c r="B178" s="362"/>
      <c r="C178" s="362"/>
      <c r="D178" s="362"/>
      <c r="E178" s="362"/>
      <c r="F178" s="362"/>
      <c r="G178" s="362"/>
      <c r="H178" s="362"/>
      <c r="I178" s="362"/>
      <c r="J178" s="3"/>
      <c r="K178" s="3"/>
      <c r="L178" s="3"/>
      <c r="M178" s="3"/>
      <c r="N178" s="78"/>
    </row>
    <row r="179" spans="1:21" s="76" customFormat="1" ht="12.75" customHeight="1" x14ac:dyDescent="0.3">
      <c r="A179" s="366" t="s">
        <v>318</v>
      </c>
      <c r="B179" s="362"/>
      <c r="C179" s="362"/>
      <c r="D179" s="362"/>
      <c r="E179" s="362"/>
      <c r="F179" s="362"/>
      <c r="G179" s="362"/>
      <c r="H179" s="362"/>
      <c r="I179" s="362"/>
      <c r="J179" s="3"/>
      <c r="K179" s="3"/>
      <c r="L179" s="3"/>
      <c r="M179" s="3"/>
      <c r="N179" s="78"/>
    </row>
    <row r="180" spans="1:21" s="76" customFormat="1" ht="12.75" customHeight="1" x14ac:dyDescent="0.3">
      <c r="A180" s="366" t="s">
        <v>320</v>
      </c>
      <c r="B180" s="362"/>
      <c r="C180" s="362"/>
      <c r="D180" s="362"/>
      <c r="E180" s="362"/>
      <c r="F180" s="362"/>
      <c r="G180" s="362"/>
      <c r="H180" s="362"/>
      <c r="I180" s="362"/>
      <c r="J180" s="3"/>
      <c r="K180" s="3"/>
      <c r="L180" s="3"/>
      <c r="M180" s="3"/>
      <c r="N180" s="78"/>
    </row>
    <row r="181" spans="1:21" s="76" customFormat="1" ht="12.75" customHeight="1" x14ac:dyDescent="0.3">
      <c r="A181" s="362"/>
      <c r="B181" s="362"/>
      <c r="C181" s="362"/>
      <c r="D181" s="362"/>
      <c r="E181" s="362"/>
      <c r="F181" s="362"/>
      <c r="G181" s="362"/>
      <c r="H181" s="362"/>
      <c r="I181" s="362"/>
      <c r="J181" s="3"/>
      <c r="K181" s="3"/>
      <c r="L181" s="3"/>
      <c r="M181" s="3"/>
      <c r="N181" s="78"/>
    </row>
    <row r="182" spans="1:21" s="76" customFormat="1" ht="12.75" customHeight="1" x14ac:dyDescent="0.25">
      <c r="A182" s="368" t="s">
        <v>68</v>
      </c>
      <c r="B182" s="368"/>
      <c r="C182" s="368"/>
      <c r="D182" s="368"/>
      <c r="E182" s="368"/>
      <c r="F182" s="368"/>
      <c r="G182" s="368"/>
      <c r="H182" s="368"/>
      <c r="I182" s="368"/>
      <c r="N182" s="78"/>
    </row>
    <row r="183" spans="1:21" ht="12.75" customHeight="1" x14ac:dyDescent="0.3">
      <c r="A183" s="361" t="s">
        <v>263</v>
      </c>
      <c r="B183" s="362"/>
      <c r="C183" s="362"/>
      <c r="D183" s="362"/>
      <c r="E183" s="362"/>
      <c r="F183" s="362"/>
      <c r="G183" s="362"/>
      <c r="H183" s="362"/>
      <c r="I183" s="362"/>
      <c r="J183" s="76"/>
      <c r="K183" s="76"/>
      <c r="L183" s="76"/>
      <c r="M183" s="76"/>
      <c r="N183" s="78"/>
      <c r="O183" s="76"/>
      <c r="P183" s="76"/>
      <c r="Q183" s="76"/>
      <c r="R183" s="76"/>
      <c r="S183" s="76"/>
      <c r="T183" s="76"/>
      <c r="U183" s="76"/>
    </row>
    <row r="184" spans="1:21" ht="12.75" customHeight="1" x14ac:dyDescent="0.3">
      <c r="A184" s="366" t="s">
        <v>264</v>
      </c>
      <c r="B184" s="369"/>
      <c r="C184" s="369"/>
      <c r="D184" s="369"/>
      <c r="E184" s="369"/>
      <c r="F184" s="369"/>
      <c r="G184" s="369"/>
      <c r="H184" s="369"/>
      <c r="I184" s="369"/>
      <c r="J184" s="76"/>
      <c r="K184" s="76"/>
      <c r="L184" s="76"/>
      <c r="M184" s="76"/>
      <c r="N184" s="78"/>
      <c r="O184" s="76"/>
      <c r="P184" s="76"/>
      <c r="Q184" s="76"/>
      <c r="R184" s="76"/>
      <c r="S184" s="76"/>
      <c r="T184" s="76"/>
      <c r="U184" s="76"/>
    </row>
    <row r="185" spans="1:21" s="76" customFormat="1" ht="12.75" customHeight="1" x14ac:dyDescent="0.3">
      <c r="A185" s="362" t="s">
        <v>11</v>
      </c>
      <c r="B185" s="362"/>
      <c r="C185" s="362"/>
      <c r="D185" s="362"/>
      <c r="E185" s="362"/>
      <c r="F185" s="362"/>
      <c r="G185" s="362"/>
      <c r="H185" s="362"/>
      <c r="I185" s="362"/>
      <c r="N185" s="74"/>
      <c r="O185" s="3"/>
      <c r="P185" s="3"/>
      <c r="Q185" s="3"/>
      <c r="R185" s="3"/>
      <c r="S185" s="3"/>
      <c r="T185" s="3"/>
      <c r="U185" s="3"/>
    </row>
    <row r="186" spans="1:21" s="76" customFormat="1" ht="15.75" customHeight="1" x14ac:dyDescent="0.3">
      <c r="A186" s="292"/>
      <c r="B186" s="292"/>
      <c r="C186" s="292"/>
      <c r="D186" s="292"/>
      <c r="E186" s="292"/>
      <c r="F186" s="292"/>
      <c r="G186" s="292"/>
      <c r="H186" s="292"/>
      <c r="I186" s="292"/>
      <c r="J186" s="3"/>
      <c r="K186" s="3"/>
      <c r="L186" s="3"/>
      <c r="M186" s="3"/>
      <c r="N186" s="78"/>
    </row>
    <row r="187" spans="1:21" s="76" customFormat="1" ht="15.75" customHeight="1" x14ac:dyDescent="0.3">
      <c r="A187" s="74"/>
      <c r="B187" s="3"/>
      <c r="C187" s="3"/>
      <c r="D187" s="3"/>
      <c r="E187" s="3"/>
      <c r="F187" s="3"/>
      <c r="G187" s="3"/>
      <c r="H187" s="3"/>
      <c r="I187" s="3"/>
      <c r="J187" s="3"/>
      <c r="K187" s="3"/>
      <c r="L187" s="3"/>
      <c r="M187" s="3"/>
      <c r="N187" s="78"/>
    </row>
    <row r="188" spans="1:21" ht="15.75" customHeight="1" x14ac:dyDescent="0.3">
      <c r="A188" s="74"/>
      <c r="N188" s="78"/>
      <c r="O188" s="76"/>
      <c r="P188" s="76"/>
      <c r="Q188" s="76"/>
      <c r="R188" s="76"/>
      <c r="S188" s="76"/>
      <c r="T188" s="76"/>
      <c r="U188" s="76"/>
    </row>
    <row r="189" spans="1:21" ht="15.75" customHeight="1" x14ac:dyDescent="0.3">
      <c r="A189" s="74"/>
      <c r="N189" s="78"/>
      <c r="O189" s="76"/>
      <c r="P189" s="76"/>
      <c r="Q189" s="76"/>
      <c r="R189" s="76"/>
      <c r="S189" s="76"/>
      <c r="T189" s="76"/>
      <c r="U189" s="76"/>
    </row>
    <row r="190" spans="1:21" ht="15.75" customHeight="1" x14ac:dyDescent="0.3">
      <c r="A190" s="74"/>
      <c r="B190" s="135"/>
      <c r="C190" s="135"/>
      <c r="D190" s="135"/>
      <c r="E190" s="135"/>
      <c r="F190" s="135"/>
      <c r="G190" s="135"/>
      <c r="H190" s="135"/>
      <c r="I190" s="135"/>
      <c r="N190" s="74"/>
    </row>
    <row r="191" spans="1:21" ht="15.75" customHeight="1" x14ac:dyDescent="0.3">
      <c r="A191" s="74"/>
      <c r="N191" s="74"/>
    </row>
    <row r="192" spans="1:21" ht="15.75" customHeight="1" x14ac:dyDescent="0.3">
      <c r="A192" s="74"/>
      <c r="N192" s="74"/>
    </row>
    <row r="193" spans="1:14" ht="15.75" customHeight="1" x14ac:dyDescent="0.3">
      <c r="A193" s="74"/>
      <c r="N193" s="74"/>
    </row>
    <row r="194" spans="1:14" ht="15.75" customHeight="1" x14ac:dyDescent="0.3">
      <c r="A194" s="74"/>
      <c r="N194" s="74"/>
    </row>
    <row r="195" spans="1:14" ht="15.75" customHeight="1" x14ac:dyDescent="0.3">
      <c r="A195" s="74"/>
      <c r="N195" s="74"/>
    </row>
    <row r="196" spans="1:14" ht="15.75" customHeight="1" x14ac:dyDescent="0.3">
      <c r="A196" s="74"/>
      <c r="N196" s="74"/>
    </row>
    <row r="197" spans="1:14" ht="15.75" customHeight="1" x14ac:dyDescent="0.3">
      <c r="A197" s="74"/>
      <c r="N197" s="74"/>
    </row>
    <row r="198" spans="1:14" ht="15.75" customHeight="1" x14ac:dyDescent="0.3">
      <c r="A198" s="74"/>
      <c r="N198" s="74"/>
    </row>
    <row r="199" spans="1:14" ht="15.75" customHeight="1" x14ac:dyDescent="0.3">
      <c r="A199" s="74"/>
      <c r="N199" s="74"/>
    </row>
    <row r="200" spans="1:14" ht="15.75" customHeight="1" x14ac:dyDescent="0.3">
      <c r="A200" s="74"/>
      <c r="N200" s="74"/>
    </row>
    <row r="201" spans="1:14" ht="15.75" customHeight="1" x14ac:dyDescent="0.3">
      <c r="A201" s="74"/>
      <c r="N201" s="74"/>
    </row>
    <row r="202" spans="1:14" ht="15.75" customHeight="1" x14ac:dyDescent="0.3">
      <c r="A202" s="74"/>
      <c r="N202" s="74"/>
    </row>
    <row r="203" spans="1:14" ht="15.75" customHeight="1" x14ac:dyDescent="0.3">
      <c r="A203" s="74"/>
      <c r="N203" s="74"/>
    </row>
    <row r="204" spans="1:14" ht="15.75" customHeight="1" x14ac:dyDescent="0.3">
      <c r="A204" s="74"/>
      <c r="N204" s="74"/>
    </row>
    <row r="205" spans="1:14" x14ac:dyDescent="0.3">
      <c r="A205" s="74"/>
      <c r="N205" s="74"/>
    </row>
    <row r="206" spans="1:14" x14ac:dyDescent="0.3">
      <c r="A206" s="74"/>
      <c r="N206" s="74"/>
    </row>
    <row r="207" spans="1:14" x14ac:dyDescent="0.3">
      <c r="A207" s="74"/>
      <c r="N207" s="74"/>
    </row>
    <row r="208" spans="1:14" x14ac:dyDescent="0.3">
      <c r="A208" s="74"/>
      <c r="N208" s="74"/>
    </row>
    <row r="209" spans="1:14" x14ac:dyDescent="0.3">
      <c r="A209" s="74"/>
      <c r="N209" s="74"/>
    </row>
    <row r="210" spans="1:14" x14ac:dyDescent="0.3">
      <c r="A210" s="74"/>
      <c r="N210" s="74"/>
    </row>
    <row r="211" spans="1:14" x14ac:dyDescent="0.3">
      <c r="A211" s="74"/>
      <c r="N211" s="74"/>
    </row>
    <row r="212" spans="1:14" x14ac:dyDescent="0.3">
      <c r="A212" s="74"/>
      <c r="N212" s="74"/>
    </row>
    <row r="213" spans="1:14" x14ac:dyDescent="0.3">
      <c r="A213" s="74"/>
      <c r="N213" s="74"/>
    </row>
    <row r="214" spans="1:14" x14ac:dyDescent="0.3">
      <c r="A214" s="74"/>
      <c r="N214" s="74"/>
    </row>
    <row r="215" spans="1:14" x14ac:dyDescent="0.3">
      <c r="A215" s="74"/>
      <c r="N215" s="74"/>
    </row>
    <row r="216" spans="1:14" x14ac:dyDescent="0.3">
      <c r="A216" s="74"/>
      <c r="N216" s="74"/>
    </row>
    <row r="217" spans="1:14" x14ac:dyDescent="0.3">
      <c r="A217" s="74"/>
      <c r="N217" s="74"/>
    </row>
    <row r="218" spans="1:14" x14ac:dyDescent="0.3">
      <c r="A218" s="74"/>
      <c r="N218" s="74"/>
    </row>
    <row r="219" spans="1:14" x14ac:dyDescent="0.3">
      <c r="A219" s="74"/>
      <c r="N219" s="74"/>
    </row>
    <row r="220" spans="1:14" x14ac:dyDescent="0.3">
      <c r="A220" s="74"/>
      <c r="N220" s="74"/>
    </row>
    <row r="221" spans="1:14" x14ac:dyDescent="0.3">
      <c r="A221" s="74"/>
      <c r="N221" s="74"/>
    </row>
    <row r="222" spans="1:14" x14ac:dyDescent="0.3">
      <c r="A222" s="74"/>
      <c r="N222" s="74"/>
    </row>
    <row r="223" spans="1:14" x14ac:dyDescent="0.3">
      <c r="A223" s="74"/>
      <c r="N223" s="74"/>
    </row>
    <row r="224" spans="1:14" x14ac:dyDescent="0.3">
      <c r="A224" s="74"/>
      <c r="N224" s="74"/>
    </row>
    <row r="225" spans="1:14" x14ac:dyDescent="0.3">
      <c r="A225" s="74"/>
      <c r="N225" s="74"/>
    </row>
    <row r="226" spans="1:14" x14ac:dyDescent="0.3">
      <c r="A226" s="74"/>
      <c r="N226" s="74"/>
    </row>
    <row r="227" spans="1:14" x14ac:dyDescent="0.3">
      <c r="A227" s="74"/>
      <c r="N227" s="74"/>
    </row>
    <row r="228" spans="1:14" x14ac:dyDescent="0.3">
      <c r="A228" s="74"/>
      <c r="N228" s="74"/>
    </row>
    <row r="229" spans="1:14" x14ac:dyDescent="0.3">
      <c r="A229" s="74"/>
      <c r="N229" s="74"/>
    </row>
    <row r="230" spans="1:14" x14ac:dyDescent="0.3">
      <c r="A230" s="74"/>
      <c r="N230" s="74"/>
    </row>
    <row r="231" spans="1:14" x14ac:dyDescent="0.3">
      <c r="A231" s="74"/>
    </row>
    <row r="232" spans="1:14" x14ac:dyDescent="0.3">
      <c r="A232" s="74"/>
    </row>
    <row r="233" spans="1:14" x14ac:dyDescent="0.3">
      <c r="A233" s="74"/>
    </row>
    <row r="234" spans="1:14" x14ac:dyDescent="0.3">
      <c r="A234" s="74"/>
    </row>
    <row r="235" spans="1:14" x14ac:dyDescent="0.3">
      <c r="A235" s="74"/>
    </row>
    <row r="236" spans="1:14" x14ac:dyDescent="0.3">
      <c r="A236" s="74"/>
    </row>
    <row r="237" spans="1:14" x14ac:dyDescent="0.3">
      <c r="A237" s="74"/>
    </row>
    <row r="238" spans="1:14" x14ac:dyDescent="0.3">
      <c r="A238" s="74"/>
    </row>
    <row r="239" spans="1:14" x14ac:dyDescent="0.3">
      <c r="A239" s="74"/>
    </row>
    <row r="240" spans="1:14" x14ac:dyDescent="0.3">
      <c r="A240" s="74"/>
    </row>
    <row r="241" spans="1:1" x14ac:dyDescent="0.3">
      <c r="A241" s="74"/>
    </row>
    <row r="242" spans="1:1" x14ac:dyDescent="0.3">
      <c r="A242" s="74"/>
    </row>
    <row r="243" spans="1:1" x14ac:dyDescent="0.3">
      <c r="A243" s="74"/>
    </row>
    <row r="244" spans="1:1" x14ac:dyDescent="0.3">
      <c r="A244" s="74"/>
    </row>
    <row r="245" spans="1:1" x14ac:dyDescent="0.3">
      <c r="A245" s="74"/>
    </row>
    <row r="246" spans="1:1" x14ac:dyDescent="0.3">
      <c r="A246" s="74"/>
    </row>
  </sheetData>
  <mergeCells count="258">
    <mergeCell ref="B1:I1"/>
    <mergeCell ref="O1:U1"/>
    <mergeCell ref="N2:U2"/>
    <mergeCell ref="N3:U3"/>
    <mergeCell ref="A4:B4"/>
    <mergeCell ref="C4:E4"/>
    <mergeCell ref="N4:O4"/>
    <mergeCell ref="P4:Q4"/>
    <mergeCell ref="T9:U9"/>
    <mergeCell ref="F11:G11"/>
    <mergeCell ref="R11:S11"/>
    <mergeCell ref="F12:G12"/>
    <mergeCell ref="N12:O12"/>
    <mergeCell ref="P12:Q12"/>
    <mergeCell ref="R12:S12"/>
    <mergeCell ref="A7:I7"/>
    <mergeCell ref="N7:U7"/>
    <mergeCell ref="N8:O8"/>
    <mergeCell ref="P8:Q8"/>
    <mergeCell ref="R8:S8"/>
    <mergeCell ref="T8:U8"/>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A39:B39"/>
    <mergeCell ref="N39:O39"/>
    <mergeCell ref="P39:T39"/>
    <mergeCell ref="A40:B40"/>
    <mergeCell ref="N40:O40"/>
    <mergeCell ref="P40:T40"/>
    <mergeCell ref="F34:H37"/>
    <mergeCell ref="N35:T35"/>
    <mergeCell ref="A37:B37"/>
    <mergeCell ref="N37:O37"/>
    <mergeCell ref="P37:T37"/>
    <mergeCell ref="A38:B38"/>
    <mergeCell ref="N38:O38"/>
    <mergeCell ref="P38:T38"/>
    <mergeCell ref="A43:B43"/>
    <mergeCell ref="N43:O43"/>
    <mergeCell ref="P43:T43"/>
    <mergeCell ref="N44:Q44"/>
    <mergeCell ref="S44:T44"/>
    <mergeCell ref="N46:Q46"/>
    <mergeCell ref="S46:T46"/>
    <mergeCell ref="A41:B41"/>
    <mergeCell ref="N41:O41"/>
    <mergeCell ref="P41:T41"/>
    <mergeCell ref="A42:B42"/>
    <mergeCell ref="N42:O42"/>
    <mergeCell ref="P42:T42"/>
    <mergeCell ref="P56:Q56"/>
    <mergeCell ref="A57:B65"/>
    <mergeCell ref="N57:O65"/>
    <mergeCell ref="P57:Q57"/>
    <mergeCell ref="P58:Q58"/>
    <mergeCell ref="P59:Q59"/>
    <mergeCell ref="P60:Q60"/>
    <mergeCell ref="P61:Q61"/>
    <mergeCell ref="P62:Q62"/>
    <mergeCell ref="P63:Q63"/>
    <mergeCell ref="N70:S70"/>
    <mergeCell ref="T70:U70"/>
    <mergeCell ref="A72:B72"/>
    <mergeCell ref="D72:G72"/>
    <mergeCell ref="N72:O72"/>
    <mergeCell ref="Q72:S72"/>
    <mergeCell ref="T72:U72"/>
    <mergeCell ref="P64:Q64"/>
    <mergeCell ref="P65:Q65"/>
    <mergeCell ref="F66:H66"/>
    <mergeCell ref="P66:Q66"/>
    <mergeCell ref="R66:T66"/>
    <mergeCell ref="A69:B69"/>
    <mergeCell ref="D69:G69"/>
    <mergeCell ref="N69:O69"/>
    <mergeCell ref="Q69:S69"/>
    <mergeCell ref="T69:U69"/>
    <mergeCell ref="N76:S76"/>
    <mergeCell ref="T76:U76"/>
    <mergeCell ref="A78:B78"/>
    <mergeCell ref="D78:G78"/>
    <mergeCell ref="N78:O78"/>
    <mergeCell ref="Q78:S78"/>
    <mergeCell ref="T78:U78"/>
    <mergeCell ref="N73:S73"/>
    <mergeCell ref="T73:U73"/>
    <mergeCell ref="A75:B75"/>
    <mergeCell ref="D75:G75"/>
    <mergeCell ref="N75:O75"/>
    <mergeCell ref="Q75:S75"/>
    <mergeCell ref="T75:U75"/>
    <mergeCell ref="N82:S82"/>
    <mergeCell ref="T82:U82"/>
    <mergeCell ref="A87:C87"/>
    <mergeCell ref="N87:P87"/>
    <mergeCell ref="A88:C88"/>
    <mergeCell ref="N88:P88"/>
    <mergeCell ref="N79:S79"/>
    <mergeCell ref="T79:U79"/>
    <mergeCell ref="A81:B81"/>
    <mergeCell ref="D81:G81"/>
    <mergeCell ref="N81:O81"/>
    <mergeCell ref="Q81:S81"/>
    <mergeCell ref="T81:U81"/>
    <mergeCell ref="R103:U103"/>
    <mergeCell ref="C104:D104"/>
    <mergeCell ref="P104:Q104"/>
    <mergeCell ref="C105:D105"/>
    <mergeCell ref="P105:Q105"/>
    <mergeCell ref="C106:D106"/>
    <mergeCell ref="P106:Q106"/>
    <mergeCell ref="A94:C94"/>
    <mergeCell ref="N94:P94"/>
    <mergeCell ref="A96:C96"/>
    <mergeCell ref="N96:P96"/>
    <mergeCell ref="C102:D102"/>
    <mergeCell ref="C103:D103"/>
    <mergeCell ref="N103:O103"/>
    <mergeCell ref="P103:Q103"/>
    <mergeCell ref="A113:B113"/>
    <mergeCell ref="N113:O113"/>
    <mergeCell ref="P113:R113"/>
    <mergeCell ref="A114:B114"/>
    <mergeCell ref="N114:O114"/>
    <mergeCell ref="P114:R114"/>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33:G133"/>
    <mergeCell ref="N135:U135"/>
    <mergeCell ref="N136:U136"/>
    <mergeCell ref="N155:U155"/>
    <mergeCell ref="A126:C126"/>
    <mergeCell ref="F126:H126"/>
    <mergeCell ref="N126:P126"/>
    <mergeCell ref="A128:H128"/>
    <mergeCell ref="N130:T130"/>
    <mergeCell ref="A132:G132"/>
    <mergeCell ref="N132:T132"/>
  </mergeCells>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CC"/>
  </sheetPr>
  <dimension ref="A1:V246"/>
  <sheetViews>
    <sheetView topLeftCell="A113" workbookViewId="0">
      <selection activeCell="I139" sqref="I139"/>
    </sheetView>
  </sheetViews>
  <sheetFormatPr defaultColWidth="9.109375" defaultRowHeight="15.6" x14ac:dyDescent="0.3"/>
  <cols>
    <col min="1" max="1" width="10.33203125" style="630" customWidth="1"/>
    <col min="2" max="2" width="30.33203125" style="3" bestFit="1" customWidth="1"/>
    <col min="3" max="3" width="11.6640625" style="3" bestFit="1" customWidth="1"/>
    <col min="4" max="4" width="10.6640625" style="3" customWidth="1"/>
    <col min="5" max="5" width="11.6640625" style="3" customWidth="1"/>
    <col min="6" max="6" width="18" style="3" bestFit="1" customWidth="1"/>
    <col min="7" max="7" width="7.44140625" style="3" customWidth="1"/>
    <col min="8" max="8" width="14.5546875" style="3" customWidth="1"/>
    <col min="9" max="9" width="23.6640625" style="3" bestFit="1" customWidth="1"/>
    <col min="10" max="10" width="11" style="3" bestFit="1" customWidth="1"/>
    <col min="11" max="11" width="12.6640625" style="3" bestFit="1" customWidth="1"/>
    <col min="12" max="12" width="10.33203125" style="3" bestFit="1" customWidth="1"/>
    <col min="13" max="13" width="9.109375" style="3"/>
    <col min="14" max="14" width="10.33203125" style="630"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v>50</v>
      </c>
      <c r="B1" s="799" t="s">
        <v>15</v>
      </c>
      <c r="C1" s="800"/>
      <c r="D1" s="800"/>
      <c r="E1" s="800"/>
      <c r="F1" s="800"/>
      <c r="G1" s="800"/>
      <c r="H1" s="800"/>
      <c r="I1" s="800"/>
      <c r="J1" s="135"/>
      <c r="K1" s="135"/>
      <c r="L1" s="135"/>
      <c r="N1" s="82">
        <f>A1</f>
        <v>50</v>
      </c>
      <c r="O1" s="880" t="s">
        <v>15</v>
      </c>
      <c r="P1" s="881"/>
      <c r="Q1" s="881"/>
      <c r="R1" s="881"/>
      <c r="S1" s="881"/>
      <c r="T1" s="881"/>
      <c r="U1" s="881"/>
    </row>
    <row r="2" spans="1:21" ht="21" x14ac:dyDescent="0.4">
      <c r="A2" s="1" t="s">
        <v>583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
        <v>617</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651"/>
      <c r="O5" s="651"/>
      <c r="P5" s="652"/>
      <c r="Q5" s="652"/>
      <c r="R5" s="5"/>
      <c r="S5" s="5"/>
      <c r="T5" s="5"/>
      <c r="U5" s="5"/>
    </row>
    <row r="6" spans="1:21" ht="12" customHeight="1" x14ac:dyDescent="0.3">
      <c r="A6" s="653"/>
      <c r="B6" s="653"/>
      <c r="C6" s="628"/>
      <c r="D6" s="628"/>
      <c r="E6" s="628"/>
      <c r="F6" s="4"/>
      <c r="G6" s="4"/>
      <c r="H6" s="4"/>
      <c r="I6" s="4"/>
      <c r="N6" s="651"/>
      <c r="O6" s="651"/>
      <c r="P6" s="652"/>
      <c r="Q6" s="652"/>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v>5330.98</v>
      </c>
      <c r="D8" s="86"/>
      <c r="E8" s="87"/>
      <c r="F8" s="84"/>
      <c r="G8" s="85" t="s">
        <v>455</v>
      </c>
      <c r="H8" s="286">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v>1</v>
      </c>
      <c r="I9" s="75"/>
      <c r="N9" s="654"/>
      <c r="O9" s="654"/>
      <c r="P9" s="655"/>
      <c r="Q9" s="655"/>
      <c r="R9" s="649" t="s">
        <v>454</v>
      </c>
      <c r="S9" s="649"/>
      <c r="T9" s="879">
        <f>H9</f>
        <v>1</v>
      </c>
      <c r="U9" s="879"/>
    </row>
    <row r="10" spans="1:21" x14ac:dyDescent="0.3">
      <c r="A10" s="7"/>
      <c r="B10" s="7" t="s">
        <v>328</v>
      </c>
      <c r="C10" s="8" t="s">
        <v>328</v>
      </c>
      <c r="D10" s="8" t="s">
        <v>328</v>
      </c>
      <c r="E10" s="8"/>
      <c r="F10" s="9"/>
      <c r="G10" s="9"/>
      <c r="H10" s="10"/>
      <c r="I10" s="340" t="s">
        <v>574</v>
      </c>
      <c r="N10" s="654"/>
      <c r="O10" s="654"/>
      <c r="P10" s="655"/>
      <c r="Q10" s="655"/>
      <c r="R10" s="14"/>
      <c r="S10" s="14"/>
      <c r="T10" s="15"/>
      <c r="U10" s="409" t="str">
        <f>I10</f>
        <v>2024-25</v>
      </c>
    </row>
    <row r="11" spans="1:21" x14ac:dyDescent="0.3">
      <c r="A11" s="7"/>
      <c r="B11" s="7"/>
      <c r="C11" s="88" t="s">
        <v>581</v>
      </c>
      <c r="D11" s="348" t="s">
        <v>582</v>
      </c>
      <c r="E11" s="89" t="s">
        <v>8</v>
      </c>
      <c r="F11" s="804" t="s">
        <v>1</v>
      </c>
      <c r="G11" s="804"/>
      <c r="H11" s="10" t="s">
        <v>60</v>
      </c>
      <c r="I11" s="11" t="s">
        <v>27</v>
      </c>
      <c r="N11" s="654"/>
      <c r="O11" s="654"/>
      <c r="P11" s="655"/>
      <c r="Q11" s="655"/>
      <c r="R11" s="870" t="s">
        <v>1</v>
      </c>
      <c r="S11" s="870"/>
      <c r="T11" s="15" t="s">
        <v>60</v>
      </c>
      <c r="U11" s="16" t="s">
        <v>27</v>
      </c>
    </row>
    <row r="12" spans="1:21" ht="15.75" customHeight="1" x14ac:dyDescent="0.3">
      <c r="A12" s="36" t="s">
        <v>1</v>
      </c>
      <c r="B12" s="36"/>
      <c r="C12" s="339" t="s">
        <v>2</v>
      </c>
      <c r="D12" s="339" t="s">
        <v>2</v>
      </c>
      <c r="E12" s="90"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629"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IF(D$30=0,C18*2,C18+D18)</f>
        <v>0</v>
      </c>
      <c r="F18" s="859">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1</v>
      </c>
      <c r="D19" s="143">
        <v>1.02</v>
      </c>
      <c r="E19" s="116">
        <f t="shared" si="1"/>
        <v>2.02</v>
      </c>
      <c r="F19" s="859">
        <v>0.97799999999999998</v>
      </c>
      <c r="G19" s="859"/>
      <c r="H19" s="80">
        <f>ROUND(E19*F19,4)</f>
        <v>1.9756</v>
      </c>
      <c r="I19" s="101">
        <f>ROUND(ROUND(ROUND(H19*$C$8,4)*($H$8),2)*(MAX($H$9,1)),2)</f>
        <v>10961.58</v>
      </c>
      <c r="J19" s="65" t="str">
        <f>IF(ROUND(E19,2)=ROUND(SUM(E63:E65),2)," ","CHECK 4-8 LINES BELOW")</f>
        <v xml:space="preserve"> </v>
      </c>
      <c r="N19" s="818" t="s">
        <v>25</v>
      </c>
      <c r="O19" s="818"/>
      <c r="P19" s="860">
        <f t="shared" si="0"/>
        <v>2.02</v>
      </c>
      <c r="Q19" s="860"/>
      <c r="R19" s="864">
        <v>1</v>
      </c>
      <c r="S19" s="864"/>
      <c r="T19" s="95">
        <f t="shared" si="4"/>
        <v>2.02</v>
      </c>
      <c r="U19" s="522">
        <f t="shared" si="5"/>
        <v>11207.94</v>
      </c>
    </row>
    <row r="20" spans="1:21" x14ac:dyDescent="0.3">
      <c r="A20" s="776" t="s">
        <v>79</v>
      </c>
      <c r="B20" s="776"/>
      <c r="C20" s="143">
        <v>0</v>
      </c>
      <c r="D20" s="143">
        <v>0</v>
      </c>
      <c r="E20" s="116">
        <f t="shared" si="1"/>
        <v>0</v>
      </c>
      <c r="F20" s="859">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3.47</v>
      </c>
      <c r="D22" s="143">
        <v>4.47</v>
      </c>
      <c r="E22" s="116">
        <f t="shared" si="1"/>
        <v>7.9399999999999995</v>
      </c>
      <c r="F22" s="859">
        <v>3.6970000000000001</v>
      </c>
      <c r="G22" s="859"/>
      <c r="H22" s="80">
        <f t="shared" si="2"/>
        <v>29.354199999999999</v>
      </c>
      <c r="I22" s="101">
        <f t="shared" si="3"/>
        <v>162871.31</v>
      </c>
      <c r="N22" s="818" t="s">
        <v>81</v>
      </c>
      <c r="O22" s="818"/>
      <c r="P22" s="860">
        <f t="shared" si="0"/>
        <v>7.9399999999999995</v>
      </c>
      <c r="Q22" s="860"/>
      <c r="R22" s="864">
        <v>1</v>
      </c>
      <c r="S22" s="864"/>
      <c r="T22" s="95">
        <f t="shared" si="4"/>
        <v>7.94</v>
      </c>
      <c r="U22" s="523">
        <f t="shared" si="5"/>
        <v>44054.96</v>
      </c>
    </row>
    <row r="23" spans="1:21" x14ac:dyDescent="0.3">
      <c r="A23" s="776" t="s">
        <v>82</v>
      </c>
      <c r="B23" s="776"/>
      <c r="C23" s="143">
        <v>0</v>
      </c>
      <c r="D23" s="143">
        <v>0</v>
      </c>
      <c r="E23" s="116">
        <f t="shared" si="1"/>
        <v>0</v>
      </c>
      <c r="F23" s="859">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1</v>
      </c>
      <c r="D25" s="143">
        <v>0.5</v>
      </c>
      <c r="E25" s="116">
        <f t="shared" si="1"/>
        <v>1.5</v>
      </c>
      <c r="F25" s="859">
        <v>5.992</v>
      </c>
      <c r="G25" s="859"/>
      <c r="H25" s="80">
        <f t="shared" si="2"/>
        <v>8.9879999999999995</v>
      </c>
      <c r="I25" s="101">
        <f t="shared" si="3"/>
        <v>49869.77</v>
      </c>
      <c r="N25" s="818" t="s">
        <v>84</v>
      </c>
      <c r="O25" s="818"/>
      <c r="P25" s="860">
        <f t="shared" si="0"/>
        <v>1.5</v>
      </c>
      <c r="Q25" s="860"/>
      <c r="R25" s="864">
        <v>1</v>
      </c>
      <c r="S25" s="864"/>
      <c r="T25" s="95">
        <f t="shared" si="4"/>
        <v>1.5</v>
      </c>
      <c r="U25" s="523">
        <f t="shared" si="5"/>
        <v>8322.73</v>
      </c>
    </row>
    <row r="26" spans="1:21" x14ac:dyDescent="0.3">
      <c r="A26" s="776" t="s">
        <v>85</v>
      </c>
      <c r="B26" s="776"/>
      <c r="C26" s="143">
        <v>0</v>
      </c>
      <c r="D26" s="143">
        <v>0</v>
      </c>
      <c r="E26" s="116">
        <f t="shared" si="1"/>
        <v>0</v>
      </c>
      <c r="F26" s="859">
        <v>1.1919999999999999</v>
      </c>
      <c r="G26" s="859"/>
      <c r="H26" s="80">
        <f t="shared" si="2"/>
        <v>0</v>
      </c>
      <c r="I26" s="101">
        <f t="shared" si="3"/>
        <v>0</v>
      </c>
      <c r="L26" s="250"/>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v>1.1919999999999999</v>
      </c>
      <c r="G27" s="859"/>
      <c r="H27" s="80">
        <f t="shared" si="2"/>
        <v>0</v>
      </c>
      <c r="I27" s="101">
        <f t="shared" si="3"/>
        <v>0</v>
      </c>
      <c r="L27" s="250"/>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5.4700000000000006</v>
      </c>
      <c r="D30" s="94">
        <f>SUM(D14:D29)</f>
        <v>5.99</v>
      </c>
      <c r="E30" s="94">
        <f>SUM(E14:E29)</f>
        <v>11.459999999999999</v>
      </c>
      <c r="F30" s="795"/>
      <c r="G30" s="795"/>
      <c r="H30" s="99">
        <f>SUM(H14:H29)</f>
        <v>40.317799999999998</v>
      </c>
      <c r="I30" s="94">
        <f>SUM(I14:I29)</f>
        <v>223702.65999999997</v>
      </c>
      <c r="N30" s="862" t="s">
        <v>5</v>
      </c>
      <c r="O30" s="862"/>
      <c r="P30" s="863">
        <f>SUM(P14:P29)</f>
        <v>11.459999999999999</v>
      </c>
      <c r="Q30" s="863"/>
      <c r="R30" s="852"/>
      <c r="S30" s="852"/>
      <c r="T30" s="100">
        <f>SUM(T14:T29)</f>
        <v>11.46</v>
      </c>
      <c r="U30" s="523">
        <f>SUM(U14:U29)</f>
        <v>63585.630000000005</v>
      </c>
    </row>
    <row r="31" spans="1:21" hidden="1" x14ac:dyDescent="0.3">
      <c r="A31" s="634"/>
      <c r="B31" s="634"/>
      <c r="C31" s="101"/>
      <c r="D31" s="101"/>
      <c r="E31" s="101"/>
      <c r="F31" s="631"/>
      <c r="G31" s="631"/>
      <c r="H31" s="80"/>
      <c r="I31" s="101"/>
      <c r="N31" s="638"/>
      <c r="O31" s="638"/>
      <c r="P31" s="29"/>
      <c r="Q31" s="29"/>
      <c r="R31" s="644"/>
      <c r="S31" s="644"/>
      <c r="T31" s="102"/>
      <c r="U31" s="103"/>
    </row>
    <row r="32" spans="1:21" hidden="1" x14ac:dyDescent="0.3">
      <c r="A32" s="281" t="s">
        <v>251</v>
      </c>
      <c r="B32" s="634"/>
      <c r="C32" s="101"/>
      <c r="D32" s="101"/>
      <c r="E32" s="101"/>
      <c r="F32" s="631"/>
      <c r="G32" s="631"/>
      <c r="H32" s="80"/>
      <c r="I32" s="101"/>
      <c r="N32" s="638"/>
      <c r="O32" s="638"/>
      <c r="P32" s="29"/>
      <c r="Q32" s="29"/>
      <c r="R32" s="644"/>
      <c r="S32" s="644"/>
      <c r="T32" s="102"/>
      <c r="U32" s="103"/>
    </row>
    <row r="33" spans="1:21" hidden="1" x14ac:dyDescent="0.3">
      <c r="A33" s="146"/>
      <c r="B33" s="634"/>
      <c r="C33" s="101"/>
      <c r="D33" s="101"/>
      <c r="E33" s="101"/>
      <c r="F33" s="631"/>
      <c r="G33" s="631"/>
      <c r="H33" s="80"/>
      <c r="I33" s="101"/>
      <c r="N33" s="638"/>
      <c r="O33" s="638"/>
      <c r="P33" s="29"/>
      <c r="Q33" s="29"/>
      <c r="R33" s="644"/>
      <c r="S33" s="644"/>
      <c r="T33" s="102"/>
      <c r="U33" s="103"/>
    </row>
    <row r="34" spans="1:21" hidden="1" x14ac:dyDescent="0.3">
      <c r="A34" s="146"/>
      <c r="B34" s="634"/>
      <c r="C34" s="101"/>
      <c r="D34" s="101"/>
      <c r="E34" s="101"/>
      <c r="F34" s="854" t="s">
        <v>232</v>
      </c>
      <c r="G34" s="854"/>
      <c r="H34" s="854"/>
      <c r="I34" s="101"/>
      <c r="N34" s="638"/>
      <c r="O34" s="638"/>
      <c r="P34" s="29"/>
      <c r="Q34" s="29"/>
      <c r="R34" s="644"/>
      <c r="S34" s="644"/>
      <c r="T34" s="102"/>
      <c r="U34" s="103"/>
    </row>
    <row r="35" spans="1:21" ht="15.6" hidden="1" customHeight="1" x14ac:dyDescent="0.3">
      <c r="A35" s="3"/>
      <c r="B35" s="630"/>
      <c r="C35" s="630"/>
      <c r="D35" s="630"/>
      <c r="E35" s="630"/>
      <c r="F35" s="854"/>
      <c r="G35" s="854"/>
      <c r="H35" s="854"/>
      <c r="I35" s="24" t="str">
        <f>I10</f>
        <v>2024-25</v>
      </c>
      <c r="N35" s="822" t="s">
        <v>26</v>
      </c>
      <c r="O35" s="822"/>
      <c r="P35" s="822"/>
      <c r="Q35" s="822"/>
      <c r="R35" s="822"/>
      <c r="S35" s="822"/>
      <c r="T35" s="822"/>
      <c r="U35" s="25" t="str">
        <f>I35</f>
        <v>2024-25</v>
      </c>
    </row>
    <row r="36" spans="1:21" hidden="1" x14ac:dyDescent="0.3">
      <c r="A36" s="634"/>
      <c r="B36" s="634"/>
      <c r="C36" s="88" t="s">
        <v>347</v>
      </c>
      <c r="D36" s="88"/>
      <c r="E36" s="89" t="s">
        <v>8</v>
      </c>
      <c r="F36" s="854"/>
      <c r="G36" s="854"/>
      <c r="H36" s="854"/>
      <c r="I36" s="24" t="s">
        <v>27</v>
      </c>
      <c r="N36" s="638"/>
      <c r="O36" s="638"/>
      <c r="P36" s="29"/>
      <c r="Q36" s="29"/>
      <c r="R36" s="644"/>
      <c r="S36" s="644"/>
      <c r="T36" s="102"/>
      <c r="U36" s="25" t="s">
        <v>27</v>
      </c>
    </row>
    <row r="37" spans="1:21" ht="27.6" hidden="1" x14ac:dyDescent="0.3">
      <c r="A37" s="796" t="s">
        <v>50</v>
      </c>
      <c r="B37" s="796"/>
      <c r="C37" s="339" t="s">
        <v>2</v>
      </c>
      <c r="D37" s="339"/>
      <c r="E37" s="90" t="s">
        <v>2</v>
      </c>
      <c r="F37" s="855"/>
      <c r="G37" s="855"/>
      <c r="H37" s="855"/>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638"/>
      <c r="O45" s="638"/>
      <c r="P45" s="638"/>
      <c r="Q45" s="638"/>
      <c r="R45" s="33"/>
      <c r="S45" s="644"/>
      <c r="T45" s="644"/>
      <c r="U45" s="103"/>
    </row>
    <row r="46" spans="1:21" ht="16.2" hidden="1" thickBot="1" x14ac:dyDescent="0.35">
      <c r="A46" s="3"/>
      <c r="B46" s="52" t="s">
        <v>96</v>
      </c>
      <c r="E46" s="152">
        <f>H30+E44</f>
        <v>40.317799999999998</v>
      </c>
      <c r="F46" s="34"/>
      <c r="G46" s="106"/>
      <c r="H46" s="107" t="s">
        <v>98</v>
      </c>
      <c r="I46" s="94">
        <f>SUM(I44,I30)</f>
        <v>223702.65999999997</v>
      </c>
      <c r="N46" s="847" t="s">
        <v>44</v>
      </c>
      <c r="O46" s="847"/>
      <c r="P46" s="847"/>
      <c r="Q46" s="847"/>
      <c r="R46" s="35">
        <f>R44+T30</f>
        <v>11.46</v>
      </c>
      <c r="S46" s="852" t="s">
        <v>42</v>
      </c>
      <c r="T46" s="852"/>
      <c r="U46" s="108">
        <f>SUM(U44,U30)</f>
        <v>63585.630000000005</v>
      </c>
    </row>
    <row r="47" spans="1:21" x14ac:dyDescent="0.3">
      <c r="A47" s="634"/>
      <c r="B47" s="634"/>
      <c r="C47" s="634"/>
      <c r="D47" s="634"/>
      <c r="E47" s="634"/>
      <c r="F47" s="34"/>
      <c r="G47" s="631"/>
      <c r="H47" s="631"/>
      <c r="I47" s="101"/>
      <c r="N47" s="638"/>
      <c r="O47" s="638"/>
      <c r="P47" s="638"/>
      <c r="Q47" s="638"/>
      <c r="R47" s="35"/>
      <c r="S47" s="644"/>
      <c r="T47" s="644"/>
      <c r="U47" s="103"/>
    </row>
    <row r="48" spans="1:21" x14ac:dyDescent="0.3">
      <c r="A48" s="632" t="s">
        <v>458</v>
      </c>
      <c r="B48" s="634"/>
      <c r="C48" s="634"/>
      <c r="D48" s="634"/>
      <c r="E48" s="634"/>
      <c r="F48" s="34"/>
      <c r="G48" s="631"/>
      <c r="H48" s="631"/>
      <c r="I48" s="101"/>
      <c r="N48" s="636" t="s">
        <v>458</v>
      </c>
      <c r="O48" s="638"/>
      <c r="P48" s="638"/>
      <c r="Q48" s="638"/>
      <c r="R48" s="35"/>
      <c r="S48" s="644"/>
      <c r="T48" s="644"/>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2" t="s">
        <v>592</v>
      </c>
      <c r="F50" s="443"/>
      <c r="G50" s="444"/>
      <c r="H50" s="444"/>
      <c r="I50" s="445"/>
      <c r="N50" s="463" t="s">
        <v>592</v>
      </c>
      <c r="O50" s="446"/>
      <c r="P50" s="446"/>
      <c r="Q50" s="446"/>
      <c r="R50" s="447"/>
      <c r="S50" s="448"/>
      <c r="T50" s="448"/>
      <c r="U50" s="455"/>
    </row>
    <row r="51" spans="1:22" x14ac:dyDescent="0.3">
      <c r="A51" s="440"/>
      <c r="B51" s="3" t="s">
        <v>577</v>
      </c>
      <c r="C51" s="634"/>
      <c r="D51" s="634"/>
      <c r="E51" s="623" t="s">
        <v>461</v>
      </c>
      <c r="F51" s="451">
        <v>195467.53999999998</v>
      </c>
      <c r="G51" s="109" t="s">
        <v>6</v>
      </c>
      <c r="H51" s="452">
        <v>5.5899999999999998E-2</v>
      </c>
      <c r="I51" s="101">
        <f>ROUND(F51*H51,2)</f>
        <v>10926.64</v>
      </c>
      <c r="N51" s="457"/>
      <c r="O51" s="51" t="s">
        <v>576</v>
      </c>
      <c r="P51" s="638"/>
      <c r="Q51" s="44" t="s">
        <v>461</v>
      </c>
      <c r="R51" s="459">
        <f>U30</f>
        <v>63585.630000000005</v>
      </c>
      <c r="S51" s="460" t="s">
        <v>6</v>
      </c>
      <c r="T51" s="461">
        <v>5.5899999999999998E-2</v>
      </c>
      <c r="U51" s="453">
        <f>I51</f>
        <v>10926.64</v>
      </c>
    </row>
    <row r="52" spans="1:22" x14ac:dyDescent="0.3">
      <c r="A52" s="634"/>
      <c r="B52" s="632" t="s">
        <v>580</v>
      </c>
      <c r="C52" s="634"/>
      <c r="D52" s="634"/>
      <c r="E52" s="623" t="s">
        <v>461</v>
      </c>
      <c r="F52" s="451">
        <v>195467.53999999998</v>
      </c>
      <c r="G52" s="109" t="s">
        <v>6</v>
      </c>
      <c r="H52" s="452">
        <v>1.0699999999999999E-2</v>
      </c>
      <c r="I52" s="101">
        <f>ROUND(F52*H52,2)</f>
        <v>2091.5</v>
      </c>
      <c r="N52" s="638"/>
      <c r="O52" s="636" t="s">
        <v>579</v>
      </c>
      <c r="P52" s="638"/>
      <c r="Q52" s="44" t="s">
        <v>461</v>
      </c>
      <c r="R52" s="459">
        <f>U30</f>
        <v>63585.630000000005</v>
      </c>
      <c r="S52" s="460" t="s">
        <v>6</v>
      </c>
      <c r="T52" s="461">
        <v>1.0699999999999999E-2</v>
      </c>
      <c r="U52" s="462">
        <f>I52</f>
        <v>2091.5</v>
      </c>
    </row>
    <row r="53" spans="1:22" x14ac:dyDescent="0.3">
      <c r="A53" s="634"/>
      <c r="B53" s="632" t="s">
        <v>462</v>
      </c>
      <c r="C53" s="634"/>
      <c r="D53" s="634"/>
      <c r="E53" s="623"/>
      <c r="F53" s="451"/>
      <c r="G53" s="109"/>
      <c r="H53" s="452"/>
      <c r="I53" s="97">
        <f>SUM(I51:I52)</f>
        <v>13018.14</v>
      </c>
      <c r="N53" s="638"/>
      <c r="O53" s="636" t="s">
        <v>462</v>
      </c>
      <c r="P53" s="638"/>
      <c r="Q53" s="44"/>
      <c r="R53" s="459"/>
      <c r="S53" s="460"/>
      <c r="T53" s="461"/>
      <c r="U53" s="453">
        <f>SUM(U51:U52)</f>
        <v>13018.14</v>
      </c>
    </row>
    <row r="54" spans="1:22" x14ac:dyDescent="0.3">
      <c r="A54" s="241"/>
      <c r="C54" s="626" t="s">
        <v>505</v>
      </c>
      <c r="D54" s="626" t="s">
        <v>505</v>
      </c>
      <c r="G54" s="42"/>
      <c r="H54" s="114"/>
      <c r="I54" s="114"/>
      <c r="N54" s="511"/>
      <c r="O54" s="51"/>
      <c r="P54" s="40" t="s">
        <v>505</v>
      </c>
      <c r="Q54" s="40" t="s">
        <v>505</v>
      </c>
      <c r="R54" s="51"/>
      <c r="S54" s="51"/>
      <c r="T54" s="512"/>
      <c r="U54" s="513"/>
      <c r="V54" s="114"/>
    </row>
    <row r="55" spans="1:22" x14ac:dyDescent="0.3">
      <c r="A55" s="634"/>
      <c r="B55" s="634"/>
      <c r="C55" s="88" t="s">
        <v>581</v>
      </c>
      <c r="D55" s="348" t="s">
        <v>582</v>
      </c>
      <c r="E55" s="89" t="s">
        <v>8</v>
      </c>
      <c r="F55" s="46" t="s">
        <v>499</v>
      </c>
      <c r="G55" s="109" t="s">
        <v>500</v>
      </c>
      <c r="H55" s="504" t="s">
        <v>501</v>
      </c>
      <c r="I55" s="101"/>
      <c r="N55" s="638"/>
      <c r="O55" s="638"/>
      <c r="P55" s="514"/>
      <c r="Q55" s="515"/>
      <c r="R55" s="516"/>
      <c r="S55" s="518" t="s">
        <v>500</v>
      </c>
      <c r="T55" s="519" t="s">
        <v>501</v>
      </c>
      <c r="U55" s="517"/>
      <c r="V55" s="474"/>
    </row>
    <row r="56" spans="1:22" x14ac:dyDescent="0.3">
      <c r="A56" s="36" t="s">
        <v>502</v>
      </c>
      <c r="B56" s="36"/>
      <c r="C56" s="339" t="s">
        <v>2</v>
      </c>
      <c r="D56" s="339" t="s">
        <v>2</v>
      </c>
      <c r="E56" s="90" t="s">
        <v>2</v>
      </c>
      <c r="F56" s="629" t="s">
        <v>503</v>
      </c>
      <c r="G56" s="625" t="s">
        <v>503</v>
      </c>
      <c r="H56" s="505" t="s">
        <v>504</v>
      </c>
      <c r="I56" s="36"/>
      <c r="N56" s="509" t="s">
        <v>502</v>
      </c>
      <c r="O56" s="509"/>
      <c r="P56" s="848" t="s">
        <v>2</v>
      </c>
      <c r="Q56" s="848"/>
      <c r="R56" s="509" t="s">
        <v>508</v>
      </c>
      <c r="S56" s="650" t="s">
        <v>503</v>
      </c>
      <c r="T56" s="520" t="s">
        <v>504</v>
      </c>
      <c r="U56" s="509"/>
      <c r="V56" s="508"/>
    </row>
    <row r="57" spans="1:22" x14ac:dyDescent="0.3">
      <c r="A57" s="791" t="s">
        <v>506</v>
      </c>
      <c r="B57" s="791"/>
      <c r="C57" s="143">
        <v>0</v>
      </c>
      <c r="D57" s="143">
        <v>0</v>
      </c>
      <c r="E57" s="116">
        <f t="shared" ref="E57:E59" si="10">IF(D$72=0,C57*2,C57+D57)</f>
        <v>0</v>
      </c>
      <c r="F57" s="624" t="s">
        <v>498</v>
      </c>
      <c r="G57" s="624">
        <v>251</v>
      </c>
      <c r="H57" s="507">
        <v>1047</v>
      </c>
      <c r="I57" s="101">
        <f>ROUND(E57*H57,2)</f>
        <v>0</v>
      </c>
      <c r="N57" s="849" t="s">
        <v>506</v>
      </c>
      <c r="O57" s="849"/>
      <c r="P57" s="851"/>
      <c r="Q57" s="851"/>
      <c r="R57" s="646" t="s">
        <v>498</v>
      </c>
      <c r="S57" s="646">
        <v>251</v>
      </c>
      <c r="T57" s="510">
        <f>H57</f>
        <v>1047</v>
      </c>
      <c r="U57" s="524">
        <f>ROUND(P57*T57,2)</f>
        <v>0</v>
      </c>
      <c r="V57" s="474"/>
    </row>
    <row r="58" spans="1:22" x14ac:dyDescent="0.3">
      <c r="A58" s="792"/>
      <c r="B58" s="792"/>
      <c r="C58" s="143">
        <v>0</v>
      </c>
      <c r="D58" s="143">
        <v>0</v>
      </c>
      <c r="E58" s="116">
        <f t="shared" si="10"/>
        <v>0</v>
      </c>
      <c r="F58" s="624" t="s">
        <v>498</v>
      </c>
      <c r="G58" s="624">
        <v>252</v>
      </c>
      <c r="H58" s="507">
        <v>3380</v>
      </c>
      <c r="I58" s="101">
        <f t="shared" ref="I58:I65" si="11">ROUND(E58*H58,2)</f>
        <v>0</v>
      </c>
      <c r="N58" s="850"/>
      <c r="O58" s="850"/>
      <c r="P58" s="844"/>
      <c r="Q58" s="844"/>
      <c r="R58" s="646" t="s">
        <v>498</v>
      </c>
      <c r="S58" s="646">
        <v>252</v>
      </c>
      <c r="T58" s="510">
        <f t="shared" ref="T58:T65" si="12">H58</f>
        <v>3380</v>
      </c>
      <c r="U58" s="524">
        <f t="shared" ref="U58:U65" si="13">ROUND(P58*T58,2)</f>
        <v>0</v>
      </c>
      <c r="V58" s="474"/>
    </row>
    <row r="59" spans="1:22" x14ac:dyDescent="0.3">
      <c r="A59" s="792"/>
      <c r="B59" s="792"/>
      <c r="C59" s="143">
        <v>0</v>
      </c>
      <c r="D59" s="143">
        <v>0</v>
      </c>
      <c r="E59" s="116">
        <f t="shared" si="10"/>
        <v>0</v>
      </c>
      <c r="F59" s="624" t="s">
        <v>498</v>
      </c>
      <c r="G59" s="624">
        <v>253</v>
      </c>
      <c r="H59" s="507">
        <v>6896</v>
      </c>
      <c r="I59" s="101">
        <f t="shared" si="11"/>
        <v>0</v>
      </c>
      <c r="N59" s="850"/>
      <c r="O59" s="850"/>
      <c r="P59" s="844"/>
      <c r="Q59" s="844"/>
      <c r="R59" s="646" t="s">
        <v>498</v>
      </c>
      <c r="S59" s="646">
        <v>253</v>
      </c>
      <c r="T59" s="510">
        <f t="shared" si="12"/>
        <v>6896</v>
      </c>
      <c r="U59" s="524">
        <f t="shared" si="13"/>
        <v>0</v>
      </c>
      <c r="V59" s="474"/>
    </row>
    <row r="60" spans="1:22" x14ac:dyDescent="0.3">
      <c r="A60" s="792"/>
      <c r="B60" s="792"/>
      <c r="C60" s="143">
        <v>0</v>
      </c>
      <c r="D60" s="143">
        <v>0</v>
      </c>
      <c r="E60" s="116">
        <f t="shared" ref="E60:E65" si="14">IF(D$66=0,C60*2,C60+D60)</f>
        <v>0</v>
      </c>
      <c r="F60" s="626" t="s">
        <v>13</v>
      </c>
      <c r="G60" s="624">
        <v>251</v>
      </c>
      <c r="H60" s="507">
        <v>1173</v>
      </c>
      <c r="I60" s="101">
        <f t="shared" si="11"/>
        <v>0</v>
      </c>
      <c r="N60" s="850"/>
      <c r="O60" s="850"/>
      <c r="P60" s="844"/>
      <c r="Q60" s="844"/>
      <c r="R60" s="40" t="s">
        <v>13</v>
      </c>
      <c r="S60" s="646">
        <v>251</v>
      </c>
      <c r="T60" s="510">
        <f t="shared" si="12"/>
        <v>1173</v>
      </c>
      <c r="U60" s="524">
        <f t="shared" si="13"/>
        <v>0</v>
      </c>
      <c r="V60" s="474"/>
    </row>
    <row r="61" spans="1:22" x14ac:dyDescent="0.3">
      <c r="A61" s="792"/>
      <c r="B61" s="792"/>
      <c r="C61" s="143">
        <v>0</v>
      </c>
      <c r="D61" s="143">
        <v>0</v>
      </c>
      <c r="E61" s="116">
        <f t="shared" si="14"/>
        <v>0</v>
      </c>
      <c r="F61" s="626" t="s">
        <v>13</v>
      </c>
      <c r="G61" s="624">
        <v>252</v>
      </c>
      <c r="H61" s="507">
        <v>3506</v>
      </c>
      <c r="I61" s="101">
        <f t="shared" si="11"/>
        <v>0</v>
      </c>
      <c r="N61" s="850"/>
      <c r="O61" s="850"/>
      <c r="P61" s="844"/>
      <c r="Q61" s="844"/>
      <c r="R61" s="40" t="s">
        <v>13</v>
      </c>
      <c r="S61" s="646">
        <v>252</v>
      </c>
      <c r="T61" s="510">
        <f t="shared" si="12"/>
        <v>3506</v>
      </c>
      <c r="U61" s="524">
        <f t="shared" si="13"/>
        <v>0</v>
      </c>
      <c r="V61" s="474"/>
    </row>
    <row r="62" spans="1:22" x14ac:dyDescent="0.3">
      <c r="A62" s="792"/>
      <c r="B62" s="792"/>
      <c r="C62" s="143">
        <v>0</v>
      </c>
      <c r="D62" s="143">
        <v>0</v>
      </c>
      <c r="E62" s="116">
        <f t="shared" si="14"/>
        <v>0</v>
      </c>
      <c r="F62" s="626" t="s">
        <v>13</v>
      </c>
      <c r="G62" s="624">
        <v>253</v>
      </c>
      <c r="H62" s="507">
        <v>7023</v>
      </c>
      <c r="I62" s="101">
        <f t="shared" si="11"/>
        <v>0</v>
      </c>
      <c r="N62" s="850"/>
      <c r="O62" s="850"/>
      <c r="P62" s="844"/>
      <c r="Q62" s="844"/>
      <c r="R62" s="40" t="s">
        <v>13</v>
      </c>
      <c r="S62" s="646">
        <v>253</v>
      </c>
      <c r="T62" s="510">
        <f t="shared" si="12"/>
        <v>7023</v>
      </c>
      <c r="U62" s="524">
        <f t="shared" si="13"/>
        <v>0</v>
      </c>
      <c r="V62" s="474"/>
    </row>
    <row r="63" spans="1:22" x14ac:dyDescent="0.3">
      <c r="A63" s="792"/>
      <c r="B63" s="792"/>
      <c r="C63" s="143"/>
      <c r="D63" s="143"/>
      <c r="E63" s="116">
        <f t="shared" si="14"/>
        <v>0</v>
      </c>
      <c r="F63" s="626" t="s">
        <v>14</v>
      </c>
      <c r="G63" s="624">
        <v>251</v>
      </c>
      <c r="H63" s="507">
        <v>835</v>
      </c>
      <c r="I63" s="101">
        <f>ROUND(E63*H63,2)</f>
        <v>0</v>
      </c>
      <c r="N63" s="850"/>
      <c r="O63" s="850"/>
      <c r="P63" s="844"/>
      <c r="Q63" s="844"/>
      <c r="R63" s="40" t="s">
        <v>14</v>
      </c>
      <c r="S63" s="646">
        <v>251</v>
      </c>
      <c r="T63" s="510">
        <f t="shared" si="12"/>
        <v>835</v>
      </c>
      <c r="U63" s="524">
        <f t="shared" si="13"/>
        <v>0</v>
      </c>
      <c r="V63" s="474"/>
    </row>
    <row r="64" spans="1:22" x14ac:dyDescent="0.3">
      <c r="A64" s="792"/>
      <c r="B64" s="792"/>
      <c r="C64" s="143">
        <v>0</v>
      </c>
      <c r="D64" s="143">
        <v>0</v>
      </c>
      <c r="E64" s="116">
        <f t="shared" si="14"/>
        <v>0</v>
      </c>
      <c r="F64" s="626" t="s">
        <v>14</v>
      </c>
      <c r="G64" s="624">
        <v>252</v>
      </c>
      <c r="H64" s="507">
        <v>3168</v>
      </c>
      <c r="I64" s="101">
        <f t="shared" si="11"/>
        <v>0</v>
      </c>
      <c r="N64" s="850"/>
      <c r="O64" s="850"/>
      <c r="P64" s="844"/>
      <c r="Q64" s="844"/>
      <c r="R64" s="40" t="s">
        <v>14</v>
      </c>
      <c r="S64" s="646">
        <v>252</v>
      </c>
      <c r="T64" s="510">
        <f t="shared" si="12"/>
        <v>3168</v>
      </c>
      <c r="U64" s="524">
        <f t="shared" si="13"/>
        <v>0</v>
      </c>
      <c r="V64" s="474"/>
    </row>
    <row r="65" spans="1:22" ht="16.2" thickBot="1" x14ac:dyDescent="0.35">
      <c r="A65" s="792"/>
      <c r="B65" s="792"/>
      <c r="C65" s="143">
        <v>1</v>
      </c>
      <c r="D65" s="143">
        <v>1.02</v>
      </c>
      <c r="E65" s="116">
        <f t="shared" si="14"/>
        <v>2.02</v>
      </c>
      <c r="F65" s="626" t="s">
        <v>14</v>
      </c>
      <c r="G65" s="624">
        <v>253</v>
      </c>
      <c r="H65" s="507">
        <v>6685</v>
      </c>
      <c r="I65" s="101">
        <f t="shared" si="11"/>
        <v>13503.7</v>
      </c>
      <c r="N65" s="850"/>
      <c r="O65" s="850"/>
      <c r="P65" s="845"/>
      <c r="Q65" s="845"/>
      <c r="R65" s="40" t="s">
        <v>14</v>
      </c>
      <c r="S65" s="646">
        <v>253</v>
      </c>
      <c r="T65" s="510">
        <f t="shared" si="12"/>
        <v>6685</v>
      </c>
      <c r="U65" s="525">
        <f t="shared" si="13"/>
        <v>0</v>
      </c>
      <c r="V65" s="474"/>
    </row>
    <row r="66" spans="1:22" ht="16.2" thickBot="1" x14ac:dyDescent="0.35">
      <c r="A66" s="241"/>
      <c r="C66" s="97">
        <f>SUM(C57:C65)</f>
        <v>1</v>
      </c>
      <c r="D66" s="97">
        <f>SUM(D57:D65)</f>
        <v>1.02</v>
      </c>
      <c r="E66" s="97">
        <f>SUM(E57:E65)</f>
        <v>2.02</v>
      </c>
      <c r="F66" s="779" t="s">
        <v>507</v>
      </c>
      <c r="G66" s="779"/>
      <c r="H66" s="779"/>
      <c r="I66" s="97">
        <f>SUM(I57:I65)</f>
        <v>13503.7</v>
      </c>
      <c r="N66" s="511"/>
      <c r="O66" s="51"/>
      <c r="P66" s="846">
        <f>SUM(P57:P65)</f>
        <v>0</v>
      </c>
      <c r="Q66" s="846"/>
      <c r="R66" s="847" t="s">
        <v>507</v>
      </c>
      <c r="S66" s="847"/>
      <c r="T66" s="847"/>
      <c r="U66" s="526">
        <f>SUM(U57:U65)</f>
        <v>0</v>
      </c>
      <c r="V66" s="474"/>
    </row>
    <row r="67" spans="1:22" x14ac:dyDescent="0.3">
      <c r="A67" s="241"/>
      <c r="C67" s="101"/>
      <c r="D67" s="101"/>
      <c r="E67" s="101"/>
      <c r="F67" s="634"/>
      <c r="G67" s="634"/>
      <c r="H67" s="634"/>
      <c r="I67" s="101"/>
      <c r="N67" s="637"/>
      <c r="O67" s="637"/>
      <c r="P67" s="637"/>
      <c r="Q67" s="637"/>
      <c r="R67" s="637"/>
      <c r="S67" s="637"/>
      <c r="T67" s="639"/>
      <c r="U67" s="639"/>
    </row>
    <row r="68" spans="1:22" x14ac:dyDescent="0.3">
      <c r="A68" s="632" t="s">
        <v>509</v>
      </c>
      <c r="N68" s="636" t="s">
        <v>517</v>
      </c>
      <c r="O68" s="51"/>
      <c r="P68" s="51"/>
      <c r="Q68" s="51"/>
      <c r="R68" s="51"/>
      <c r="S68" s="51"/>
      <c r="T68" s="51"/>
      <c r="U68" s="51"/>
    </row>
    <row r="69" spans="1:22" x14ac:dyDescent="0.3">
      <c r="A69" s="775" t="s">
        <v>463</v>
      </c>
      <c r="B69" s="776"/>
      <c r="C69" s="112">
        <f>E30</f>
        <v>11.459999999999999</v>
      </c>
      <c r="D69" s="789" t="s">
        <v>474</v>
      </c>
      <c r="E69" s="789"/>
      <c r="F69" s="789"/>
      <c r="G69" s="789"/>
      <c r="H69" s="287">
        <v>210166.87</v>
      </c>
      <c r="I69" s="113"/>
      <c r="N69" s="817" t="s">
        <v>467</v>
      </c>
      <c r="O69" s="818"/>
      <c r="P69" s="41">
        <f>P30</f>
        <v>11.459999999999999</v>
      </c>
      <c r="Q69" s="842" t="s">
        <v>469</v>
      </c>
      <c r="R69" s="843"/>
      <c r="S69" s="843"/>
      <c r="T69" s="831">
        <f>H69</f>
        <v>210166.87</v>
      </c>
      <c r="U69" s="831"/>
    </row>
    <row r="70" spans="1:22" x14ac:dyDescent="0.3">
      <c r="B70" s="630"/>
      <c r="G70" s="42" t="s">
        <v>12</v>
      </c>
      <c r="H70" s="114">
        <f>ROUND(C69/H69,6)</f>
        <v>5.5000000000000002E-5</v>
      </c>
      <c r="I70" s="115"/>
      <c r="N70" s="818"/>
      <c r="O70" s="818"/>
      <c r="P70" s="818"/>
      <c r="Q70" s="818"/>
      <c r="R70" s="818"/>
      <c r="S70" s="818"/>
      <c r="T70" s="836">
        <f>ROUND(P69/T69,6)</f>
        <v>5.5000000000000002E-5</v>
      </c>
      <c r="U70" s="836"/>
    </row>
    <row r="71" spans="1:22" x14ac:dyDescent="0.3">
      <c r="A71" s="632" t="s">
        <v>510</v>
      </c>
      <c r="N71" s="636" t="s">
        <v>518</v>
      </c>
      <c r="O71" s="51"/>
      <c r="P71" s="51"/>
      <c r="Q71" s="51"/>
      <c r="R71" s="51"/>
      <c r="S71" s="51"/>
      <c r="T71" s="51"/>
      <c r="U71" s="51"/>
    </row>
    <row r="72" spans="1:22" x14ac:dyDescent="0.3">
      <c r="A72" s="775" t="s">
        <v>464</v>
      </c>
      <c r="B72" s="776"/>
      <c r="C72" s="112">
        <f>H30</f>
        <v>40.317799999999998</v>
      </c>
      <c r="D72" s="789" t="s">
        <v>475</v>
      </c>
      <c r="E72" s="789"/>
      <c r="F72" s="789"/>
      <c r="G72" s="789"/>
      <c r="H72" s="288">
        <v>237198.6</v>
      </c>
      <c r="I72" s="116"/>
      <c r="N72" s="817" t="s">
        <v>468</v>
      </c>
      <c r="O72" s="818"/>
      <c r="P72" s="41">
        <f>T30</f>
        <v>11.46</v>
      </c>
      <c r="Q72" s="842" t="s">
        <v>470</v>
      </c>
      <c r="R72" s="843"/>
      <c r="S72" s="843"/>
      <c r="T72" s="831">
        <f>H72</f>
        <v>237198.6</v>
      </c>
      <c r="U72" s="831"/>
    </row>
    <row r="73" spans="1:22" x14ac:dyDescent="0.3">
      <c r="G73" s="42" t="s">
        <v>12</v>
      </c>
      <c r="H73" s="114">
        <f>ROUND(C72/H72,6)</f>
        <v>1.7000000000000001E-4</v>
      </c>
      <c r="I73" s="114"/>
      <c r="N73" s="818"/>
      <c r="O73" s="818"/>
      <c r="P73" s="818"/>
      <c r="Q73" s="818"/>
      <c r="R73" s="818"/>
      <c r="S73" s="818"/>
      <c r="T73" s="836">
        <f>ROUND(P72/T72,6)</f>
        <v>4.8000000000000001E-5</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11.459999999999999</v>
      </c>
      <c r="D75" s="788" t="s">
        <v>476</v>
      </c>
      <c r="E75" s="788"/>
      <c r="F75" s="788"/>
      <c r="G75" s="788"/>
      <c r="H75" s="287">
        <v>185588.37</v>
      </c>
      <c r="I75" s="113"/>
      <c r="N75" s="817" t="s">
        <v>466</v>
      </c>
      <c r="O75" s="818"/>
      <c r="P75" s="41">
        <f>P30</f>
        <v>11.459999999999999</v>
      </c>
      <c r="Q75" s="838" t="s">
        <v>471</v>
      </c>
      <c r="R75" s="839"/>
      <c r="S75" s="839"/>
      <c r="T75" s="831">
        <f>H75</f>
        <v>185588.37</v>
      </c>
      <c r="U75" s="831"/>
    </row>
    <row r="76" spans="1:22" x14ac:dyDescent="0.3">
      <c r="B76" s="630"/>
      <c r="G76" s="42" t="s">
        <v>12</v>
      </c>
      <c r="H76" s="114">
        <f>ROUND(C75/H75,6)</f>
        <v>6.2000000000000003E-5</v>
      </c>
      <c r="I76" s="115"/>
      <c r="N76" s="818"/>
      <c r="O76" s="818"/>
      <c r="P76" s="818"/>
      <c r="Q76" s="818"/>
      <c r="R76" s="818"/>
      <c r="S76" s="818"/>
      <c r="T76" s="836">
        <f>ROUND(P75/T75,6)</f>
        <v>6.2000000000000003E-5</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11.459999999999999</v>
      </c>
      <c r="D78" s="784" t="s">
        <v>477</v>
      </c>
      <c r="E78" s="784"/>
      <c r="F78" s="784"/>
      <c r="G78" s="784"/>
      <c r="H78" s="287">
        <v>209834.86</v>
      </c>
      <c r="I78" s="113"/>
      <c r="N78" s="817" t="s">
        <v>466</v>
      </c>
      <c r="O78" s="818"/>
      <c r="P78" s="41">
        <f>P30</f>
        <v>11.459999999999999</v>
      </c>
      <c r="Q78" s="840" t="s">
        <v>472</v>
      </c>
      <c r="R78" s="841"/>
      <c r="S78" s="841"/>
      <c r="T78" s="831">
        <f>H78</f>
        <v>209834.86</v>
      </c>
      <c r="U78" s="831"/>
    </row>
    <row r="79" spans="1:22" x14ac:dyDescent="0.3">
      <c r="B79" s="630"/>
      <c r="G79" s="42" t="s">
        <v>12</v>
      </c>
      <c r="H79" s="114">
        <f>ROUND(C78/H78,6)</f>
        <v>5.5000000000000002E-5</v>
      </c>
      <c r="I79" s="115"/>
      <c r="N79" s="818"/>
      <c r="O79" s="818"/>
      <c r="P79" s="818"/>
      <c r="Q79" s="818"/>
      <c r="R79" s="818"/>
      <c r="S79" s="818"/>
      <c r="T79" s="836">
        <f>ROUND(P78/T78,6)</f>
        <v>5.5000000000000002E-5</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11.459999999999999</v>
      </c>
      <c r="D81" s="788" t="s">
        <v>478</v>
      </c>
      <c r="E81" s="788"/>
      <c r="F81" s="788"/>
      <c r="G81" s="788"/>
      <c r="H81" s="287">
        <v>185256.36</v>
      </c>
      <c r="I81" s="113"/>
      <c r="N81" s="817" t="s">
        <v>479</v>
      </c>
      <c r="O81" s="818"/>
      <c r="P81" s="41">
        <f>P30</f>
        <v>11.459999999999999</v>
      </c>
      <c r="Q81" s="838" t="s">
        <v>480</v>
      </c>
      <c r="R81" s="839"/>
      <c r="S81" s="839"/>
      <c r="T81" s="831">
        <f>H81</f>
        <v>185256.36</v>
      </c>
      <c r="U81" s="831"/>
    </row>
    <row r="82" spans="1:21" x14ac:dyDescent="0.3">
      <c r="B82" s="630"/>
      <c r="G82" s="42" t="s">
        <v>12</v>
      </c>
      <c r="H82" s="114">
        <f>ROUND(C81/H81,6)</f>
        <v>6.2000000000000003E-5</v>
      </c>
      <c r="I82" s="115"/>
      <c r="N82" s="818"/>
      <c r="O82" s="818"/>
      <c r="P82" s="818"/>
      <c r="Q82" s="818"/>
      <c r="R82" s="818"/>
      <c r="S82" s="818"/>
      <c r="T82" s="836">
        <f>ROUND(P81/T81,6)</f>
        <v>6.2000000000000003E-5</v>
      </c>
      <c r="U82" s="836"/>
    </row>
    <row r="83" spans="1:21" x14ac:dyDescent="0.3">
      <c r="A83" s="241"/>
      <c r="G83" s="42"/>
      <c r="H83" s="114"/>
      <c r="I83" s="114"/>
      <c r="N83" s="637"/>
      <c r="O83" s="637"/>
      <c r="P83" s="637"/>
      <c r="Q83" s="637"/>
      <c r="R83" s="637"/>
      <c r="S83" s="637"/>
      <c r="T83" s="639"/>
      <c r="U83" s="639"/>
    </row>
    <row r="84" spans="1:21" x14ac:dyDescent="0.3">
      <c r="A84" s="241"/>
      <c r="G84" s="42"/>
      <c r="H84" s="114"/>
      <c r="I84" s="114"/>
      <c r="N84" s="637"/>
      <c r="O84" s="637"/>
      <c r="P84" s="637"/>
      <c r="Q84" s="637"/>
      <c r="R84" s="637"/>
      <c r="S84" s="637"/>
      <c r="T84" s="639"/>
      <c r="U84" s="639"/>
    </row>
    <row r="85" spans="1:21" x14ac:dyDescent="0.3">
      <c r="A85" s="632" t="s">
        <v>514</v>
      </c>
      <c r="D85" s="630"/>
      <c r="E85" s="623" t="s">
        <v>316</v>
      </c>
      <c r="F85" s="289">
        <v>46151079</v>
      </c>
      <c r="G85" s="624" t="s">
        <v>6</v>
      </c>
      <c r="H85" s="472">
        <f>H79</f>
        <v>5.5000000000000002E-5</v>
      </c>
      <c r="I85" s="101">
        <f>ROUND(F85*H85,2)</f>
        <v>2538.31</v>
      </c>
      <c r="N85" s="636" t="s">
        <v>514</v>
      </c>
      <c r="O85" s="51"/>
      <c r="P85" s="51"/>
      <c r="Q85" s="44"/>
      <c r="R85" s="469">
        <f>F85</f>
        <v>46151079</v>
      </c>
      <c r="S85" s="646" t="s">
        <v>6</v>
      </c>
      <c r="T85" s="471">
        <f>T79</f>
        <v>5.5000000000000002E-5</v>
      </c>
      <c r="U85" s="523">
        <f>ROUND(R85*T85,2)</f>
        <v>2538.31</v>
      </c>
    </row>
    <row r="86" spans="1:21" x14ac:dyDescent="0.3">
      <c r="A86" s="450"/>
      <c r="D86" s="630"/>
      <c r="E86" s="623"/>
      <c r="F86" s="275"/>
      <c r="G86" s="624"/>
      <c r="H86" s="472"/>
      <c r="I86" s="101"/>
      <c r="N86" s="51"/>
      <c r="O86" s="51"/>
      <c r="P86" s="51"/>
      <c r="Q86" s="44"/>
      <c r="R86" s="470"/>
      <c r="S86" s="646"/>
      <c r="T86" s="471"/>
      <c r="U86" s="527"/>
    </row>
    <row r="87" spans="1:21" x14ac:dyDescent="0.3">
      <c r="A87" s="790" t="s">
        <v>71</v>
      </c>
      <c r="B87" s="776"/>
      <c r="C87" s="776"/>
      <c r="D87" s="630"/>
      <c r="E87" s="623"/>
      <c r="F87" s="275"/>
      <c r="G87" s="624"/>
      <c r="H87" s="472"/>
      <c r="I87" s="101"/>
      <c r="N87" s="817" t="s">
        <v>522</v>
      </c>
      <c r="O87" s="818"/>
      <c r="P87" s="818"/>
      <c r="Q87" s="51"/>
      <c r="R87" s="470"/>
      <c r="S87" s="51"/>
      <c r="T87" s="646"/>
      <c r="U87" s="528"/>
    </row>
    <row r="88" spans="1:21" x14ac:dyDescent="0.3">
      <c r="A88" s="790" t="s">
        <v>99</v>
      </c>
      <c r="B88" s="776"/>
      <c r="C88" s="776"/>
      <c r="D88" s="630"/>
      <c r="E88" s="623" t="s">
        <v>3</v>
      </c>
      <c r="F88" s="289">
        <v>0</v>
      </c>
      <c r="G88" s="624" t="s">
        <v>6</v>
      </c>
      <c r="H88" s="472">
        <f>H70</f>
        <v>5.5000000000000002E-5</v>
      </c>
      <c r="I88" s="101">
        <f>ROUND(F88*H88,2)</f>
        <v>0</v>
      </c>
      <c r="N88" s="837" t="s">
        <v>99</v>
      </c>
      <c r="O88" s="818"/>
      <c r="P88" s="818"/>
      <c r="Q88" s="44"/>
      <c r="R88" s="469">
        <f>F88</f>
        <v>0</v>
      </c>
      <c r="S88" s="646" t="s">
        <v>6</v>
      </c>
      <c r="T88" s="471">
        <f>T70</f>
        <v>5.5000000000000002E-5</v>
      </c>
      <c r="U88" s="523">
        <f>ROUND(R88*T88,2)</f>
        <v>0</v>
      </c>
    </row>
    <row r="89" spans="1:21" x14ac:dyDescent="0.3">
      <c r="A89" s="633"/>
      <c r="B89" s="630"/>
      <c r="C89" s="630"/>
      <c r="D89" s="630"/>
      <c r="E89" s="623"/>
      <c r="F89" s="275"/>
      <c r="G89" s="624"/>
      <c r="H89" s="472"/>
      <c r="I89" s="101"/>
      <c r="N89" s="648"/>
      <c r="O89" s="637"/>
      <c r="P89" s="637"/>
      <c r="Q89" s="44"/>
      <c r="R89" s="469"/>
      <c r="S89" s="646"/>
      <c r="T89" s="471"/>
      <c r="U89" s="523"/>
    </row>
    <row r="90" spans="1:21" x14ac:dyDescent="0.3">
      <c r="A90" s="632" t="s">
        <v>515</v>
      </c>
      <c r="D90" s="630"/>
      <c r="E90" s="623" t="s">
        <v>481</v>
      </c>
      <c r="F90" s="289">
        <v>19094340</v>
      </c>
      <c r="G90" s="624" t="s">
        <v>6</v>
      </c>
      <c r="H90" s="472">
        <f>H82</f>
        <v>6.2000000000000003E-5</v>
      </c>
      <c r="I90" s="101">
        <f>ROUND(F90*H90,2)</f>
        <v>1183.8499999999999</v>
      </c>
      <c r="N90" s="636" t="s">
        <v>515</v>
      </c>
      <c r="O90" s="51"/>
      <c r="P90" s="51"/>
      <c r="Q90" s="44"/>
      <c r="R90" s="469">
        <f>F90</f>
        <v>19094340</v>
      </c>
      <c r="S90" s="646" t="s">
        <v>6</v>
      </c>
      <c r="T90" s="471">
        <f>T82</f>
        <v>6.2000000000000003E-5</v>
      </c>
      <c r="U90" s="523">
        <f>ROUND(R90*T90,2)</f>
        <v>1183.8499999999999</v>
      </c>
    </row>
    <row r="91" spans="1:21" x14ac:dyDescent="0.3">
      <c r="A91" s="450"/>
      <c r="D91" s="630"/>
      <c r="E91" s="623"/>
      <c r="F91" s="275"/>
      <c r="G91" s="624"/>
      <c r="H91" s="472"/>
      <c r="I91" s="101"/>
      <c r="N91" s="458"/>
      <c r="O91" s="51"/>
      <c r="P91" s="51"/>
      <c r="Q91" s="44"/>
      <c r="R91" s="469"/>
      <c r="S91" s="646"/>
      <c r="T91" s="471"/>
      <c r="U91" s="523"/>
    </row>
    <row r="92" spans="1:21" x14ac:dyDescent="0.3">
      <c r="A92" s="632" t="s">
        <v>516</v>
      </c>
      <c r="D92" s="630"/>
      <c r="E92" s="623" t="s">
        <v>3</v>
      </c>
      <c r="F92" s="289">
        <v>11461928</v>
      </c>
      <c r="G92" s="624" t="s">
        <v>6</v>
      </c>
      <c r="H92" s="472">
        <f>H76</f>
        <v>6.2000000000000003E-5</v>
      </c>
      <c r="I92" s="101">
        <f t="shared" ref="I92:I98" si="15">ROUND(F92*H92,2)</f>
        <v>710.64</v>
      </c>
      <c r="N92" s="636" t="s">
        <v>516</v>
      </c>
      <c r="O92" s="51"/>
      <c r="P92" s="51"/>
      <c r="Q92" s="44"/>
      <c r="R92" s="469">
        <f t="shared" ref="R92:R96" si="16">F92</f>
        <v>11461928</v>
      </c>
      <c r="S92" s="646" t="s">
        <v>6</v>
      </c>
      <c r="T92" s="471">
        <f>T76</f>
        <v>6.2000000000000003E-5</v>
      </c>
      <c r="U92" s="523">
        <f>ROUND(R92*T92,2)</f>
        <v>710.64</v>
      </c>
    </row>
    <row r="93" spans="1:21" x14ac:dyDescent="0.3">
      <c r="A93" s="632"/>
      <c r="D93" s="630"/>
      <c r="E93" s="623"/>
      <c r="F93" s="275"/>
      <c r="G93" s="624"/>
      <c r="H93" s="472"/>
      <c r="I93" s="101"/>
      <c r="N93" s="636"/>
      <c r="O93" s="51"/>
      <c r="P93" s="51"/>
      <c r="Q93" s="44"/>
      <c r="R93" s="470"/>
      <c r="S93" s="646"/>
      <c r="T93" s="471"/>
      <c r="U93" s="527"/>
    </row>
    <row r="94" spans="1:21" x14ac:dyDescent="0.3">
      <c r="A94" s="775" t="s">
        <v>482</v>
      </c>
      <c r="B94" s="776"/>
      <c r="C94" s="776"/>
      <c r="D94" s="630"/>
      <c r="E94" s="623" t="s">
        <v>4</v>
      </c>
      <c r="F94" s="289">
        <v>255756816</v>
      </c>
      <c r="G94" s="624" t="s">
        <v>6</v>
      </c>
      <c r="H94" s="472">
        <f>H73</f>
        <v>1.7000000000000001E-4</v>
      </c>
      <c r="I94" s="101">
        <f t="shared" si="15"/>
        <v>43478.66</v>
      </c>
      <c r="N94" s="818" t="s">
        <v>482</v>
      </c>
      <c r="O94" s="818"/>
      <c r="P94" s="818"/>
      <c r="Q94" s="44"/>
      <c r="R94" s="469">
        <f t="shared" si="16"/>
        <v>255756816</v>
      </c>
      <c r="S94" s="646" t="s">
        <v>6</v>
      </c>
      <c r="T94" s="471">
        <f>T73</f>
        <v>4.8000000000000001E-5</v>
      </c>
      <c r="U94" s="523">
        <f>ROUND(R94*T94,2)</f>
        <v>12276.33</v>
      </c>
    </row>
    <row r="95" spans="1:21" x14ac:dyDescent="0.3">
      <c r="A95" s="632"/>
      <c r="B95" s="630"/>
      <c r="C95" s="630"/>
      <c r="D95" s="630"/>
      <c r="E95" s="623"/>
      <c r="F95" s="275"/>
      <c r="G95" s="624"/>
      <c r="H95" s="472"/>
      <c r="I95" s="101"/>
      <c r="N95" s="637"/>
      <c r="O95" s="637"/>
      <c r="P95" s="637"/>
      <c r="Q95" s="44"/>
      <c r="R95" s="469"/>
      <c r="S95" s="646"/>
      <c r="T95" s="471"/>
      <c r="U95" s="523"/>
    </row>
    <row r="96" spans="1:21" x14ac:dyDescent="0.3">
      <c r="A96" s="775" t="s">
        <v>483</v>
      </c>
      <c r="B96" s="776"/>
      <c r="C96" s="776"/>
      <c r="D96" s="630"/>
      <c r="E96" s="623" t="s">
        <v>4</v>
      </c>
      <c r="F96" s="289">
        <v>-16705366</v>
      </c>
      <c r="G96" s="624" t="s">
        <v>6</v>
      </c>
      <c r="H96" s="472">
        <f>H73</f>
        <v>1.7000000000000001E-4</v>
      </c>
      <c r="I96" s="101">
        <f t="shared" si="15"/>
        <v>-2839.91</v>
      </c>
      <c r="N96" s="817" t="s">
        <v>483</v>
      </c>
      <c r="O96" s="817"/>
      <c r="P96" s="817"/>
      <c r="Q96" s="44"/>
      <c r="R96" s="469">
        <f t="shared" si="16"/>
        <v>-16705366</v>
      </c>
      <c r="S96" s="646" t="s">
        <v>6</v>
      </c>
      <c r="T96" s="471">
        <f>T73</f>
        <v>4.8000000000000001E-5</v>
      </c>
      <c r="U96" s="523">
        <f>ROUND(R96*T96,2)</f>
        <v>-801.86</v>
      </c>
    </row>
    <row r="97" spans="1:21" x14ac:dyDescent="0.3">
      <c r="A97" s="632"/>
      <c r="B97" s="630"/>
      <c r="C97" s="630"/>
      <c r="D97" s="630"/>
      <c r="E97" s="623"/>
      <c r="F97" s="275"/>
      <c r="G97" s="624"/>
      <c r="H97" s="472"/>
      <c r="I97" s="101"/>
      <c r="N97" s="636"/>
      <c r="O97" s="636"/>
      <c r="P97" s="636"/>
      <c r="Q97" s="44"/>
      <c r="R97" s="587"/>
      <c r="S97" s="646"/>
      <c r="T97" s="471"/>
      <c r="U97" s="527"/>
    </row>
    <row r="98" spans="1:21" x14ac:dyDescent="0.3">
      <c r="A98" s="632" t="s">
        <v>556</v>
      </c>
      <c r="B98" s="630"/>
      <c r="C98" s="630"/>
      <c r="D98" s="630"/>
      <c r="E98" s="623" t="s">
        <v>3</v>
      </c>
      <c r="F98" s="289">
        <v>203862</v>
      </c>
      <c r="G98" s="624" t="s">
        <v>6</v>
      </c>
      <c r="H98" s="472">
        <f>H70</f>
        <v>5.5000000000000002E-5</v>
      </c>
      <c r="I98" s="101">
        <f t="shared" si="15"/>
        <v>11.21</v>
      </c>
      <c r="N98" s="636" t="s">
        <v>556</v>
      </c>
      <c r="O98" s="636"/>
      <c r="P98" s="636"/>
      <c r="Q98" s="44"/>
      <c r="R98" s="588">
        <f>F98</f>
        <v>203862</v>
      </c>
      <c r="S98" s="646" t="s">
        <v>6</v>
      </c>
      <c r="T98" s="471">
        <f>T70</f>
        <v>5.5000000000000002E-5</v>
      </c>
      <c r="U98" s="523">
        <f>ROUND(R98*T98,2)</f>
        <v>11.21</v>
      </c>
    </row>
    <row r="99" spans="1:21" x14ac:dyDescent="0.3">
      <c r="A99" s="632"/>
      <c r="B99" s="630"/>
      <c r="C99" s="630"/>
      <c r="D99" s="630"/>
      <c r="E99" s="623"/>
      <c r="F99" s="275"/>
      <c r="G99" s="624"/>
      <c r="H99" s="472"/>
      <c r="I99" s="101"/>
      <c r="N99" s="636"/>
      <c r="O99" s="636"/>
      <c r="P99" s="636"/>
      <c r="Q99" s="44"/>
      <c r="R99" s="587"/>
      <c r="S99" s="646"/>
      <c r="T99" s="471"/>
      <c r="U99" s="527"/>
    </row>
    <row r="100" spans="1:21" x14ac:dyDescent="0.3">
      <c r="A100" s="632"/>
      <c r="B100" s="630"/>
      <c r="C100" s="630"/>
      <c r="D100" s="630"/>
      <c r="E100" s="623"/>
      <c r="F100" s="275"/>
      <c r="G100" s="624"/>
      <c r="H100" s="472"/>
      <c r="I100" s="101"/>
      <c r="N100" s="636"/>
      <c r="O100" s="636"/>
      <c r="P100" s="636"/>
      <c r="Q100" s="44"/>
      <c r="R100" s="470"/>
      <c r="S100" s="646"/>
      <c r="T100" s="471"/>
      <c r="U100" s="103"/>
    </row>
    <row r="101" spans="1:21" ht="15" customHeight="1" x14ac:dyDescent="0.3">
      <c r="A101" s="450" t="s">
        <v>557</v>
      </c>
      <c r="N101" s="458" t="s">
        <v>557</v>
      </c>
      <c r="O101" s="51"/>
      <c r="P101" s="51"/>
      <c r="Q101" s="51"/>
      <c r="R101" s="51"/>
      <c r="S101" s="51"/>
      <c r="T101" s="51"/>
      <c r="U101" s="51"/>
    </row>
    <row r="102" spans="1:21" x14ac:dyDescent="0.3">
      <c r="B102" s="630"/>
      <c r="C102" s="785" t="s">
        <v>60</v>
      </c>
      <c r="D102" s="785"/>
      <c r="E102" s="630"/>
      <c r="F102" s="626" t="s">
        <v>28</v>
      </c>
      <c r="G102" s="630"/>
      <c r="H102" s="630"/>
      <c r="I102" s="630"/>
      <c r="N102" s="637"/>
      <c r="O102" s="637"/>
      <c r="P102" s="637"/>
      <c r="Q102" s="637"/>
      <c r="R102" s="637"/>
      <c r="S102" s="637"/>
      <c r="T102" s="637"/>
      <c r="U102" s="637"/>
    </row>
    <row r="103" spans="1:21" x14ac:dyDescent="0.3">
      <c r="A103" s="3"/>
      <c r="B103" s="118"/>
      <c r="C103" s="786" t="s">
        <v>101</v>
      </c>
      <c r="D103" s="786"/>
      <c r="E103" s="119" t="s">
        <v>485</v>
      </c>
      <c r="F103" s="120" t="s">
        <v>106</v>
      </c>
      <c r="G103" s="627"/>
      <c r="H103" s="627"/>
      <c r="I103" s="627"/>
      <c r="N103" s="833" t="s">
        <v>35</v>
      </c>
      <c r="O103" s="833"/>
      <c r="P103" s="834" t="s">
        <v>487</v>
      </c>
      <c r="Q103" s="835"/>
      <c r="R103" s="831" t="s">
        <v>31</v>
      </c>
      <c r="S103" s="831"/>
      <c r="T103" s="831"/>
      <c r="U103" s="831"/>
    </row>
    <row r="104" spans="1:21" x14ac:dyDescent="0.3">
      <c r="A104" s="634"/>
      <c r="B104" s="52" t="s">
        <v>105</v>
      </c>
      <c r="C104" s="774">
        <f>H14+H15+H20+H23+H26</f>
        <v>0</v>
      </c>
      <c r="D104" s="774"/>
      <c r="E104" s="46">
        <f>H8</f>
        <v>1.0407999999999999</v>
      </c>
      <c r="F104" s="290">
        <v>950.92</v>
      </c>
      <c r="G104" s="626" t="s">
        <v>12</v>
      </c>
      <c r="H104" s="101">
        <f>ROUND(C104*E104*F104,2)</f>
        <v>0</v>
      </c>
      <c r="I104" s="104"/>
      <c r="N104" s="63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290">
        <v>907.92</v>
      </c>
      <c r="G105" s="626"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40.317799999999998</v>
      </c>
      <c r="D106" s="774"/>
      <c r="E106" s="46">
        <f>H8</f>
        <v>1.0407999999999999</v>
      </c>
      <c r="F106" s="290">
        <v>910.12</v>
      </c>
      <c r="G106" s="626" t="s">
        <v>12</v>
      </c>
      <c r="H106" s="94">
        <f>ROUND(C106*E106*F106,2)</f>
        <v>38191.15</v>
      </c>
      <c r="N106" s="53" t="s">
        <v>14</v>
      </c>
      <c r="O106" s="54">
        <f>T18+T19+T22+T25+T28+T29</f>
        <v>11.46</v>
      </c>
      <c r="P106" s="832">
        <f>T8</f>
        <v>1.0407999999999999</v>
      </c>
      <c r="Q106" s="832"/>
      <c r="R106" s="48">
        <f>F106</f>
        <v>910.12</v>
      </c>
      <c r="S106" s="40" t="s">
        <v>12</v>
      </c>
      <c r="T106" s="529">
        <f>ROUND(O106*P106*R106,2)</f>
        <v>10855.52</v>
      </c>
      <c r="U106" s="51"/>
    </row>
    <row r="107" spans="1:21" ht="16.2" thickBot="1" x14ac:dyDescent="0.35">
      <c r="A107" s="55"/>
      <c r="B107" s="122" t="s">
        <v>102</v>
      </c>
      <c r="C107" s="787">
        <f>SUM(C104:C106)</f>
        <v>40.317799999999998</v>
      </c>
      <c r="D107" s="787"/>
      <c r="E107" s="123"/>
      <c r="F107" s="123"/>
      <c r="G107" s="123"/>
      <c r="H107" s="124" t="s">
        <v>100</v>
      </c>
      <c r="I107" s="101">
        <f>IF(A1=75,0,H106+H105+H104)</f>
        <v>38191.15</v>
      </c>
      <c r="N107" s="641" t="s">
        <v>89</v>
      </c>
      <c r="O107" s="57">
        <f>SUM(O104:O106)</f>
        <v>11.46</v>
      </c>
      <c r="P107" s="827" t="s">
        <v>16</v>
      </c>
      <c r="Q107" s="828"/>
      <c r="R107" s="828"/>
      <c r="S107" s="828"/>
      <c r="T107" s="828"/>
      <c r="U107" s="523">
        <f>IF(N1=75,0,T106+T105+T104)</f>
        <v>10855.52</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622"/>
      <c r="B109" s="622"/>
      <c r="C109" s="622"/>
      <c r="D109" s="622"/>
      <c r="E109" s="622"/>
      <c r="F109" s="622"/>
      <c r="G109" s="622"/>
      <c r="H109" s="622"/>
      <c r="I109" s="622"/>
      <c r="N109" s="642"/>
      <c r="O109" s="642"/>
      <c r="P109" s="642"/>
      <c r="Q109" s="642"/>
      <c r="R109" s="642"/>
      <c r="S109" s="642"/>
      <c r="T109" s="642"/>
      <c r="U109" s="642"/>
    </row>
    <row r="110" spans="1:21" x14ac:dyDescent="0.3">
      <c r="A110" s="632" t="s">
        <v>558</v>
      </c>
      <c r="C110" s="623"/>
      <c r="D110" s="630"/>
      <c r="E110" s="623" t="s">
        <v>32</v>
      </c>
      <c r="F110" s="813"/>
      <c r="G110" s="813"/>
      <c r="H110" s="813"/>
      <c r="I110" s="813"/>
      <c r="N110" s="817" t="s">
        <v>558</v>
      </c>
      <c r="O110" s="818"/>
      <c r="P110" s="818"/>
      <c r="Q110" s="830"/>
      <c r="R110" s="830"/>
      <c r="S110" s="830"/>
      <c r="T110" s="830"/>
      <c r="U110" s="103"/>
    </row>
    <row r="111" spans="1:21" x14ac:dyDescent="0.3">
      <c r="B111" s="630"/>
      <c r="C111" s="88" t="s">
        <v>581</v>
      </c>
      <c r="D111" s="348" t="s">
        <v>582</v>
      </c>
      <c r="E111" s="89" t="s">
        <v>107</v>
      </c>
      <c r="F111" s="623"/>
      <c r="G111" s="623"/>
      <c r="H111" s="623"/>
      <c r="I111" s="623"/>
      <c r="N111" s="637"/>
      <c r="O111" s="637"/>
      <c r="P111" s="637"/>
      <c r="Q111" s="643"/>
      <c r="R111" s="643"/>
      <c r="S111" s="643"/>
      <c r="T111" s="643"/>
      <c r="U111" s="103"/>
    </row>
    <row r="112" spans="1:21" x14ac:dyDescent="0.3">
      <c r="B112" s="630"/>
      <c r="C112" s="339" t="s">
        <v>2</v>
      </c>
      <c r="D112" s="339" t="s">
        <v>2</v>
      </c>
      <c r="E112" s="90" t="s">
        <v>2</v>
      </c>
      <c r="F112" s="623"/>
      <c r="G112" s="623"/>
      <c r="H112" s="623"/>
      <c r="I112" s="623"/>
      <c r="N112" s="637"/>
      <c r="O112" s="637"/>
      <c r="P112" s="637"/>
      <c r="Q112" s="643"/>
      <c r="R112" s="643"/>
      <c r="S112" s="643"/>
      <c r="T112" s="643"/>
      <c r="U112" s="103"/>
    </row>
    <row r="113" spans="1:21" x14ac:dyDescent="0.3">
      <c r="A113" s="788" t="s">
        <v>443</v>
      </c>
      <c r="B113" s="809"/>
      <c r="C113" s="143">
        <v>0</v>
      </c>
      <c r="D113" s="143">
        <v>0</v>
      </c>
      <c r="E113" s="116">
        <f>(C113+D113)/2</f>
        <v>0</v>
      </c>
      <c r="F113" s="126" t="s">
        <v>30</v>
      </c>
      <c r="G113" s="291">
        <v>584</v>
      </c>
      <c r="I113" s="101">
        <f>ROUND(G113*E113,2)</f>
        <v>0</v>
      </c>
      <c r="N113" s="826" t="s">
        <v>52</v>
      </c>
      <c r="O113" s="826"/>
      <c r="P113" s="825">
        <f>IF(H133=1,E113,0)</f>
        <v>0</v>
      </c>
      <c r="Q113" s="825"/>
      <c r="R113" s="825"/>
      <c r="S113" s="651" t="s">
        <v>30</v>
      </c>
      <c r="T113" s="58">
        <f>G113</f>
        <v>584</v>
      </c>
      <c r="U113" s="523">
        <f>ROUND(T113*P113,2)</f>
        <v>0</v>
      </c>
    </row>
    <row r="114" spans="1:21" x14ac:dyDescent="0.3">
      <c r="A114" s="788" t="s">
        <v>444</v>
      </c>
      <c r="B114" s="809"/>
      <c r="C114" s="143">
        <v>0</v>
      </c>
      <c r="D114" s="143">
        <v>0</v>
      </c>
      <c r="E114" s="116">
        <f>(C114+D114)/2</f>
        <v>0</v>
      </c>
      <c r="F114" s="126" t="s">
        <v>30</v>
      </c>
      <c r="G114" s="291">
        <v>1838</v>
      </c>
      <c r="I114" s="101">
        <f>ROUND(G114*E114,2)</f>
        <v>0</v>
      </c>
      <c r="N114" s="826" t="s">
        <v>64</v>
      </c>
      <c r="O114" s="826"/>
      <c r="P114" s="820"/>
      <c r="Q114" s="820"/>
      <c r="R114" s="820"/>
      <c r="S114" s="651" t="s">
        <v>30</v>
      </c>
      <c r="T114" s="58">
        <f>G114</f>
        <v>1838</v>
      </c>
      <c r="U114" s="523">
        <f>ROUND(T114*P114,2)</f>
        <v>0</v>
      </c>
    </row>
    <row r="115" spans="1:21" x14ac:dyDescent="0.3">
      <c r="A115" s="127"/>
      <c r="B115" s="127"/>
      <c r="C115" s="65"/>
      <c r="D115" s="65"/>
      <c r="E115" s="65"/>
      <c r="F115" s="65"/>
      <c r="G115" s="653"/>
      <c r="H115" s="129"/>
      <c r="I115" s="101"/>
      <c r="N115" s="647"/>
      <c r="O115" s="647"/>
      <c r="P115" s="131"/>
      <c r="Q115" s="131"/>
      <c r="R115" s="131"/>
      <c r="S115" s="651"/>
      <c r="T115" s="58"/>
      <c r="U115" s="103"/>
    </row>
    <row r="116" spans="1:21" x14ac:dyDescent="0.3">
      <c r="A116" s="127"/>
      <c r="B116" s="127"/>
      <c r="C116" s="65"/>
      <c r="D116" s="65"/>
      <c r="E116" s="65"/>
      <c r="F116" s="65"/>
      <c r="G116" s="653"/>
      <c r="H116" s="129"/>
      <c r="I116" s="101"/>
      <c r="N116" s="647"/>
      <c r="O116" s="647"/>
      <c r="P116" s="131"/>
      <c r="Q116" s="131"/>
      <c r="R116" s="131"/>
      <c r="S116" s="651"/>
      <c r="T116" s="58"/>
      <c r="U116" s="103"/>
    </row>
    <row r="117" spans="1:21" hidden="1" x14ac:dyDescent="0.3">
      <c r="A117" s="775" t="s">
        <v>559</v>
      </c>
      <c r="B117" s="776"/>
      <c r="C117" s="776"/>
      <c r="D117" s="630"/>
      <c r="E117" s="626" t="s">
        <v>317</v>
      </c>
      <c r="F117" s="785"/>
      <c r="G117" s="785"/>
      <c r="H117" s="785"/>
      <c r="I117" s="785"/>
      <c r="N117" s="817" t="s">
        <v>560</v>
      </c>
      <c r="O117" s="818"/>
      <c r="P117" s="818"/>
      <c r="Q117" s="818"/>
      <c r="R117" s="818"/>
      <c r="S117" s="818"/>
      <c r="T117" s="818"/>
      <c r="U117" s="818"/>
    </row>
    <row r="118" spans="1:21" hidden="1" x14ac:dyDescent="0.3">
      <c r="B118" s="630"/>
      <c r="C118" s="786" t="s">
        <v>66</v>
      </c>
      <c r="D118" s="786"/>
      <c r="E118" s="786"/>
      <c r="F118" s="624"/>
      <c r="G118" s="624"/>
      <c r="H118" s="626" t="s">
        <v>108</v>
      </c>
      <c r="I118" s="624"/>
      <c r="N118" s="637"/>
      <c r="O118" s="637"/>
      <c r="P118" s="637"/>
      <c r="Q118" s="637"/>
      <c r="R118" s="637"/>
      <c r="S118" s="637"/>
      <c r="T118" s="637"/>
      <c r="U118" s="637"/>
    </row>
    <row r="119" spans="1:21" hidden="1" x14ac:dyDescent="0.3">
      <c r="B119" s="630"/>
      <c r="C119" s="88" t="s">
        <v>341</v>
      </c>
      <c r="D119" s="88" t="s">
        <v>314</v>
      </c>
      <c r="E119" s="137" t="s">
        <v>8</v>
      </c>
      <c r="F119" s="789" t="s">
        <v>109</v>
      </c>
      <c r="G119" s="785"/>
      <c r="H119" s="624" t="s">
        <v>29</v>
      </c>
      <c r="I119" s="624"/>
      <c r="N119" s="637"/>
      <c r="O119" s="637"/>
      <c r="P119" s="637"/>
      <c r="Q119" s="637"/>
      <c r="R119" s="637"/>
      <c r="S119" s="637"/>
      <c r="T119" s="637"/>
      <c r="U119" s="637"/>
    </row>
    <row r="120" spans="1:21" hidden="1" x14ac:dyDescent="0.3">
      <c r="A120" s="786" t="s">
        <v>69</v>
      </c>
      <c r="B120" s="786"/>
      <c r="C120" s="90" t="s">
        <v>2</v>
      </c>
      <c r="D120" s="90" t="s">
        <v>2</v>
      </c>
      <c r="E120" s="625" t="s">
        <v>2</v>
      </c>
      <c r="F120" s="786" t="s">
        <v>28</v>
      </c>
      <c r="G120" s="786"/>
      <c r="H120" s="625" t="s">
        <v>28</v>
      </c>
      <c r="I120" s="625" t="s">
        <v>8</v>
      </c>
      <c r="N120" s="821" t="s">
        <v>53</v>
      </c>
      <c r="O120" s="821"/>
      <c r="P120" s="825" t="s">
        <v>66</v>
      </c>
      <c r="Q120" s="825"/>
      <c r="R120" s="821" t="s">
        <v>54</v>
      </c>
      <c r="S120" s="821"/>
      <c r="T120" s="640" t="s">
        <v>55</v>
      </c>
      <c r="U120" s="64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idden="1" x14ac:dyDescent="0.3">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x14ac:dyDescent="0.3">
      <c r="A125" s="624"/>
      <c r="B125" s="624"/>
      <c r="C125" s="65"/>
      <c r="D125" s="65"/>
      <c r="E125" s="65"/>
      <c r="F125" s="65"/>
      <c r="G125" s="65"/>
      <c r="H125" s="65"/>
      <c r="I125" s="101"/>
      <c r="N125" s="646"/>
      <c r="O125" s="646"/>
      <c r="P125" s="66"/>
      <c r="Q125" s="66"/>
      <c r="R125" s="66"/>
      <c r="S125" s="66"/>
      <c r="T125" s="66"/>
      <c r="U125" s="138"/>
    </row>
    <row r="126" spans="1:21" x14ac:dyDescent="0.3">
      <c r="A126" s="775" t="s">
        <v>492</v>
      </c>
      <c r="B126" s="776"/>
      <c r="C126" s="776"/>
      <c r="D126" s="630"/>
      <c r="E126" s="635" t="s">
        <v>34</v>
      </c>
      <c r="F126" s="778"/>
      <c r="G126" s="778"/>
      <c r="H126" s="778"/>
      <c r="I126" s="154">
        <v>0</v>
      </c>
      <c r="N126" s="817" t="s">
        <v>492</v>
      </c>
      <c r="O126" s="818"/>
      <c r="P126" s="818"/>
      <c r="Q126" s="305"/>
      <c r="R126" s="305"/>
      <c r="S126" s="305"/>
      <c r="T126" s="305"/>
      <c r="U126" s="523">
        <f>IF($H$133=1,I126,0)</f>
        <v>0</v>
      </c>
    </row>
    <row r="127" spans="1:21" x14ac:dyDescent="0.3">
      <c r="B127" s="630"/>
      <c r="C127" s="630"/>
      <c r="D127" s="630"/>
      <c r="E127" s="635"/>
      <c r="F127" s="635"/>
      <c r="G127" s="635"/>
      <c r="H127" s="635"/>
      <c r="I127" s="116"/>
      <c r="N127" s="636"/>
      <c r="O127" s="637"/>
      <c r="P127" s="637"/>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320480.27000000008</v>
      </c>
      <c r="J128" s="250"/>
      <c r="N128" s="636"/>
      <c r="O128" s="637"/>
      <c r="P128" s="637"/>
      <c r="Q128" s="305"/>
      <c r="R128" s="305"/>
      <c r="S128" s="305"/>
      <c r="T128" s="305"/>
      <c r="U128" s="530">
        <f>SUM(U30,U85,U88,U90,U92,U94,U96,U107,U113,U114,U124,U126,U98)</f>
        <v>90359.630000000019</v>
      </c>
    </row>
    <row r="129" spans="1:21" ht="16.2" thickTop="1" x14ac:dyDescent="0.3">
      <c r="A129" s="634"/>
      <c r="B129" s="634"/>
      <c r="C129" s="634"/>
      <c r="D129" s="634"/>
      <c r="E129" s="634"/>
      <c r="F129" s="634"/>
      <c r="G129" s="634"/>
      <c r="H129" s="634"/>
      <c r="I129" s="101"/>
      <c r="J129" s="250"/>
      <c r="N129" s="636"/>
      <c r="O129" s="637"/>
      <c r="P129" s="637"/>
      <c r="Q129" s="305"/>
      <c r="R129" s="305"/>
      <c r="S129" s="305"/>
      <c r="T129" s="305"/>
      <c r="U129" s="103"/>
    </row>
    <row r="130" spans="1:21" ht="16.2" thickBot="1" x14ac:dyDescent="0.35">
      <c r="A130" s="632" t="s">
        <v>494</v>
      </c>
      <c r="B130" s="634"/>
      <c r="C130" s="634"/>
      <c r="D130" s="634"/>
      <c r="E130" s="634"/>
      <c r="F130" s="634"/>
      <c r="G130" s="634"/>
      <c r="H130" s="634"/>
      <c r="I130" s="101">
        <f>I128-I53</f>
        <v>307462.13000000006</v>
      </c>
      <c r="J130" s="250"/>
      <c r="N130" s="818" t="s">
        <v>494</v>
      </c>
      <c r="O130" s="818"/>
      <c r="P130" s="818"/>
      <c r="Q130" s="818"/>
      <c r="R130" s="818"/>
      <c r="S130" s="818"/>
      <c r="T130" s="818"/>
      <c r="U130" s="132">
        <f>U128-U53</f>
        <v>77341.49000000002</v>
      </c>
    </row>
    <row r="131" spans="1:21" ht="16.2" thickTop="1" x14ac:dyDescent="0.3">
      <c r="A131" s="634"/>
      <c r="B131" s="634"/>
      <c r="C131" s="634"/>
      <c r="D131" s="634"/>
      <c r="E131" s="634"/>
      <c r="F131" s="634"/>
      <c r="G131" s="634"/>
      <c r="H131" s="634"/>
      <c r="I131" s="101"/>
      <c r="J131" s="250"/>
      <c r="N131" s="638"/>
      <c r="O131" s="638"/>
      <c r="P131" s="638"/>
      <c r="Q131" s="638"/>
      <c r="R131" s="638"/>
      <c r="S131" s="638"/>
      <c r="T131" s="638"/>
      <c r="U131" s="138"/>
    </row>
    <row r="132" spans="1:21" x14ac:dyDescent="0.3">
      <c r="A132" s="775" t="s">
        <v>561</v>
      </c>
      <c r="B132" s="776"/>
      <c r="C132" s="776"/>
      <c r="D132" s="776"/>
      <c r="E132" s="776"/>
      <c r="F132" s="776"/>
      <c r="G132" s="776"/>
      <c r="H132" s="632" t="s">
        <v>375</v>
      </c>
      <c r="I132" s="134"/>
      <c r="J132" s="250"/>
      <c r="N132" s="817" t="s">
        <v>562</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77341.49000000002</v>
      </c>
      <c r="N133" s="638"/>
      <c r="O133" s="638"/>
      <c r="P133" s="638"/>
      <c r="Q133" s="638"/>
      <c r="R133" s="638"/>
      <c r="S133" s="638"/>
      <c r="T133" s="638"/>
      <c r="U133" s="138"/>
    </row>
    <row r="134" spans="1:21" x14ac:dyDescent="0.3">
      <c r="B134" s="630"/>
      <c r="C134" s="630"/>
      <c r="D134" s="630"/>
      <c r="E134" s="630"/>
      <c r="F134" s="630"/>
      <c r="G134" s="630"/>
      <c r="H134" s="65"/>
      <c r="I134" s="101"/>
      <c r="N134" s="638"/>
      <c r="O134" s="638"/>
      <c r="P134" s="638"/>
      <c r="Q134" s="638"/>
      <c r="R134" s="638"/>
      <c r="S134" s="638"/>
      <c r="T134" s="638"/>
      <c r="U134" s="138"/>
    </row>
    <row r="135" spans="1:21" x14ac:dyDescent="0.3">
      <c r="A135" s="3" t="s">
        <v>73</v>
      </c>
      <c r="B135" s="630"/>
      <c r="C135" s="630"/>
      <c r="D135" s="630"/>
      <c r="E135" s="630"/>
      <c r="F135" s="630"/>
      <c r="G135" s="257">
        <v>0</v>
      </c>
      <c r="H135" s="139">
        <f>IF(H133=1,I133,I130)</f>
        <v>77341.49000000002</v>
      </c>
      <c r="I135" s="94">
        <f>ROUND(IF(E30=0,0,IF(E30&gt;250,-(((250/E30)*H135)*IF(G135="H",0.02,0.05)),IF(G135="H",-0.02*H135,-0.05*H135))),2)</f>
        <v>-3867.07</v>
      </c>
      <c r="N135" s="814"/>
      <c r="O135" s="814"/>
      <c r="P135" s="814"/>
      <c r="Q135" s="814"/>
      <c r="R135" s="814"/>
      <c r="S135" s="814"/>
      <c r="T135" s="814"/>
      <c r="U135" s="814"/>
    </row>
    <row r="136" spans="1:21" x14ac:dyDescent="0.3">
      <c r="B136" s="630"/>
      <c r="C136" s="630"/>
      <c r="D136" s="630"/>
      <c r="E136" s="630"/>
      <c r="F136" s="630"/>
      <c r="G136" s="630"/>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316613.20000000007</v>
      </c>
      <c r="N137" s="71" t="s">
        <v>77</v>
      </c>
      <c r="O137" s="71"/>
      <c r="P137" s="71"/>
      <c r="Q137" s="71"/>
      <c r="R137" s="71"/>
      <c r="S137" s="71"/>
      <c r="T137" s="71"/>
      <c r="U137" s="71"/>
    </row>
    <row r="138" spans="1:21" x14ac:dyDescent="0.3">
      <c r="B138" s="630"/>
      <c r="C138" s="630"/>
      <c r="D138" s="630"/>
      <c r="E138" s="630"/>
      <c r="F138" s="630"/>
      <c r="G138" s="630"/>
      <c r="H138" s="65"/>
      <c r="I138" s="101"/>
      <c r="N138" s="72" t="s">
        <v>78</v>
      </c>
      <c r="O138" s="71"/>
      <c r="P138" s="71"/>
      <c r="Q138" s="71"/>
      <c r="R138" s="71"/>
      <c r="S138" s="71"/>
      <c r="T138" s="71"/>
      <c r="U138" s="71"/>
    </row>
    <row r="139" spans="1:21" x14ac:dyDescent="0.3">
      <c r="A139" s="3" t="s">
        <v>75</v>
      </c>
      <c r="B139" s="630"/>
      <c r="C139" s="140"/>
      <c r="D139" s="630"/>
      <c r="F139" s="630"/>
      <c r="G139" s="630"/>
      <c r="H139" s="65"/>
      <c r="I139" s="271">
        <f>-'Cumulative Payments'!Q71</f>
        <v>-267516.69</v>
      </c>
      <c r="N139" s="645"/>
      <c r="O139" s="645"/>
      <c r="P139" s="645"/>
      <c r="Q139" s="645"/>
      <c r="R139" s="645"/>
      <c r="S139" s="645"/>
      <c r="T139" s="645"/>
      <c r="U139" s="645"/>
    </row>
    <row r="140" spans="1:21" x14ac:dyDescent="0.3">
      <c r="B140" s="630"/>
      <c r="C140" s="630"/>
      <c r="D140" s="630"/>
      <c r="E140" s="630"/>
      <c r="F140" s="630"/>
      <c r="G140" s="630"/>
      <c r="H140" s="65"/>
      <c r="I140" s="101"/>
      <c r="N140" s="645"/>
      <c r="O140" s="645"/>
      <c r="P140" s="645"/>
      <c r="Q140" s="645"/>
      <c r="R140" s="645"/>
      <c r="S140" s="645"/>
      <c r="T140" s="645"/>
      <c r="U140" s="645"/>
    </row>
    <row r="141" spans="1:21" x14ac:dyDescent="0.3">
      <c r="A141" s="3" t="s">
        <v>246</v>
      </c>
      <c r="B141" s="630"/>
      <c r="C141" s="630"/>
      <c r="D141" s="630"/>
      <c r="E141" s="630"/>
      <c r="F141" s="630"/>
      <c r="G141" s="630"/>
      <c r="H141" s="65"/>
      <c r="I141" s="101">
        <f>I137+I139</f>
        <v>49096.510000000068</v>
      </c>
      <c r="N141" s="645"/>
      <c r="O141" s="645"/>
      <c r="P141" s="645"/>
      <c r="Q141" s="645"/>
      <c r="R141" s="645"/>
      <c r="S141" s="645"/>
      <c r="T141" s="645"/>
      <c r="U141" s="645"/>
    </row>
    <row r="142" spans="1:21" x14ac:dyDescent="0.3">
      <c r="A142" s="3"/>
      <c r="B142" s="630"/>
      <c r="C142" s="630"/>
      <c r="D142" s="630"/>
      <c r="E142" s="630"/>
      <c r="F142" s="630"/>
      <c r="G142" s="630"/>
      <c r="H142" s="65"/>
      <c r="I142" s="101"/>
      <c r="N142" s="645"/>
      <c r="O142" s="645"/>
      <c r="P142" s="645"/>
      <c r="Q142" s="645"/>
      <c r="R142" s="645"/>
      <c r="S142" s="645"/>
      <c r="T142" s="645"/>
      <c r="U142" s="645"/>
    </row>
    <row r="143" spans="1:21" x14ac:dyDescent="0.3">
      <c r="A143" s="3" t="s">
        <v>247</v>
      </c>
      <c r="B143" s="630"/>
      <c r="C143" s="630"/>
      <c r="D143" s="630"/>
      <c r="E143" s="630"/>
      <c r="F143" s="630"/>
      <c r="G143" s="630"/>
      <c r="H143" s="65"/>
      <c r="I143" s="272">
        <f>'1461'!I143</f>
        <v>1</v>
      </c>
      <c r="N143" s="645"/>
      <c r="O143" s="645"/>
      <c r="P143" s="645"/>
      <c r="Q143" s="645"/>
      <c r="R143" s="645"/>
      <c r="S143" s="645"/>
      <c r="T143" s="645"/>
      <c r="U143" s="645"/>
    </row>
    <row r="144" spans="1:21" x14ac:dyDescent="0.3">
      <c r="B144" s="630"/>
      <c r="C144" s="630"/>
      <c r="D144" s="630"/>
      <c r="E144" s="630"/>
      <c r="F144" s="630"/>
      <c r="G144" s="630"/>
      <c r="H144" s="65"/>
      <c r="I144" s="101"/>
      <c r="N144" s="645"/>
      <c r="O144" s="645"/>
      <c r="P144" s="645"/>
      <c r="Q144" s="645"/>
      <c r="R144" s="645"/>
      <c r="S144" s="645"/>
      <c r="T144" s="645"/>
      <c r="U144" s="645"/>
    </row>
    <row r="145" spans="1:21" ht="16.2" thickBot="1" x14ac:dyDescent="0.35">
      <c r="A145" s="3" t="s">
        <v>76</v>
      </c>
      <c r="B145" s="630"/>
      <c r="C145" s="630"/>
      <c r="D145" s="630"/>
      <c r="E145" s="630"/>
      <c r="F145" s="630"/>
      <c r="G145" s="630"/>
      <c r="H145" s="65"/>
      <c r="I145" s="155">
        <f>ROUND(I141/I143,2)</f>
        <v>49096.51</v>
      </c>
      <c r="K145" s="468"/>
      <c r="N145" s="645"/>
      <c r="O145" s="645"/>
      <c r="P145" s="645"/>
      <c r="Q145" s="645"/>
      <c r="R145" s="645"/>
      <c r="S145" s="645"/>
      <c r="T145" s="645"/>
      <c r="U145" s="645"/>
    </row>
    <row r="146" spans="1:21" ht="16.2" thickTop="1" x14ac:dyDescent="0.3">
      <c r="B146" s="630"/>
      <c r="C146" s="630"/>
      <c r="D146" s="630"/>
      <c r="E146" s="630"/>
      <c r="F146" s="630"/>
      <c r="G146" s="630"/>
      <c r="H146" s="65"/>
      <c r="I146" s="101"/>
      <c r="N146" s="645"/>
      <c r="O146" s="645"/>
      <c r="P146" s="645"/>
      <c r="Q146" s="645"/>
      <c r="R146" s="645"/>
      <c r="S146" s="645"/>
      <c r="T146" s="645"/>
      <c r="U146" s="645"/>
    </row>
    <row r="147" spans="1:21" ht="16.2" thickBot="1" x14ac:dyDescent="0.35">
      <c r="A147" s="3" t="s">
        <v>90</v>
      </c>
      <c r="B147" s="630"/>
      <c r="C147" s="630"/>
      <c r="D147" s="630"/>
      <c r="E147" s="630"/>
      <c r="F147" s="630"/>
      <c r="G147" s="630"/>
      <c r="H147" s="65"/>
      <c r="I147" s="133">
        <f>ROUND(IF(G135="H",(H135*0.02)+I135,(H135*0.05)+I135),2)</f>
        <v>0</v>
      </c>
      <c r="N147" s="645"/>
      <c r="O147" s="645"/>
      <c r="P147" s="645"/>
      <c r="Q147" s="645"/>
      <c r="R147" s="645"/>
      <c r="S147" s="645"/>
      <c r="T147" s="645"/>
      <c r="U147" s="645"/>
    </row>
    <row r="148" spans="1:21" ht="16.2" thickTop="1" x14ac:dyDescent="0.3">
      <c r="B148" s="630"/>
      <c r="C148" s="630"/>
      <c r="D148" s="630"/>
      <c r="E148" s="630"/>
      <c r="F148" s="630"/>
      <c r="G148" s="630"/>
      <c r="H148" s="65"/>
      <c r="I148" s="134"/>
      <c r="N148" s="645"/>
      <c r="O148" s="645"/>
      <c r="P148" s="645"/>
      <c r="Q148" s="645"/>
      <c r="R148" s="645"/>
      <c r="S148" s="645"/>
      <c r="T148" s="645"/>
      <c r="U148" s="645"/>
    </row>
    <row r="149" spans="1:21" x14ac:dyDescent="0.3">
      <c r="B149" s="630"/>
      <c r="C149" s="630"/>
      <c r="D149" s="630"/>
      <c r="E149" s="630"/>
      <c r="F149" s="630"/>
      <c r="G149" s="630"/>
      <c r="H149" s="65"/>
      <c r="I149" s="101"/>
      <c r="N149" s="645"/>
      <c r="O149" s="645"/>
      <c r="P149" s="645"/>
      <c r="Q149" s="645"/>
      <c r="R149" s="645"/>
      <c r="S149" s="645"/>
      <c r="T149" s="645"/>
      <c r="U149" s="645"/>
    </row>
    <row r="150" spans="1:21" x14ac:dyDescent="0.3">
      <c r="B150" s="630"/>
      <c r="C150" s="630"/>
      <c r="D150" s="630"/>
      <c r="E150" s="630"/>
      <c r="F150" s="630"/>
      <c r="G150" s="630"/>
      <c r="H150" s="65"/>
      <c r="I150" s="134"/>
      <c r="N150" s="645"/>
      <c r="O150" s="645"/>
      <c r="P150" s="645"/>
      <c r="Q150" s="645"/>
      <c r="R150" s="645"/>
      <c r="S150" s="645"/>
      <c r="T150" s="645"/>
      <c r="U150" s="645"/>
    </row>
    <row r="151" spans="1:21" ht="12.75" customHeight="1" x14ac:dyDescent="0.3">
      <c r="A151" s="356" t="s">
        <v>7</v>
      </c>
      <c r="B151" s="356"/>
      <c r="C151" s="356"/>
      <c r="D151" s="356"/>
      <c r="E151" s="356"/>
      <c r="F151" s="356"/>
      <c r="G151" s="356"/>
      <c r="H151" s="356"/>
      <c r="I151" s="356"/>
      <c r="J151" s="134"/>
      <c r="N151" s="645"/>
      <c r="O151" s="645"/>
      <c r="P151" s="645"/>
      <c r="Q151" s="645"/>
      <c r="R151" s="645"/>
      <c r="S151" s="645"/>
      <c r="T151" s="645"/>
      <c r="U151" s="645"/>
    </row>
    <row r="152" spans="1:21" ht="12.75" customHeight="1" x14ac:dyDescent="0.3">
      <c r="A152" s="357" t="s">
        <v>259</v>
      </c>
      <c r="B152" s="358"/>
      <c r="C152" s="358"/>
      <c r="D152" s="358"/>
      <c r="E152" s="358"/>
      <c r="F152" s="358"/>
      <c r="G152" s="358"/>
      <c r="H152" s="358"/>
      <c r="I152" s="358"/>
      <c r="J152" s="77"/>
      <c r="K152" s="338"/>
      <c r="L152" s="76"/>
      <c r="M152" s="76"/>
      <c r="N152" s="645"/>
      <c r="O152" s="645"/>
      <c r="P152" s="645"/>
      <c r="Q152" s="645"/>
      <c r="R152" s="645"/>
      <c r="S152" s="645"/>
      <c r="T152" s="645"/>
      <c r="U152" s="645"/>
    </row>
    <row r="153" spans="1:21" ht="12.75" customHeight="1" x14ac:dyDescent="0.3">
      <c r="A153" s="363" t="s">
        <v>434</v>
      </c>
      <c r="B153" s="358"/>
      <c r="C153" s="358"/>
      <c r="D153" s="358"/>
      <c r="E153" s="358"/>
      <c r="F153" s="358"/>
      <c r="G153" s="358"/>
      <c r="H153" s="358"/>
      <c r="I153" s="358"/>
      <c r="J153" s="77"/>
      <c r="K153" s="338"/>
      <c r="L153" s="76"/>
      <c r="M153" s="76"/>
      <c r="N153" s="645"/>
      <c r="O153" s="645"/>
      <c r="P153" s="645"/>
      <c r="Q153" s="645"/>
      <c r="R153" s="645"/>
      <c r="S153" s="645"/>
      <c r="T153" s="645"/>
      <c r="U153" s="645"/>
    </row>
    <row r="154" spans="1:21" ht="12.75" customHeight="1" x14ac:dyDescent="0.3">
      <c r="A154" s="360" t="s">
        <v>435</v>
      </c>
      <c r="B154" s="359"/>
      <c r="C154" s="359"/>
      <c r="D154" s="359"/>
      <c r="E154" s="359"/>
      <c r="F154" s="359"/>
      <c r="G154" s="359"/>
      <c r="H154" s="359"/>
      <c r="I154" s="359"/>
      <c r="J154" s="76"/>
      <c r="K154" s="76"/>
      <c r="L154" s="76"/>
      <c r="M154" s="76"/>
      <c r="N154" s="645"/>
      <c r="O154" s="645"/>
      <c r="P154" s="645"/>
      <c r="Q154" s="645"/>
      <c r="R154" s="645"/>
      <c r="S154" s="645"/>
      <c r="T154" s="645"/>
      <c r="U154" s="645"/>
    </row>
    <row r="155" spans="1:21" s="76" customFormat="1" ht="12.75" customHeight="1" x14ac:dyDescent="0.3">
      <c r="A155" s="360" t="s">
        <v>436</v>
      </c>
      <c r="B155" s="359"/>
      <c r="C155" s="359"/>
      <c r="D155" s="359"/>
      <c r="E155" s="359"/>
      <c r="F155" s="359"/>
      <c r="G155" s="359"/>
      <c r="H155" s="359"/>
      <c r="I155" s="359"/>
      <c r="N155" s="816"/>
      <c r="O155" s="816"/>
      <c r="P155" s="816"/>
      <c r="Q155" s="816"/>
      <c r="R155" s="816"/>
      <c r="S155" s="816"/>
      <c r="T155" s="816"/>
      <c r="U155" s="816"/>
    </row>
    <row r="156" spans="1:21" s="76" customFormat="1" ht="12.75" customHeight="1" x14ac:dyDescent="0.3">
      <c r="A156" s="360" t="s">
        <v>437</v>
      </c>
      <c r="B156" s="359"/>
      <c r="C156" s="359"/>
      <c r="D156" s="359"/>
      <c r="E156" s="359"/>
      <c r="F156" s="359"/>
      <c r="G156" s="359"/>
      <c r="H156" s="359"/>
      <c r="I156" s="359"/>
      <c r="N156" s="645"/>
      <c r="O156" s="645"/>
      <c r="P156" s="645"/>
      <c r="Q156" s="645"/>
      <c r="R156" s="645"/>
      <c r="S156" s="645"/>
      <c r="T156" s="645"/>
      <c r="U156" s="645"/>
    </row>
    <row r="157" spans="1:21" s="76" customFormat="1" ht="12.75" customHeight="1" x14ac:dyDescent="0.25">
      <c r="A157" s="360" t="s">
        <v>438</v>
      </c>
      <c r="B157" s="359"/>
      <c r="C157" s="359"/>
      <c r="D157" s="359"/>
      <c r="E157" s="359"/>
      <c r="F157" s="359"/>
      <c r="G157" s="359"/>
      <c r="H157" s="359"/>
      <c r="I157" s="359"/>
      <c r="N157" s="78"/>
      <c r="O157" s="79"/>
      <c r="P157" s="79"/>
      <c r="Q157" s="79"/>
      <c r="R157" s="79"/>
      <c r="S157" s="79"/>
      <c r="T157" s="79"/>
      <c r="U157" s="79"/>
    </row>
    <row r="158" spans="1:21" s="76" customFormat="1" ht="12.75" customHeight="1" x14ac:dyDescent="0.25">
      <c r="A158" s="360" t="s">
        <v>439</v>
      </c>
      <c r="B158" s="359"/>
      <c r="C158" s="359"/>
      <c r="D158" s="359"/>
      <c r="E158" s="359"/>
      <c r="F158" s="359"/>
      <c r="G158" s="359"/>
      <c r="H158" s="359"/>
      <c r="I158" s="359"/>
      <c r="N158" s="78"/>
    </row>
    <row r="159" spans="1:21" s="76" customFormat="1" ht="12.75" customHeight="1" x14ac:dyDescent="0.25">
      <c r="A159" s="360" t="s">
        <v>441</v>
      </c>
      <c r="B159" s="359"/>
      <c r="C159" s="359"/>
      <c r="D159" s="359"/>
      <c r="E159" s="359"/>
      <c r="F159" s="359"/>
      <c r="G159" s="359"/>
      <c r="H159" s="359"/>
      <c r="I159" s="359"/>
      <c r="K159" s="359"/>
      <c r="N159" s="78"/>
    </row>
    <row r="160" spans="1:21" s="76" customFormat="1" ht="12.75" customHeight="1" x14ac:dyDescent="0.25">
      <c r="A160" s="365" t="s">
        <v>440</v>
      </c>
      <c r="B160" s="359"/>
      <c r="C160" s="359"/>
      <c r="D160" s="359"/>
      <c r="E160" s="359"/>
      <c r="F160" s="359"/>
      <c r="G160" s="359"/>
      <c r="H160" s="359"/>
      <c r="I160" s="359"/>
      <c r="N160" s="78"/>
    </row>
    <row r="161" spans="1:14" s="76" customFormat="1" ht="12.75" customHeight="1" x14ac:dyDescent="0.25">
      <c r="A161" s="360" t="s">
        <v>442</v>
      </c>
      <c r="B161" s="359"/>
      <c r="C161" s="359"/>
      <c r="D161" s="359"/>
      <c r="E161" s="359"/>
      <c r="F161" s="359"/>
      <c r="G161" s="359"/>
      <c r="H161" s="359"/>
      <c r="I161" s="359"/>
      <c r="N161" s="78"/>
    </row>
    <row r="162" spans="1:14" s="76" customFormat="1" ht="12.75" customHeight="1" x14ac:dyDescent="0.25">
      <c r="A162" s="364" t="s">
        <v>260</v>
      </c>
      <c r="B162" s="359"/>
      <c r="C162" s="359"/>
      <c r="D162" s="359"/>
      <c r="E162" s="359"/>
      <c r="F162" s="359"/>
      <c r="G162" s="359"/>
      <c r="H162" s="359"/>
      <c r="I162" s="359"/>
      <c r="N162" s="78"/>
    </row>
    <row r="163" spans="1:14" s="76" customFormat="1" ht="12.75" customHeight="1" x14ac:dyDescent="0.25">
      <c r="A163" s="360" t="s">
        <v>445</v>
      </c>
      <c r="B163" s="359"/>
      <c r="C163" s="359"/>
      <c r="D163" s="359"/>
      <c r="E163" s="359"/>
      <c r="F163" s="359"/>
      <c r="G163" s="359"/>
      <c r="H163" s="359"/>
      <c r="I163" s="359"/>
      <c r="N163" s="78"/>
    </row>
    <row r="164" spans="1:14" s="76" customFormat="1" ht="12.75" customHeight="1" x14ac:dyDescent="0.25">
      <c r="A164" s="360" t="s">
        <v>287</v>
      </c>
      <c r="B164" s="359"/>
      <c r="C164" s="359"/>
      <c r="D164" s="359"/>
      <c r="E164" s="359"/>
      <c r="F164" s="359"/>
      <c r="G164" s="359"/>
      <c r="H164" s="359"/>
      <c r="I164" s="359"/>
      <c r="N164" s="78"/>
    </row>
    <row r="165" spans="1:14" s="76" customFormat="1" ht="12.75" customHeight="1" x14ac:dyDescent="0.25">
      <c r="A165" s="360" t="s">
        <v>447</v>
      </c>
      <c r="B165" s="359"/>
      <c r="C165" s="359"/>
      <c r="D165" s="359"/>
      <c r="E165" s="359"/>
      <c r="F165" s="359"/>
      <c r="G165" s="359"/>
      <c r="H165" s="359"/>
      <c r="I165" s="359"/>
      <c r="N165" s="78"/>
    </row>
    <row r="166" spans="1:14" s="76" customFormat="1" ht="12.75" customHeight="1" x14ac:dyDescent="0.25">
      <c r="A166" s="365" t="s">
        <v>446</v>
      </c>
      <c r="B166" s="359"/>
      <c r="C166" s="359"/>
      <c r="D166" s="359"/>
      <c r="E166" s="359"/>
      <c r="F166" s="359"/>
      <c r="G166" s="359"/>
      <c r="H166" s="359"/>
      <c r="I166" s="359"/>
      <c r="N166" s="78"/>
    </row>
    <row r="167" spans="1:14" s="76" customFormat="1" ht="12.75" customHeight="1" x14ac:dyDescent="0.25">
      <c r="A167" s="360" t="s">
        <v>448</v>
      </c>
      <c r="B167" s="359"/>
      <c r="C167" s="359"/>
      <c r="D167" s="359"/>
      <c r="E167" s="359"/>
      <c r="F167" s="359"/>
      <c r="G167" s="359"/>
      <c r="H167" s="359"/>
      <c r="I167" s="359"/>
      <c r="N167" s="78"/>
    </row>
    <row r="168" spans="1:14" s="76" customFormat="1" ht="12.75" customHeight="1" x14ac:dyDescent="0.25">
      <c r="A168" s="365" t="s">
        <v>261</v>
      </c>
      <c r="B168" s="359"/>
      <c r="C168" s="359"/>
      <c r="D168" s="359"/>
      <c r="E168" s="359"/>
      <c r="F168" s="359"/>
      <c r="G168" s="359"/>
      <c r="H168" s="359"/>
      <c r="I168" s="359"/>
      <c r="N168" s="78"/>
    </row>
    <row r="169" spans="1:14" s="76" customFormat="1" ht="12.75" customHeight="1" x14ac:dyDescent="0.25">
      <c r="A169" s="360" t="s">
        <v>450</v>
      </c>
      <c r="B169" s="359"/>
      <c r="C169" s="359"/>
      <c r="D169" s="359"/>
      <c r="E169" s="359"/>
      <c r="F169" s="359"/>
      <c r="G169" s="359"/>
      <c r="H169" s="359"/>
      <c r="I169" s="359"/>
      <c r="N169" s="78"/>
    </row>
    <row r="170" spans="1:14" s="76" customFormat="1" ht="12.75" customHeight="1" x14ac:dyDescent="0.25">
      <c r="A170" s="365" t="s">
        <v>449</v>
      </c>
      <c r="B170" s="359"/>
      <c r="C170" s="359"/>
      <c r="D170" s="359"/>
      <c r="E170" s="359"/>
      <c r="F170" s="359"/>
      <c r="G170" s="359"/>
      <c r="H170" s="359"/>
      <c r="I170" s="359"/>
      <c r="N170" s="78"/>
    </row>
    <row r="171" spans="1:14" s="76" customFormat="1" ht="12.75" customHeight="1" x14ac:dyDescent="0.25">
      <c r="A171" s="360"/>
      <c r="B171" s="359"/>
      <c r="C171" s="359"/>
      <c r="D171" s="359"/>
      <c r="E171" s="359"/>
      <c r="F171" s="359"/>
      <c r="G171" s="359"/>
      <c r="H171" s="359"/>
      <c r="I171" s="359"/>
      <c r="N171" s="78"/>
    </row>
    <row r="172" spans="1:14" s="76" customFormat="1" ht="12.75" customHeight="1" x14ac:dyDescent="0.25">
      <c r="A172" s="368" t="s">
        <v>67</v>
      </c>
      <c r="B172" s="359"/>
      <c r="C172" s="359"/>
      <c r="D172" s="359"/>
      <c r="E172" s="359"/>
      <c r="F172" s="359"/>
      <c r="G172" s="359"/>
      <c r="H172" s="359"/>
      <c r="I172" s="359"/>
      <c r="N172" s="78"/>
    </row>
    <row r="173" spans="1:14" s="76" customFormat="1" ht="12.75" customHeight="1" x14ac:dyDescent="0.25">
      <c r="A173" s="361" t="s">
        <v>262</v>
      </c>
      <c r="B173" s="362"/>
      <c r="C173" s="362"/>
      <c r="D173" s="362"/>
      <c r="E173" s="362"/>
      <c r="F173" s="362"/>
      <c r="G173" s="362"/>
      <c r="H173" s="362"/>
      <c r="I173" s="362"/>
      <c r="N173" s="78"/>
    </row>
    <row r="174" spans="1:14" s="76" customFormat="1" ht="12.75" customHeight="1" x14ac:dyDescent="0.25">
      <c r="A174" s="366" t="s">
        <v>318</v>
      </c>
      <c r="B174" s="369"/>
      <c r="C174" s="369"/>
      <c r="D174" s="369"/>
      <c r="E174" s="369"/>
      <c r="F174" s="369"/>
      <c r="G174" s="369"/>
      <c r="H174" s="369"/>
      <c r="I174" s="369"/>
      <c r="N174" s="78"/>
    </row>
    <row r="175" spans="1:14" s="76" customFormat="1" ht="12.75" customHeight="1" x14ac:dyDescent="0.25">
      <c r="A175" s="366" t="s">
        <v>451</v>
      </c>
      <c r="B175" s="369"/>
      <c r="C175" s="369"/>
      <c r="D175" s="369"/>
      <c r="E175" s="369"/>
      <c r="F175" s="369"/>
      <c r="G175" s="369"/>
      <c r="H175" s="369"/>
      <c r="I175" s="369"/>
      <c r="N175" s="78"/>
    </row>
    <row r="176" spans="1:14" s="76" customFormat="1" ht="12.75" customHeight="1" x14ac:dyDescent="0.25">
      <c r="A176" s="366" t="s">
        <v>452</v>
      </c>
      <c r="B176" s="369"/>
      <c r="C176" s="369"/>
      <c r="D176" s="369"/>
      <c r="E176" s="369"/>
      <c r="F176" s="369"/>
      <c r="G176" s="369"/>
      <c r="H176" s="369"/>
      <c r="I176" s="369"/>
      <c r="N176" s="78"/>
    </row>
    <row r="177" spans="1:21" s="76" customFormat="1" ht="12.75" customHeight="1" x14ac:dyDescent="0.25">
      <c r="A177" s="361"/>
      <c r="B177" s="369"/>
      <c r="C177" s="369"/>
      <c r="D177" s="369"/>
      <c r="E177" s="369"/>
      <c r="F177" s="369"/>
      <c r="G177" s="369"/>
      <c r="H177" s="369"/>
      <c r="I177" s="369"/>
      <c r="N177" s="78"/>
    </row>
    <row r="178" spans="1:21" s="76" customFormat="1" ht="12.75" customHeight="1" x14ac:dyDescent="0.3">
      <c r="A178" s="361" t="s">
        <v>319</v>
      </c>
      <c r="B178" s="362"/>
      <c r="C178" s="362"/>
      <c r="D178" s="362"/>
      <c r="E178" s="362"/>
      <c r="F178" s="362"/>
      <c r="G178" s="362"/>
      <c r="H178" s="362"/>
      <c r="I178" s="362"/>
      <c r="J178" s="3"/>
      <c r="K178" s="3"/>
      <c r="L178" s="3"/>
      <c r="M178" s="3"/>
      <c r="N178" s="78"/>
    </row>
    <row r="179" spans="1:21" s="76" customFormat="1" ht="12.75" customHeight="1" x14ac:dyDescent="0.3">
      <c r="A179" s="366" t="s">
        <v>318</v>
      </c>
      <c r="B179" s="362"/>
      <c r="C179" s="362"/>
      <c r="D179" s="362"/>
      <c r="E179" s="362"/>
      <c r="F179" s="362"/>
      <c r="G179" s="362"/>
      <c r="H179" s="362"/>
      <c r="I179" s="362"/>
      <c r="J179" s="3"/>
      <c r="K179" s="3"/>
      <c r="L179" s="3"/>
      <c r="M179" s="3"/>
      <c r="N179" s="78"/>
    </row>
    <row r="180" spans="1:21" s="76" customFormat="1" ht="12.75" customHeight="1" x14ac:dyDescent="0.3">
      <c r="A180" s="366" t="s">
        <v>320</v>
      </c>
      <c r="B180" s="362"/>
      <c r="C180" s="362"/>
      <c r="D180" s="362"/>
      <c r="E180" s="362"/>
      <c r="F180" s="362"/>
      <c r="G180" s="362"/>
      <c r="H180" s="362"/>
      <c r="I180" s="362"/>
      <c r="J180" s="3"/>
      <c r="K180" s="3"/>
      <c r="L180" s="3"/>
      <c r="M180" s="3"/>
      <c r="N180" s="78"/>
    </row>
    <row r="181" spans="1:21" s="76" customFormat="1" ht="12.75" customHeight="1" x14ac:dyDescent="0.3">
      <c r="A181" s="362"/>
      <c r="B181" s="362"/>
      <c r="C181" s="362"/>
      <c r="D181" s="362"/>
      <c r="E181" s="362"/>
      <c r="F181" s="362"/>
      <c r="G181" s="362"/>
      <c r="H181" s="362"/>
      <c r="I181" s="362"/>
      <c r="J181" s="3"/>
      <c r="K181" s="3"/>
      <c r="L181" s="3"/>
      <c r="M181" s="3"/>
      <c r="N181" s="78"/>
    </row>
    <row r="182" spans="1:21" s="76" customFormat="1" ht="12.75" customHeight="1" x14ac:dyDescent="0.25">
      <c r="A182" s="368" t="s">
        <v>68</v>
      </c>
      <c r="B182" s="368"/>
      <c r="C182" s="368"/>
      <c r="D182" s="368"/>
      <c r="E182" s="368"/>
      <c r="F182" s="368"/>
      <c r="G182" s="368"/>
      <c r="H182" s="368"/>
      <c r="I182" s="368"/>
      <c r="N182" s="78"/>
    </row>
    <row r="183" spans="1:21" ht="12.75" customHeight="1" x14ac:dyDescent="0.3">
      <c r="A183" s="361" t="s">
        <v>263</v>
      </c>
      <c r="B183" s="362"/>
      <c r="C183" s="362"/>
      <c r="D183" s="362"/>
      <c r="E183" s="362"/>
      <c r="F183" s="362"/>
      <c r="G183" s="362"/>
      <c r="H183" s="362"/>
      <c r="I183" s="362"/>
      <c r="J183" s="76"/>
      <c r="K183" s="76"/>
      <c r="L183" s="76"/>
      <c r="M183" s="76"/>
      <c r="N183" s="78"/>
      <c r="O183" s="76"/>
      <c r="P183" s="76"/>
      <c r="Q183" s="76"/>
      <c r="R183" s="76"/>
      <c r="S183" s="76"/>
      <c r="T183" s="76"/>
      <c r="U183" s="76"/>
    </row>
    <row r="184" spans="1:21" ht="12.75" customHeight="1" x14ac:dyDescent="0.3">
      <c r="A184" s="366" t="s">
        <v>264</v>
      </c>
      <c r="B184" s="369"/>
      <c r="C184" s="369"/>
      <c r="D184" s="369"/>
      <c r="E184" s="369"/>
      <c r="F184" s="369"/>
      <c r="G184" s="369"/>
      <c r="H184" s="369"/>
      <c r="I184" s="369"/>
      <c r="J184" s="76"/>
      <c r="K184" s="76"/>
      <c r="L184" s="76"/>
      <c r="M184" s="76"/>
      <c r="N184" s="78"/>
      <c r="O184" s="76"/>
      <c r="P184" s="76"/>
      <c r="Q184" s="76"/>
      <c r="R184" s="76"/>
      <c r="S184" s="76"/>
      <c r="T184" s="76"/>
      <c r="U184" s="76"/>
    </row>
    <row r="185" spans="1:21" s="76" customFormat="1" ht="12.75" customHeight="1" x14ac:dyDescent="0.3">
      <c r="A185" s="362" t="s">
        <v>11</v>
      </c>
      <c r="B185" s="362"/>
      <c r="C185" s="362"/>
      <c r="D185" s="362"/>
      <c r="E185" s="362"/>
      <c r="F185" s="362"/>
      <c r="G185" s="362"/>
      <c r="H185" s="362"/>
      <c r="I185" s="362"/>
      <c r="N185" s="74"/>
      <c r="O185" s="3"/>
      <c r="P185" s="3"/>
      <c r="Q185" s="3"/>
      <c r="R185" s="3"/>
      <c r="S185" s="3"/>
      <c r="T185" s="3"/>
      <c r="U185" s="3"/>
    </row>
    <row r="186" spans="1:21" s="76" customFormat="1" ht="15.75" customHeight="1" x14ac:dyDescent="0.3">
      <c r="A186" s="292"/>
      <c r="B186" s="292"/>
      <c r="C186" s="292"/>
      <c r="D186" s="292"/>
      <c r="E186" s="292"/>
      <c r="F186" s="292"/>
      <c r="G186" s="292"/>
      <c r="H186" s="292"/>
      <c r="I186" s="292"/>
      <c r="J186" s="3"/>
      <c r="K186" s="3"/>
      <c r="L186" s="3"/>
      <c r="M186" s="3"/>
      <c r="N186" s="78"/>
    </row>
    <row r="187" spans="1:21" s="76" customFormat="1" ht="15.75" customHeight="1" x14ac:dyDescent="0.3">
      <c r="A187" s="74"/>
      <c r="B187" s="3"/>
      <c r="C187" s="3"/>
      <c r="D187" s="3"/>
      <c r="E187" s="3"/>
      <c r="F187" s="3"/>
      <c r="G187" s="3"/>
      <c r="H187" s="3"/>
      <c r="I187" s="3"/>
      <c r="J187" s="3"/>
      <c r="K187" s="3"/>
      <c r="L187" s="3"/>
      <c r="M187" s="3"/>
      <c r="N187" s="78"/>
    </row>
    <row r="188" spans="1:21" ht="15.75" customHeight="1" x14ac:dyDescent="0.3">
      <c r="A188" s="74"/>
      <c r="N188" s="78"/>
      <c r="O188" s="76"/>
      <c r="P188" s="76"/>
      <c r="Q188" s="76"/>
      <c r="R188" s="76"/>
      <c r="S188" s="76"/>
      <c r="T188" s="76"/>
      <c r="U188" s="76"/>
    </row>
    <row r="189" spans="1:21" ht="15.75" customHeight="1" x14ac:dyDescent="0.3">
      <c r="A189" s="74"/>
      <c r="N189" s="78"/>
      <c r="O189" s="76"/>
      <c r="P189" s="76"/>
      <c r="Q189" s="76"/>
      <c r="R189" s="76"/>
      <c r="S189" s="76"/>
      <c r="T189" s="76"/>
      <c r="U189" s="76"/>
    </row>
    <row r="190" spans="1:21" ht="15.75" customHeight="1" x14ac:dyDescent="0.3">
      <c r="A190" s="74"/>
      <c r="B190" s="135"/>
      <c r="C190" s="135"/>
      <c r="D190" s="135"/>
      <c r="E190" s="135"/>
      <c r="F190" s="135"/>
      <c r="G190" s="135"/>
      <c r="H190" s="135"/>
      <c r="I190" s="135"/>
      <c r="N190" s="74"/>
    </row>
    <row r="191" spans="1:21" ht="15.75" customHeight="1" x14ac:dyDescent="0.3">
      <c r="A191" s="74"/>
      <c r="N191" s="74"/>
    </row>
    <row r="192" spans="1:21" ht="15.75" customHeight="1" x14ac:dyDescent="0.3">
      <c r="A192" s="74"/>
      <c r="N192" s="74"/>
    </row>
    <row r="193" spans="1:14" ht="15.75" customHeight="1" x14ac:dyDescent="0.3">
      <c r="A193" s="74"/>
      <c r="N193" s="74"/>
    </row>
    <row r="194" spans="1:14" ht="15.75" customHeight="1" x14ac:dyDescent="0.3">
      <c r="A194" s="74"/>
      <c r="N194" s="74"/>
    </row>
    <row r="195" spans="1:14" ht="15.75" customHeight="1" x14ac:dyDescent="0.3">
      <c r="A195" s="74"/>
      <c r="N195" s="74"/>
    </row>
    <row r="196" spans="1:14" ht="15.75" customHeight="1" x14ac:dyDescent="0.3">
      <c r="A196" s="74"/>
      <c r="N196" s="74"/>
    </row>
    <row r="197" spans="1:14" ht="15.75" customHeight="1" x14ac:dyDescent="0.3">
      <c r="A197" s="74"/>
      <c r="N197" s="74"/>
    </row>
    <row r="198" spans="1:14" ht="15.75" customHeight="1" x14ac:dyDescent="0.3">
      <c r="A198" s="74"/>
      <c r="N198" s="74"/>
    </row>
    <row r="199" spans="1:14" ht="15.75" customHeight="1" x14ac:dyDescent="0.3">
      <c r="A199" s="74"/>
      <c r="N199" s="74"/>
    </row>
    <row r="200" spans="1:14" ht="15.75" customHeight="1" x14ac:dyDescent="0.3">
      <c r="A200" s="74"/>
      <c r="N200" s="74"/>
    </row>
    <row r="201" spans="1:14" ht="15.75" customHeight="1" x14ac:dyDescent="0.3">
      <c r="A201" s="74"/>
      <c r="N201" s="74"/>
    </row>
    <row r="202" spans="1:14" ht="15.75" customHeight="1" x14ac:dyDescent="0.3">
      <c r="A202" s="74"/>
      <c r="N202" s="74"/>
    </row>
    <row r="203" spans="1:14" ht="15.75" customHeight="1" x14ac:dyDescent="0.3">
      <c r="A203" s="74"/>
      <c r="N203" s="74"/>
    </row>
    <row r="204" spans="1:14" ht="15.75" customHeight="1" x14ac:dyDescent="0.3">
      <c r="A204" s="74"/>
      <c r="N204" s="74"/>
    </row>
    <row r="205" spans="1:14" x14ac:dyDescent="0.3">
      <c r="A205" s="74"/>
      <c r="N205" s="74"/>
    </row>
    <row r="206" spans="1:14" x14ac:dyDescent="0.3">
      <c r="A206" s="74"/>
      <c r="N206" s="74"/>
    </row>
    <row r="207" spans="1:14" x14ac:dyDescent="0.3">
      <c r="A207" s="74"/>
      <c r="N207" s="74"/>
    </row>
    <row r="208" spans="1:14" x14ac:dyDescent="0.3">
      <c r="A208" s="74"/>
      <c r="N208" s="74"/>
    </row>
    <row r="209" spans="1:14" x14ac:dyDescent="0.3">
      <c r="A209" s="74"/>
      <c r="N209" s="74"/>
    </row>
    <row r="210" spans="1:14" x14ac:dyDescent="0.3">
      <c r="A210" s="74"/>
      <c r="N210" s="74"/>
    </row>
    <row r="211" spans="1:14" x14ac:dyDescent="0.3">
      <c r="A211" s="74"/>
      <c r="N211" s="74"/>
    </row>
    <row r="212" spans="1:14" x14ac:dyDescent="0.3">
      <c r="A212" s="74"/>
      <c r="N212" s="74"/>
    </row>
    <row r="213" spans="1:14" x14ac:dyDescent="0.3">
      <c r="A213" s="74"/>
      <c r="N213" s="74"/>
    </row>
    <row r="214" spans="1:14" x14ac:dyDescent="0.3">
      <c r="A214" s="74"/>
      <c r="N214" s="74"/>
    </row>
    <row r="215" spans="1:14" x14ac:dyDescent="0.3">
      <c r="A215" s="74"/>
      <c r="N215" s="74"/>
    </row>
    <row r="216" spans="1:14" x14ac:dyDescent="0.3">
      <c r="A216" s="74"/>
      <c r="N216" s="74"/>
    </row>
    <row r="217" spans="1:14" x14ac:dyDescent="0.3">
      <c r="A217" s="74"/>
      <c r="N217" s="74"/>
    </row>
    <row r="218" spans="1:14" x14ac:dyDescent="0.3">
      <c r="A218" s="74"/>
      <c r="N218" s="74"/>
    </row>
    <row r="219" spans="1:14" x14ac:dyDescent="0.3">
      <c r="A219" s="74"/>
      <c r="N219" s="74"/>
    </row>
    <row r="220" spans="1:14" x14ac:dyDescent="0.3">
      <c r="A220" s="74"/>
      <c r="N220" s="74"/>
    </row>
    <row r="221" spans="1:14" x14ac:dyDescent="0.3">
      <c r="A221" s="74"/>
      <c r="N221" s="74"/>
    </row>
    <row r="222" spans="1:14" x14ac:dyDescent="0.3">
      <c r="A222" s="74"/>
      <c r="N222" s="74"/>
    </row>
    <row r="223" spans="1:14" x14ac:dyDescent="0.3">
      <c r="A223" s="74"/>
      <c r="N223" s="74"/>
    </row>
    <row r="224" spans="1:14" x14ac:dyDescent="0.3">
      <c r="A224" s="74"/>
      <c r="N224" s="74"/>
    </row>
    <row r="225" spans="1:14" x14ac:dyDescent="0.3">
      <c r="A225" s="74"/>
      <c r="N225" s="74"/>
    </row>
    <row r="226" spans="1:14" x14ac:dyDescent="0.3">
      <c r="A226" s="74"/>
      <c r="N226" s="74"/>
    </row>
    <row r="227" spans="1:14" x14ac:dyDescent="0.3">
      <c r="A227" s="74"/>
      <c r="N227" s="74"/>
    </row>
    <row r="228" spans="1:14" x14ac:dyDescent="0.3">
      <c r="A228" s="74"/>
      <c r="N228" s="74"/>
    </row>
    <row r="229" spans="1:14" x14ac:dyDescent="0.3">
      <c r="A229" s="74"/>
      <c r="N229" s="74"/>
    </row>
    <row r="230" spans="1:14" x14ac:dyDescent="0.3">
      <c r="A230" s="74"/>
      <c r="N230" s="74"/>
    </row>
    <row r="231" spans="1:14" x14ac:dyDescent="0.3">
      <c r="A231" s="74"/>
    </row>
    <row r="232" spans="1:14" x14ac:dyDescent="0.3">
      <c r="A232" s="74"/>
    </row>
    <row r="233" spans="1:14" x14ac:dyDescent="0.3">
      <c r="A233" s="74"/>
    </row>
    <row r="234" spans="1:14" x14ac:dyDescent="0.3">
      <c r="A234" s="74"/>
    </row>
    <row r="235" spans="1:14" x14ac:dyDescent="0.3">
      <c r="A235" s="74"/>
    </row>
    <row r="236" spans="1:14" x14ac:dyDescent="0.3">
      <c r="A236" s="74"/>
    </row>
    <row r="237" spans="1:14" x14ac:dyDescent="0.3">
      <c r="A237" s="74"/>
    </row>
    <row r="238" spans="1:14" x14ac:dyDescent="0.3">
      <c r="A238" s="74"/>
    </row>
    <row r="239" spans="1:14" x14ac:dyDescent="0.3">
      <c r="A239" s="74"/>
    </row>
    <row r="240" spans="1:14" x14ac:dyDescent="0.3">
      <c r="A240" s="74"/>
    </row>
    <row r="241" spans="1:1" x14ac:dyDescent="0.3">
      <c r="A241" s="74"/>
    </row>
    <row r="242" spans="1:1" x14ac:dyDescent="0.3">
      <c r="A242" s="74"/>
    </row>
    <row r="243" spans="1:1" x14ac:dyDescent="0.3">
      <c r="A243" s="74"/>
    </row>
    <row r="244" spans="1:1" x14ac:dyDescent="0.3">
      <c r="A244" s="74"/>
    </row>
    <row r="245" spans="1:1" x14ac:dyDescent="0.3">
      <c r="A245" s="74"/>
    </row>
    <row r="246" spans="1:1" x14ac:dyDescent="0.3">
      <c r="A246" s="74"/>
    </row>
  </sheetData>
  <mergeCells count="258">
    <mergeCell ref="A133:G133"/>
    <mergeCell ref="N135:U135"/>
    <mergeCell ref="N136:U136"/>
    <mergeCell ref="N155:U155"/>
    <mergeCell ref="A126:C126"/>
    <mergeCell ref="F126:H126"/>
    <mergeCell ref="N126:P126"/>
    <mergeCell ref="A128:H128"/>
    <mergeCell ref="N130:T130"/>
    <mergeCell ref="A132:G132"/>
    <mergeCell ref="N132:T132"/>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7:D107"/>
    <mergeCell ref="P107:T107"/>
    <mergeCell ref="A108:I108"/>
    <mergeCell ref="N108:U108"/>
    <mergeCell ref="F110:I110"/>
    <mergeCell ref="N110:P110"/>
    <mergeCell ref="Q110:T110"/>
    <mergeCell ref="R103:U103"/>
    <mergeCell ref="C104:D104"/>
    <mergeCell ref="P104:Q104"/>
    <mergeCell ref="C105:D105"/>
    <mergeCell ref="P105:Q105"/>
    <mergeCell ref="C106:D106"/>
    <mergeCell ref="P106:Q106"/>
    <mergeCell ref="A94:C94"/>
    <mergeCell ref="N94:P94"/>
    <mergeCell ref="A96:C96"/>
    <mergeCell ref="N96:P96"/>
    <mergeCell ref="C102:D102"/>
    <mergeCell ref="C103:D103"/>
    <mergeCell ref="N103:O103"/>
    <mergeCell ref="P103:Q103"/>
    <mergeCell ref="N82:S82"/>
    <mergeCell ref="T82:U82"/>
    <mergeCell ref="A87:C87"/>
    <mergeCell ref="N87:P87"/>
    <mergeCell ref="A88:C88"/>
    <mergeCell ref="N88:P88"/>
    <mergeCell ref="N79:S79"/>
    <mergeCell ref="T79:U79"/>
    <mergeCell ref="A81:B81"/>
    <mergeCell ref="D81:G81"/>
    <mergeCell ref="N81:O81"/>
    <mergeCell ref="Q81:S81"/>
    <mergeCell ref="T81:U81"/>
    <mergeCell ref="N76:S76"/>
    <mergeCell ref="T76:U76"/>
    <mergeCell ref="A78:B78"/>
    <mergeCell ref="D78:G78"/>
    <mergeCell ref="N78:O78"/>
    <mergeCell ref="Q78:S78"/>
    <mergeCell ref="T78:U78"/>
    <mergeCell ref="N73:S73"/>
    <mergeCell ref="T73:U73"/>
    <mergeCell ref="A75:B75"/>
    <mergeCell ref="D75:G75"/>
    <mergeCell ref="N75:O75"/>
    <mergeCell ref="Q75:S75"/>
    <mergeCell ref="T75:U75"/>
    <mergeCell ref="N70:S70"/>
    <mergeCell ref="T70:U70"/>
    <mergeCell ref="A72:B72"/>
    <mergeCell ref="D72:G72"/>
    <mergeCell ref="N72:O72"/>
    <mergeCell ref="Q72:S72"/>
    <mergeCell ref="T72:U72"/>
    <mergeCell ref="P64:Q64"/>
    <mergeCell ref="P65:Q65"/>
    <mergeCell ref="F66:H66"/>
    <mergeCell ref="P66:Q66"/>
    <mergeCell ref="R66:T66"/>
    <mergeCell ref="A69:B69"/>
    <mergeCell ref="D69:G69"/>
    <mergeCell ref="N69:O69"/>
    <mergeCell ref="Q69:S69"/>
    <mergeCell ref="T69:U69"/>
    <mergeCell ref="P56:Q56"/>
    <mergeCell ref="A57:B65"/>
    <mergeCell ref="N57:O65"/>
    <mergeCell ref="P57:Q57"/>
    <mergeCell ref="P58:Q58"/>
    <mergeCell ref="P59:Q59"/>
    <mergeCell ref="P60:Q60"/>
    <mergeCell ref="P61:Q61"/>
    <mergeCell ref="P62:Q62"/>
    <mergeCell ref="P63:Q63"/>
    <mergeCell ref="A43:B43"/>
    <mergeCell ref="N43:O43"/>
    <mergeCell ref="P43:T43"/>
    <mergeCell ref="N44:Q44"/>
    <mergeCell ref="S44:T44"/>
    <mergeCell ref="N46:Q46"/>
    <mergeCell ref="S46:T46"/>
    <mergeCell ref="A41:B41"/>
    <mergeCell ref="N41:O41"/>
    <mergeCell ref="P41:T41"/>
    <mergeCell ref="A42:B42"/>
    <mergeCell ref="N42:O42"/>
    <mergeCell ref="P42:T42"/>
    <mergeCell ref="A39:B39"/>
    <mergeCell ref="N39:O39"/>
    <mergeCell ref="P39:T39"/>
    <mergeCell ref="A40:B40"/>
    <mergeCell ref="N40:O40"/>
    <mergeCell ref="P40:T40"/>
    <mergeCell ref="F34:H37"/>
    <mergeCell ref="N35:T35"/>
    <mergeCell ref="A37:B37"/>
    <mergeCell ref="N37:O37"/>
    <mergeCell ref="P37:T37"/>
    <mergeCell ref="A38:B38"/>
    <mergeCell ref="N38:O38"/>
    <mergeCell ref="P38:T38"/>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F11:G11"/>
    <mergeCell ref="R11:S11"/>
    <mergeCell ref="F12:G12"/>
    <mergeCell ref="N12:O12"/>
    <mergeCell ref="P12:Q12"/>
    <mergeCell ref="R12:S12"/>
    <mergeCell ref="A7:I7"/>
    <mergeCell ref="N7:U7"/>
    <mergeCell ref="N8:O8"/>
    <mergeCell ref="P8:Q8"/>
    <mergeCell ref="R8:S8"/>
    <mergeCell ref="T8:U8"/>
    <mergeCell ref="B1:I1"/>
    <mergeCell ref="O1:U1"/>
    <mergeCell ref="N2:U2"/>
    <mergeCell ref="N3:U3"/>
    <mergeCell ref="A4:B4"/>
    <mergeCell ref="C4:E4"/>
    <mergeCell ref="N4:O4"/>
    <mergeCell ref="P4:Q4"/>
    <mergeCell ref="T9:U9"/>
  </mergeCells>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FFCCCC"/>
  </sheetPr>
  <dimension ref="A1:V246"/>
  <sheetViews>
    <sheetView topLeftCell="A111" workbookViewId="0">
      <selection activeCell="I139" sqref="I139"/>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1" width="12.6640625" style="3" bestFit="1" customWidth="1"/>
    <col min="12"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v>50</v>
      </c>
      <c r="B1" s="799" t="s">
        <v>15</v>
      </c>
      <c r="C1" s="800"/>
      <c r="D1" s="800"/>
      <c r="E1" s="800"/>
      <c r="F1" s="800"/>
      <c r="G1" s="800"/>
      <c r="H1" s="800"/>
      <c r="I1" s="800"/>
      <c r="J1" s="135"/>
      <c r="K1" s="135"/>
      <c r="L1" s="135"/>
      <c r="N1" s="82">
        <f>A1</f>
        <v>50</v>
      </c>
      <c r="O1" s="880" t="s">
        <v>15</v>
      </c>
      <c r="P1" s="881"/>
      <c r="Q1" s="881"/>
      <c r="R1" s="881"/>
      <c r="S1" s="881"/>
      <c r="T1" s="881"/>
      <c r="U1" s="881"/>
    </row>
    <row r="2" spans="1:21" ht="21" x14ac:dyDescent="0.4">
      <c r="A2" s="1" t="s">
        <v>252</v>
      </c>
      <c r="B2" s="2"/>
      <c r="C2" s="2"/>
      <c r="D2" s="2"/>
      <c r="E2" s="2"/>
      <c r="F2" s="2"/>
      <c r="G2" s="2"/>
      <c r="H2" s="2"/>
      <c r="I2" s="2"/>
      <c r="N2" s="882" t="s">
        <v>18</v>
      </c>
      <c r="O2" s="882"/>
      <c r="P2" s="882"/>
      <c r="Q2" s="882"/>
      <c r="R2" s="882"/>
      <c r="S2" s="882"/>
      <c r="T2" s="882"/>
      <c r="U2" s="882"/>
    </row>
    <row r="3" spans="1:21" x14ac:dyDescent="0.3">
      <c r="A3" s="253" t="s">
        <v>623</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
        <v>617</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v>5330.98</v>
      </c>
      <c r="D8" s="86"/>
      <c r="E8" s="87"/>
      <c r="F8" s="84"/>
      <c r="G8" s="85" t="s">
        <v>455</v>
      </c>
      <c r="H8" s="286">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v>1</v>
      </c>
      <c r="I9" s="75"/>
      <c r="N9" s="12"/>
      <c r="O9" s="12"/>
      <c r="P9" s="13"/>
      <c r="Q9" s="13"/>
      <c r="R9" s="435" t="s">
        <v>454</v>
      </c>
      <c r="S9" s="435"/>
      <c r="T9" s="879">
        <f>H9</f>
        <v>1</v>
      </c>
      <c r="U9" s="879"/>
    </row>
    <row r="10" spans="1:21" x14ac:dyDescent="0.3">
      <c r="A10" s="7"/>
      <c r="B10" s="7" t="s">
        <v>328</v>
      </c>
      <c r="C10" s="8" t="s">
        <v>328</v>
      </c>
      <c r="D10" s="8" t="s">
        <v>328</v>
      </c>
      <c r="E10" s="8"/>
      <c r="F10" s="9"/>
      <c r="G10" s="9"/>
      <c r="H10" s="10"/>
      <c r="I10" s="340" t="s">
        <v>574</v>
      </c>
      <c r="N10" s="12"/>
      <c r="O10" s="12"/>
      <c r="P10" s="13"/>
      <c r="Q10" s="13"/>
      <c r="R10" s="14"/>
      <c r="S10" s="14"/>
      <c r="T10" s="15"/>
      <c r="U10" s="409" t="str">
        <f>I10</f>
        <v>2024-25</v>
      </c>
    </row>
    <row r="11" spans="1:21" x14ac:dyDescent="0.3">
      <c r="A11" s="7"/>
      <c r="B11" s="7"/>
      <c r="C11" s="88" t="s">
        <v>581</v>
      </c>
      <c r="D11" s="348" t="s">
        <v>582</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36" t="s">
        <v>1</v>
      </c>
      <c r="B12" s="36"/>
      <c r="C12" s="339" t="s">
        <v>2</v>
      </c>
      <c r="D12" s="339" t="s">
        <v>2</v>
      </c>
      <c r="E12" s="90"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227.2</v>
      </c>
      <c r="D18" s="143">
        <v>228.67</v>
      </c>
      <c r="E18" s="116">
        <f>IF(D$30=0,C18*2,C18+D18)</f>
        <v>455.87</v>
      </c>
      <c r="F18" s="859">
        <v>0.97799999999999998</v>
      </c>
      <c r="G18" s="859"/>
      <c r="H18" s="80">
        <f t="shared" si="2"/>
        <v>445.84089999999998</v>
      </c>
      <c r="I18" s="101">
        <f t="shared" si="3"/>
        <v>2473741.09</v>
      </c>
      <c r="N18" s="818" t="s">
        <v>24</v>
      </c>
      <c r="O18" s="818"/>
      <c r="P18" s="860">
        <f t="shared" si="0"/>
        <v>0</v>
      </c>
      <c r="Q18" s="860"/>
      <c r="R18" s="864">
        <v>1</v>
      </c>
      <c r="S18" s="864"/>
      <c r="T18" s="95">
        <f t="shared" si="4"/>
        <v>0</v>
      </c>
      <c r="U18" s="523">
        <f t="shared" si="5"/>
        <v>0</v>
      </c>
    </row>
    <row r="19" spans="1:21" x14ac:dyDescent="0.3">
      <c r="A19" s="776" t="s">
        <v>25</v>
      </c>
      <c r="B19" s="776"/>
      <c r="C19" s="143">
        <v>40.72</v>
      </c>
      <c r="D19" s="143">
        <v>40.69</v>
      </c>
      <c r="E19" s="116">
        <f t="shared" si="1"/>
        <v>81.41</v>
      </c>
      <c r="F19" s="859">
        <v>0.97799999999999998</v>
      </c>
      <c r="G19" s="859"/>
      <c r="H19" s="80">
        <f t="shared" si="2"/>
        <v>79.619</v>
      </c>
      <c r="I19" s="101">
        <f t="shared" si="3"/>
        <v>441764.75</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v>1.1919999999999999</v>
      </c>
      <c r="G26" s="859"/>
      <c r="H26" s="80">
        <f t="shared" si="2"/>
        <v>0</v>
      </c>
      <c r="I26" s="101">
        <f t="shared" si="3"/>
        <v>0</v>
      </c>
      <c r="L26" s="250"/>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v>1.1919999999999999</v>
      </c>
      <c r="G27" s="859"/>
      <c r="H27" s="80">
        <f t="shared" si="2"/>
        <v>0</v>
      </c>
      <c r="I27" s="101">
        <f t="shared" si="3"/>
        <v>0</v>
      </c>
      <c r="L27" s="250"/>
      <c r="N27" s="818" t="s">
        <v>86</v>
      </c>
      <c r="O27" s="818"/>
      <c r="P27" s="860">
        <f t="shared" si="0"/>
        <v>0</v>
      </c>
      <c r="Q27" s="860"/>
      <c r="R27" s="864">
        <v>1</v>
      </c>
      <c r="S27" s="864"/>
      <c r="T27" s="95">
        <f t="shared" si="4"/>
        <v>0</v>
      </c>
      <c r="U27" s="523">
        <f t="shared" si="5"/>
        <v>0</v>
      </c>
    </row>
    <row r="28" spans="1:21" x14ac:dyDescent="0.3">
      <c r="A28" s="776" t="s">
        <v>87</v>
      </c>
      <c r="B28" s="776"/>
      <c r="C28" s="143">
        <v>3.47</v>
      </c>
      <c r="D28" s="143">
        <v>2.61</v>
      </c>
      <c r="E28" s="116">
        <f t="shared" si="1"/>
        <v>6.08</v>
      </c>
      <c r="F28" s="859">
        <v>1.1919999999999999</v>
      </c>
      <c r="G28" s="859"/>
      <c r="H28" s="80">
        <f t="shared" si="2"/>
        <v>7.2473999999999998</v>
      </c>
      <c r="I28" s="101">
        <f t="shared" si="3"/>
        <v>40212.080000000002</v>
      </c>
      <c r="N28" s="818" t="s">
        <v>87</v>
      </c>
      <c r="O28" s="818"/>
      <c r="P28" s="860">
        <f t="shared" si="0"/>
        <v>0</v>
      </c>
      <c r="Q28" s="860"/>
      <c r="R28" s="864">
        <v>1</v>
      </c>
      <c r="S28" s="864"/>
      <c r="T28" s="95">
        <f t="shared" si="4"/>
        <v>0</v>
      </c>
      <c r="U28" s="523">
        <f t="shared" si="5"/>
        <v>0</v>
      </c>
    </row>
    <row r="29" spans="1:21" x14ac:dyDescent="0.3">
      <c r="A29" s="776" t="s">
        <v>88</v>
      </c>
      <c r="B29" s="776"/>
      <c r="C29" s="110">
        <v>78.709999999999994</v>
      </c>
      <c r="D29" s="110">
        <v>76.48</v>
      </c>
      <c r="E29" s="154">
        <f t="shared" si="1"/>
        <v>155.19</v>
      </c>
      <c r="F29" s="859">
        <v>1.079</v>
      </c>
      <c r="G29" s="859"/>
      <c r="H29" s="93">
        <f t="shared" si="2"/>
        <v>167.45</v>
      </c>
      <c r="I29" s="94">
        <f t="shared" si="3"/>
        <v>929093.64</v>
      </c>
      <c r="N29" s="819" t="s">
        <v>88</v>
      </c>
      <c r="O29" s="819"/>
      <c r="P29" s="860">
        <f t="shared" si="0"/>
        <v>0</v>
      </c>
      <c r="Q29" s="860"/>
      <c r="R29" s="861">
        <v>1</v>
      </c>
      <c r="S29" s="861"/>
      <c r="T29" s="95">
        <f t="shared" si="4"/>
        <v>0</v>
      </c>
      <c r="U29" s="523">
        <f t="shared" si="5"/>
        <v>0</v>
      </c>
    </row>
    <row r="30" spans="1:21" x14ac:dyDescent="0.3">
      <c r="A30" s="779" t="s">
        <v>5</v>
      </c>
      <c r="B30" s="779"/>
      <c r="C30" s="94">
        <f>SUM(C14:C29)</f>
        <v>350.09999999999997</v>
      </c>
      <c r="D30" s="94">
        <f>SUM(D14:D29)</f>
        <v>348.45000000000005</v>
      </c>
      <c r="E30" s="94">
        <f>SUM(E14:E29)</f>
        <v>698.55</v>
      </c>
      <c r="F30" s="795"/>
      <c r="G30" s="795"/>
      <c r="H30" s="99">
        <f>SUM(H14:H29)</f>
        <v>700.15729999999985</v>
      </c>
      <c r="I30" s="94">
        <f>SUM(I14:I29)</f>
        <v>3884811.56</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281" t="s">
        <v>251</v>
      </c>
      <c r="B32" s="26"/>
      <c r="C32" s="101"/>
      <c r="D32" s="101"/>
      <c r="E32" s="101"/>
      <c r="F32" s="27"/>
      <c r="G32" s="27"/>
      <c r="H32" s="80"/>
      <c r="I32" s="101"/>
      <c r="N32" s="28"/>
      <c r="O32" s="28"/>
      <c r="P32" s="29"/>
      <c r="Q32" s="29"/>
      <c r="R32" s="30"/>
      <c r="S32" s="30"/>
      <c r="T32" s="102"/>
      <c r="U32" s="103"/>
    </row>
    <row r="33" spans="1:21" hidden="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54" t="s">
        <v>232</v>
      </c>
      <c r="G34" s="854"/>
      <c r="H34" s="854"/>
      <c r="I34" s="101"/>
      <c r="N34" s="28"/>
      <c r="O34" s="28"/>
      <c r="P34" s="29"/>
      <c r="Q34" s="29"/>
      <c r="R34" s="30"/>
      <c r="S34" s="30"/>
      <c r="T34" s="102"/>
      <c r="U34" s="103"/>
    </row>
    <row r="35" spans="1:21" ht="15.6" hidden="1" customHeight="1" x14ac:dyDescent="0.3">
      <c r="A35" s="3"/>
      <c r="B35" s="69"/>
      <c r="C35" s="69"/>
      <c r="D35" s="69"/>
      <c r="E35" s="69"/>
      <c r="F35" s="854"/>
      <c r="G35" s="854"/>
      <c r="H35" s="854"/>
      <c r="I35" s="24" t="str">
        <f>I10</f>
        <v>2024-25</v>
      </c>
      <c r="N35" s="822" t="s">
        <v>26</v>
      </c>
      <c r="O35" s="822"/>
      <c r="P35" s="822"/>
      <c r="Q35" s="822"/>
      <c r="R35" s="822"/>
      <c r="S35" s="822"/>
      <c r="T35" s="822"/>
      <c r="U35" s="25" t="str">
        <f>I35</f>
        <v>2024-25</v>
      </c>
    </row>
    <row r="36" spans="1:21" hidden="1" x14ac:dyDescent="0.3">
      <c r="A36" s="26"/>
      <c r="B36" s="26"/>
      <c r="C36" s="88" t="s">
        <v>347</v>
      </c>
      <c r="D36" s="88"/>
      <c r="E36" s="89" t="s">
        <v>8</v>
      </c>
      <c r="F36" s="854"/>
      <c r="G36" s="854"/>
      <c r="H36" s="854"/>
      <c r="I36" s="24" t="s">
        <v>27</v>
      </c>
      <c r="N36" s="28"/>
      <c r="O36" s="28"/>
      <c r="P36" s="29"/>
      <c r="Q36" s="29"/>
      <c r="R36" s="30"/>
      <c r="S36" s="30"/>
      <c r="T36" s="102"/>
      <c r="U36" s="25" t="s">
        <v>27</v>
      </c>
    </row>
    <row r="37" spans="1:21" ht="27.6" hidden="1" x14ac:dyDescent="0.3">
      <c r="A37" s="796" t="s">
        <v>50</v>
      </c>
      <c r="B37" s="796"/>
      <c r="C37" s="339" t="s">
        <v>2</v>
      </c>
      <c r="D37" s="339"/>
      <c r="E37" s="90" t="s">
        <v>2</v>
      </c>
      <c r="F37" s="855"/>
      <c r="G37" s="855"/>
      <c r="H37" s="855"/>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700.15729999999985</v>
      </c>
      <c r="F46" s="34"/>
      <c r="G46" s="106"/>
      <c r="H46" s="107" t="s">
        <v>98</v>
      </c>
      <c r="I46" s="94">
        <f>SUM(I44,I30)</f>
        <v>3884811.56</v>
      </c>
      <c r="N46" s="847" t="s">
        <v>44</v>
      </c>
      <c r="O46" s="847"/>
      <c r="P46" s="847"/>
      <c r="Q46" s="847"/>
      <c r="R46" s="35">
        <f>R44+T30</f>
        <v>0</v>
      </c>
      <c r="S46" s="852" t="s">
        <v>42</v>
      </c>
      <c r="T46" s="852"/>
      <c r="U46" s="108">
        <f>SUM(U44,U30)</f>
        <v>0</v>
      </c>
    </row>
    <row r="47" spans="1:2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2" t="s">
        <v>460</v>
      </c>
      <c r="F50" s="443"/>
      <c r="G50" s="444"/>
      <c r="H50" s="444"/>
      <c r="I50" s="445"/>
      <c r="N50" s="463" t="s">
        <v>460</v>
      </c>
      <c r="O50" s="446"/>
      <c r="P50" s="446"/>
      <c r="Q50" s="446"/>
      <c r="R50" s="447"/>
      <c r="S50" s="448"/>
      <c r="T50" s="448"/>
      <c r="U50" s="455"/>
    </row>
    <row r="51" spans="1:22" x14ac:dyDescent="0.3">
      <c r="A51" s="440"/>
      <c r="B51" s="3" t="s">
        <v>577</v>
      </c>
      <c r="C51" s="26"/>
      <c r="D51" s="26"/>
      <c r="E51" s="43" t="s">
        <v>461</v>
      </c>
      <c r="F51" s="451">
        <v>4348406.2699999996</v>
      </c>
      <c r="G51" s="109" t="s">
        <v>6</v>
      </c>
      <c r="H51" s="452">
        <v>5.5899999999999998E-2</v>
      </c>
      <c r="I51" s="101">
        <f>ROUND(F51*H51,2)</f>
        <v>243075.91</v>
      </c>
      <c r="N51" s="457"/>
      <c r="O51" s="51"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4348406.2699999996</v>
      </c>
      <c r="G52" s="109" t="s">
        <v>6</v>
      </c>
      <c r="H52" s="452">
        <v>1.0699999999999999E-2</v>
      </c>
      <c r="I52" s="101">
        <f>ROUND(F52*H52,2)</f>
        <v>46527.95</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289603.86</v>
      </c>
      <c r="N53" s="28"/>
      <c r="O53" s="434" t="s">
        <v>462</v>
      </c>
      <c r="P53" s="28"/>
      <c r="Q53" s="44"/>
      <c r="R53" s="459"/>
      <c r="S53" s="460"/>
      <c r="T53" s="461"/>
      <c r="U53" s="453">
        <f>SUM(U51:U52)</f>
        <v>0</v>
      </c>
    </row>
    <row r="54" spans="1:22" x14ac:dyDescent="0.3">
      <c r="A54" s="241"/>
      <c r="C54" s="494" t="s">
        <v>505</v>
      </c>
      <c r="D54" s="494" t="s">
        <v>505</v>
      </c>
      <c r="G54" s="42"/>
      <c r="H54" s="114"/>
      <c r="I54" s="114"/>
      <c r="N54" s="511"/>
      <c r="O54" s="51"/>
      <c r="P54" s="40" t="s">
        <v>505</v>
      </c>
      <c r="Q54" s="40" t="s">
        <v>505</v>
      </c>
      <c r="R54" s="51"/>
      <c r="S54" s="51"/>
      <c r="T54" s="512"/>
      <c r="U54" s="513"/>
      <c r="V54" s="114"/>
    </row>
    <row r="55" spans="1:22" x14ac:dyDescent="0.3">
      <c r="A55" s="495"/>
      <c r="B55" s="495"/>
      <c r="C55" s="88" t="s">
        <v>581</v>
      </c>
      <c r="D55" s="348" t="s">
        <v>582</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
        <v>2</v>
      </c>
      <c r="D56" s="339" t="s">
        <v>2</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2" si="10">IF(D$72=0,C57*2,C57+D57)</f>
        <v>0</v>
      </c>
      <c r="F57" s="493" t="s">
        <v>498</v>
      </c>
      <c r="G57" s="493">
        <v>251</v>
      </c>
      <c r="H57" s="507">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37.82</v>
      </c>
      <c r="D63" s="143">
        <v>37.79</v>
      </c>
      <c r="E63" s="116">
        <f>IF(D$66=0,C63*2,C63+D63)</f>
        <v>75.61</v>
      </c>
      <c r="F63" s="494" t="s">
        <v>14</v>
      </c>
      <c r="G63" s="493">
        <v>251</v>
      </c>
      <c r="H63" s="507">
        <v>835</v>
      </c>
      <c r="I63" s="101">
        <f t="shared" si="11"/>
        <v>63134.35</v>
      </c>
      <c r="N63" s="850"/>
      <c r="O63" s="850"/>
      <c r="P63" s="844"/>
      <c r="Q63" s="844"/>
      <c r="R63" s="40" t="s">
        <v>14</v>
      </c>
      <c r="S63" s="499">
        <v>251</v>
      </c>
      <c r="T63" s="510">
        <f t="shared" si="12"/>
        <v>835</v>
      </c>
      <c r="U63" s="524">
        <f t="shared" si="13"/>
        <v>0</v>
      </c>
      <c r="V63" s="474"/>
    </row>
    <row r="64" spans="1:22" x14ac:dyDescent="0.3">
      <c r="A64" s="792"/>
      <c r="B64" s="792"/>
      <c r="C64" s="143">
        <v>2.9</v>
      </c>
      <c r="D64" s="143">
        <v>2.9</v>
      </c>
      <c r="E64" s="116">
        <f>IF(D$66=0,C64*2,C64+D64)</f>
        <v>5.8</v>
      </c>
      <c r="F64" s="494" t="s">
        <v>14</v>
      </c>
      <c r="G64" s="493">
        <v>252</v>
      </c>
      <c r="H64" s="507">
        <v>3168</v>
      </c>
      <c r="I64" s="101">
        <f t="shared" si="11"/>
        <v>18374.400000000001</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IF(D$66=0,C65*2,C65+D65)</f>
        <v>0</v>
      </c>
      <c r="F65" s="494" t="s">
        <v>14</v>
      </c>
      <c r="G65" s="493">
        <v>253</v>
      </c>
      <c r="H65" s="507">
        <v>6685</v>
      </c>
      <c r="I65" s="101">
        <f t="shared" si="11"/>
        <v>0</v>
      </c>
      <c r="N65" s="850"/>
      <c r="O65" s="850"/>
      <c r="P65" s="845"/>
      <c r="Q65" s="845"/>
      <c r="R65" s="40" t="s">
        <v>14</v>
      </c>
      <c r="S65" s="499">
        <v>253</v>
      </c>
      <c r="T65" s="510">
        <f t="shared" si="12"/>
        <v>6685</v>
      </c>
      <c r="U65" s="525">
        <f t="shared" si="13"/>
        <v>0</v>
      </c>
      <c r="V65" s="474"/>
    </row>
    <row r="66" spans="1:22" ht="16.2" thickBot="1" x14ac:dyDescent="0.35">
      <c r="A66" s="241"/>
      <c r="C66" s="97">
        <f>SUM(C57:C65)</f>
        <v>40.72</v>
      </c>
      <c r="D66" s="97">
        <f>SUM(D57:D65)</f>
        <v>40.69</v>
      </c>
      <c r="E66" s="97">
        <f>SUM(E57:E65)</f>
        <v>81.41</v>
      </c>
      <c r="F66" s="779" t="s">
        <v>507</v>
      </c>
      <c r="G66" s="779"/>
      <c r="H66" s="779"/>
      <c r="I66" s="97">
        <f>SUM(I57:I65)</f>
        <v>81508.75</v>
      </c>
      <c r="N66" s="511"/>
      <c r="O66" s="51"/>
      <c r="P66" s="846">
        <f>SUM(P57:P65)</f>
        <v>0</v>
      </c>
      <c r="Q66" s="846"/>
      <c r="R66" s="847" t="s">
        <v>507</v>
      </c>
      <c r="S66" s="847"/>
      <c r="T66" s="847"/>
      <c r="U66" s="526">
        <f>SUM(U57:U65)</f>
        <v>0</v>
      </c>
      <c r="V66" s="474"/>
    </row>
    <row r="67" spans="1:22" x14ac:dyDescent="0.3">
      <c r="A67" s="241"/>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698.55</v>
      </c>
      <c r="D69" s="789" t="s">
        <v>474</v>
      </c>
      <c r="E69" s="789"/>
      <c r="F69" s="789"/>
      <c r="G69" s="789"/>
      <c r="H69" s="287">
        <v>210166.87</v>
      </c>
      <c r="I69" s="113"/>
      <c r="N69" s="817" t="s">
        <v>467</v>
      </c>
      <c r="O69" s="818"/>
      <c r="P69" s="41">
        <f>P30</f>
        <v>0</v>
      </c>
      <c r="Q69" s="842" t="s">
        <v>469</v>
      </c>
      <c r="R69" s="843"/>
      <c r="S69" s="843"/>
      <c r="T69" s="831">
        <f>H69</f>
        <v>210166.87</v>
      </c>
      <c r="U69" s="831"/>
    </row>
    <row r="70" spans="1:22" x14ac:dyDescent="0.3">
      <c r="B70" s="69"/>
      <c r="G70" s="42" t="s">
        <v>12</v>
      </c>
      <c r="H70" s="114">
        <f>ROUND(C69/H69,6)</f>
        <v>3.3240000000000001E-3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700.15729999999985</v>
      </c>
      <c r="D72" s="789" t="s">
        <v>475</v>
      </c>
      <c r="E72" s="789"/>
      <c r="F72" s="789"/>
      <c r="G72" s="789"/>
      <c r="H72" s="288">
        <v>237198.6</v>
      </c>
      <c r="I72" s="116"/>
      <c r="N72" s="817" t="s">
        <v>468</v>
      </c>
      <c r="O72" s="818"/>
      <c r="P72" s="41">
        <f>T30</f>
        <v>0</v>
      </c>
      <c r="Q72" s="842" t="s">
        <v>470</v>
      </c>
      <c r="R72" s="843"/>
      <c r="S72" s="843"/>
      <c r="T72" s="831">
        <f>H72</f>
        <v>237198.6</v>
      </c>
      <c r="U72" s="831"/>
    </row>
    <row r="73" spans="1:22" x14ac:dyDescent="0.3">
      <c r="G73" s="42" t="s">
        <v>12</v>
      </c>
      <c r="H73" s="114">
        <f>ROUND(C72/H72,6)</f>
        <v>2.9520000000000002E-3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698.55</v>
      </c>
      <c r="D75" s="788" t="s">
        <v>476</v>
      </c>
      <c r="E75" s="788"/>
      <c r="F75" s="788"/>
      <c r="G75" s="788"/>
      <c r="H75" s="287">
        <v>185588.37</v>
      </c>
      <c r="I75" s="113"/>
      <c r="N75" s="817" t="s">
        <v>466</v>
      </c>
      <c r="O75" s="818"/>
      <c r="P75" s="41">
        <f>P30</f>
        <v>0</v>
      </c>
      <c r="Q75" s="838" t="s">
        <v>471</v>
      </c>
      <c r="R75" s="839"/>
      <c r="S75" s="839"/>
      <c r="T75" s="831">
        <f>H75</f>
        <v>185588.37</v>
      </c>
      <c r="U75" s="831"/>
    </row>
    <row r="76" spans="1:22" x14ac:dyDescent="0.3">
      <c r="B76" s="69"/>
      <c r="G76" s="42" t="s">
        <v>12</v>
      </c>
      <c r="H76" s="114">
        <f>ROUND(C75/H75,6)</f>
        <v>3.764E-3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698.55</v>
      </c>
      <c r="D78" s="784" t="s">
        <v>477</v>
      </c>
      <c r="E78" s="784"/>
      <c r="F78" s="784"/>
      <c r="G78" s="784"/>
      <c r="H78" s="287">
        <v>209834.86</v>
      </c>
      <c r="I78" s="113"/>
      <c r="N78" s="817" t="s">
        <v>466</v>
      </c>
      <c r="O78" s="818"/>
      <c r="P78" s="41">
        <f>P30</f>
        <v>0</v>
      </c>
      <c r="Q78" s="840" t="s">
        <v>472</v>
      </c>
      <c r="R78" s="841"/>
      <c r="S78" s="841"/>
      <c r="T78" s="831">
        <f>H78</f>
        <v>209834.86</v>
      </c>
      <c r="U78" s="831"/>
    </row>
    <row r="79" spans="1:22" x14ac:dyDescent="0.3">
      <c r="B79" s="69"/>
      <c r="G79" s="42" t="s">
        <v>12</v>
      </c>
      <c r="H79" s="114">
        <f>ROUND(C78/H78,6)</f>
        <v>3.3289999999999999E-3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698.55</v>
      </c>
      <c r="D81" s="788" t="s">
        <v>478</v>
      </c>
      <c r="E81" s="788"/>
      <c r="F81" s="788"/>
      <c r="G81" s="788"/>
      <c r="H81" s="287">
        <v>185256.36</v>
      </c>
      <c r="I81" s="113"/>
      <c r="N81" s="817" t="s">
        <v>479</v>
      </c>
      <c r="O81" s="818"/>
      <c r="P81" s="41">
        <f>P30</f>
        <v>0</v>
      </c>
      <c r="Q81" s="838" t="s">
        <v>480</v>
      </c>
      <c r="R81" s="839"/>
      <c r="S81" s="839"/>
      <c r="T81" s="831">
        <f>H81</f>
        <v>185256.36</v>
      </c>
      <c r="U81" s="831"/>
    </row>
    <row r="82" spans="1:21" x14ac:dyDescent="0.3">
      <c r="B82" s="69"/>
      <c r="G82" s="42" t="s">
        <v>12</v>
      </c>
      <c r="H82" s="114">
        <f>ROUND(C81/H81,6)</f>
        <v>3.771E-3</v>
      </c>
      <c r="I82" s="115"/>
      <c r="N82" s="818"/>
      <c r="O82" s="818"/>
      <c r="P82" s="818"/>
      <c r="Q82" s="818"/>
      <c r="R82" s="818"/>
      <c r="S82" s="818"/>
      <c r="T82" s="836">
        <f>ROUND(P81/T81,6)</f>
        <v>0</v>
      </c>
      <c r="U82" s="836"/>
    </row>
    <row r="83" spans="1:21" x14ac:dyDescent="0.3">
      <c r="A83" s="241"/>
      <c r="G83" s="42"/>
      <c r="H83" s="114"/>
      <c r="I83" s="114"/>
      <c r="N83" s="496"/>
      <c r="O83" s="496"/>
      <c r="P83" s="496"/>
      <c r="Q83" s="496"/>
      <c r="R83" s="496"/>
      <c r="S83" s="496"/>
      <c r="T83" s="497"/>
      <c r="U83" s="497"/>
    </row>
    <row r="84" spans="1:21" x14ac:dyDescent="0.3">
      <c r="A84" s="241"/>
      <c r="G84" s="42"/>
      <c r="H84" s="114"/>
      <c r="I84" s="114"/>
      <c r="N84" s="496"/>
      <c r="O84" s="496"/>
      <c r="P84" s="496"/>
      <c r="Q84" s="496"/>
      <c r="R84" s="496"/>
      <c r="S84" s="496"/>
      <c r="T84" s="497"/>
      <c r="U84" s="497"/>
    </row>
    <row r="85" spans="1:21" x14ac:dyDescent="0.3">
      <c r="A85" s="492" t="s">
        <v>514</v>
      </c>
      <c r="D85" s="69"/>
      <c r="E85" s="43" t="s">
        <v>316</v>
      </c>
      <c r="F85" s="289">
        <v>46151079</v>
      </c>
      <c r="G85" s="37" t="s">
        <v>6</v>
      </c>
      <c r="H85" s="472">
        <f>H79</f>
        <v>3.3289999999999999E-3</v>
      </c>
      <c r="I85" s="101">
        <f>ROUND(F85*H85,2)</f>
        <v>153636.94</v>
      </c>
      <c r="N85" s="503" t="s">
        <v>514</v>
      </c>
      <c r="O85" s="51"/>
      <c r="P85" s="51"/>
      <c r="Q85" s="44"/>
      <c r="R85" s="469">
        <f>F85</f>
        <v>46151079</v>
      </c>
      <c r="S85" s="38" t="s">
        <v>6</v>
      </c>
      <c r="T85" s="471">
        <f>T79</f>
        <v>0</v>
      </c>
      <c r="U85" s="523">
        <f>ROUND(R85*T85,2)</f>
        <v>0</v>
      </c>
    </row>
    <row r="86" spans="1:21" x14ac:dyDescent="0.3">
      <c r="A86" s="450"/>
      <c r="D86" s="69"/>
      <c r="E86" s="43"/>
      <c r="F86" s="275"/>
      <c r="G86" s="37"/>
      <c r="H86" s="472"/>
      <c r="I86" s="101"/>
      <c r="N86" s="51"/>
      <c r="O86" s="51"/>
      <c r="P86" s="51"/>
      <c r="Q86" s="44"/>
      <c r="R86" s="470"/>
      <c r="S86" s="38"/>
      <c r="T86" s="471"/>
      <c r="U86" s="527"/>
    </row>
    <row r="87" spans="1:21" x14ac:dyDescent="0.3">
      <c r="A87" s="790" t="s">
        <v>71</v>
      </c>
      <c r="B87" s="776"/>
      <c r="C87" s="776"/>
      <c r="D87" s="69"/>
      <c r="E87" s="43"/>
      <c r="F87" s="275"/>
      <c r="G87" s="37"/>
      <c r="H87" s="472"/>
      <c r="I87" s="101"/>
      <c r="N87" s="817" t="s">
        <v>522</v>
      </c>
      <c r="O87" s="818"/>
      <c r="P87" s="818"/>
      <c r="Q87" s="51"/>
      <c r="R87" s="470"/>
      <c r="S87" s="51"/>
      <c r="T87" s="38"/>
      <c r="U87" s="528"/>
    </row>
    <row r="88" spans="1:21" x14ac:dyDescent="0.3">
      <c r="A88" s="790" t="s">
        <v>99</v>
      </c>
      <c r="B88" s="776"/>
      <c r="C88" s="776"/>
      <c r="D88" s="69"/>
      <c r="E88" s="43" t="s">
        <v>3</v>
      </c>
      <c r="F88" s="289">
        <v>0</v>
      </c>
      <c r="G88" s="37" t="s">
        <v>6</v>
      </c>
      <c r="H88" s="472">
        <f>H70</f>
        <v>3.3240000000000001E-3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275"/>
      <c r="G89" s="37"/>
      <c r="H89" s="472"/>
      <c r="I89" s="101"/>
      <c r="N89" s="484"/>
      <c r="O89" s="45"/>
      <c r="P89" s="45"/>
      <c r="Q89" s="44"/>
      <c r="R89" s="469"/>
      <c r="S89" s="38"/>
      <c r="T89" s="471"/>
      <c r="U89" s="523"/>
    </row>
    <row r="90" spans="1:21" x14ac:dyDescent="0.3">
      <c r="A90" s="501" t="s">
        <v>515</v>
      </c>
      <c r="D90" s="69"/>
      <c r="E90" s="43" t="s">
        <v>481</v>
      </c>
      <c r="F90" s="289">
        <v>19094340</v>
      </c>
      <c r="G90" s="37" t="s">
        <v>6</v>
      </c>
      <c r="H90" s="472">
        <f>H82</f>
        <v>3.771E-3</v>
      </c>
      <c r="I90" s="101">
        <f>ROUND(F90*H90,2)</f>
        <v>72004.759999999995</v>
      </c>
      <c r="N90" s="503" t="s">
        <v>515</v>
      </c>
      <c r="O90" s="51"/>
      <c r="P90" s="51"/>
      <c r="Q90" s="44"/>
      <c r="R90" s="469">
        <f>F90</f>
        <v>19094340</v>
      </c>
      <c r="S90" s="38" t="s">
        <v>6</v>
      </c>
      <c r="T90" s="471">
        <f>T82</f>
        <v>0</v>
      </c>
      <c r="U90" s="523">
        <f>ROUND(R90*T90,2)</f>
        <v>0</v>
      </c>
    </row>
    <row r="91" spans="1:21" x14ac:dyDescent="0.3">
      <c r="A91" s="450"/>
      <c r="D91" s="69"/>
      <c r="E91" s="43"/>
      <c r="F91" s="275"/>
      <c r="G91" s="37"/>
      <c r="H91" s="472"/>
      <c r="I91" s="101"/>
      <c r="N91" s="458"/>
      <c r="O91" s="51"/>
      <c r="P91" s="51"/>
      <c r="Q91" s="44"/>
      <c r="R91" s="469"/>
      <c r="S91" s="38"/>
      <c r="T91" s="471"/>
      <c r="U91" s="523"/>
    </row>
    <row r="92" spans="1:21" x14ac:dyDescent="0.3">
      <c r="A92" s="501" t="s">
        <v>516</v>
      </c>
      <c r="D92" s="69"/>
      <c r="E92" s="43" t="s">
        <v>3</v>
      </c>
      <c r="F92" s="289">
        <v>11461928</v>
      </c>
      <c r="G92" s="37" t="s">
        <v>6</v>
      </c>
      <c r="H92" s="472">
        <f>H76</f>
        <v>3.764E-3</v>
      </c>
      <c r="I92" s="101">
        <f t="shared" ref="I92:I98" si="14">ROUND(F92*H92,2)</f>
        <v>43142.7</v>
      </c>
      <c r="N92" s="503" t="s">
        <v>516</v>
      </c>
      <c r="O92" s="51"/>
      <c r="P92" s="51"/>
      <c r="Q92" s="44"/>
      <c r="R92" s="469">
        <f t="shared" ref="R92:R96" si="15">F92</f>
        <v>11461928</v>
      </c>
      <c r="S92" s="38" t="s">
        <v>6</v>
      </c>
      <c r="T92" s="471">
        <f>T76</f>
        <v>0</v>
      </c>
      <c r="U92" s="523">
        <f>ROUND(R92*T92,2)</f>
        <v>0</v>
      </c>
    </row>
    <row r="93" spans="1:21" x14ac:dyDescent="0.3">
      <c r="A93" s="81"/>
      <c r="D93" s="69"/>
      <c r="E93" s="43"/>
      <c r="F93" s="275"/>
      <c r="G93" s="37"/>
      <c r="H93" s="472"/>
      <c r="I93" s="101"/>
      <c r="N93" s="434"/>
      <c r="O93" s="51"/>
      <c r="P93" s="51"/>
      <c r="Q93" s="44"/>
      <c r="R93" s="470"/>
      <c r="S93" s="38"/>
      <c r="T93" s="471"/>
      <c r="U93" s="527"/>
    </row>
    <row r="94" spans="1:21" x14ac:dyDescent="0.3">
      <c r="A94" s="775" t="s">
        <v>482</v>
      </c>
      <c r="B94" s="776"/>
      <c r="C94" s="776"/>
      <c r="D94" s="69"/>
      <c r="E94" s="43" t="s">
        <v>4</v>
      </c>
      <c r="F94" s="289">
        <v>255756816</v>
      </c>
      <c r="G94" s="37" t="s">
        <v>6</v>
      </c>
      <c r="H94" s="472">
        <f>H73</f>
        <v>2.9520000000000002E-3</v>
      </c>
      <c r="I94" s="101">
        <f t="shared" si="14"/>
        <v>754994.12</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275"/>
      <c r="G95" s="37"/>
      <c r="H95" s="472"/>
      <c r="I95" s="101"/>
      <c r="N95" s="45"/>
      <c r="O95" s="45"/>
      <c r="P95" s="45"/>
      <c r="Q95" s="44"/>
      <c r="R95" s="469"/>
      <c r="S95" s="38"/>
      <c r="T95" s="471"/>
      <c r="U95" s="523"/>
    </row>
    <row r="96" spans="1:21" x14ac:dyDescent="0.3">
      <c r="A96" s="775" t="s">
        <v>483</v>
      </c>
      <c r="B96" s="776"/>
      <c r="C96" s="776"/>
      <c r="D96" s="69"/>
      <c r="E96" s="43" t="s">
        <v>4</v>
      </c>
      <c r="F96" s="289">
        <v>-16705366</v>
      </c>
      <c r="G96" s="37" t="s">
        <v>6</v>
      </c>
      <c r="H96" s="472">
        <f>H73</f>
        <v>2.9520000000000002E-3</v>
      </c>
      <c r="I96" s="101">
        <f t="shared" si="14"/>
        <v>-49314.239999999998</v>
      </c>
      <c r="N96" s="817" t="s">
        <v>483</v>
      </c>
      <c r="O96" s="817"/>
      <c r="P96" s="817"/>
      <c r="Q96" s="44"/>
      <c r="R96" s="469">
        <f t="shared" si="15"/>
        <v>-16705366</v>
      </c>
      <c r="S96" s="38" t="s">
        <v>6</v>
      </c>
      <c r="T96" s="471">
        <f>T73</f>
        <v>0</v>
      </c>
      <c r="U96" s="523">
        <f>ROUND(R96*T96,2)</f>
        <v>0</v>
      </c>
    </row>
    <row r="97" spans="1:21" x14ac:dyDescent="0.3">
      <c r="A97" s="582"/>
      <c r="B97" s="581"/>
      <c r="C97" s="581"/>
      <c r="D97" s="581"/>
      <c r="E97" s="579"/>
      <c r="F97" s="275"/>
      <c r="G97" s="580"/>
      <c r="H97" s="472"/>
      <c r="I97" s="101"/>
      <c r="N97" s="585"/>
      <c r="O97" s="585"/>
      <c r="P97" s="585"/>
      <c r="Q97" s="44"/>
      <c r="R97" s="587"/>
      <c r="S97" s="586"/>
      <c r="T97" s="471"/>
      <c r="U97" s="527"/>
    </row>
    <row r="98" spans="1:21" x14ac:dyDescent="0.3">
      <c r="A98" s="582" t="s">
        <v>556</v>
      </c>
      <c r="B98" s="581"/>
      <c r="C98" s="581"/>
      <c r="D98" s="581"/>
      <c r="E98" s="579" t="s">
        <v>3</v>
      </c>
      <c r="F98" s="289">
        <v>203862</v>
      </c>
      <c r="G98" s="580" t="s">
        <v>6</v>
      </c>
      <c r="H98" s="472">
        <f>H70</f>
        <v>3.3240000000000001E-3</v>
      </c>
      <c r="I98" s="101">
        <f t="shared" si="14"/>
        <v>677.64</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81"/>
      <c r="B100" s="69"/>
      <c r="C100" s="69"/>
      <c r="D100" s="69"/>
      <c r="E100" s="43"/>
      <c r="F100" s="275"/>
      <c r="G100" s="37"/>
      <c r="H100" s="472"/>
      <c r="I100" s="101"/>
      <c r="N100" s="434"/>
      <c r="O100" s="434"/>
      <c r="P100" s="434"/>
      <c r="Q100" s="44"/>
      <c r="R100" s="470"/>
      <c r="S100" s="38"/>
      <c r="T100" s="471"/>
      <c r="U100" s="103"/>
    </row>
    <row r="101" spans="1:21" ht="15" customHeight="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119" t="s">
        <v>485</v>
      </c>
      <c r="F103" s="120" t="s">
        <v>106</v>
      </c>
      <c r="G103" s="121"/>
      <c r="H103" s="121"/>
      <c r="I103" s="121"/>
      <c r="N103" s="833" t="s">
        <v>35</v>
      </c>
      <c r="O103" s="833"/>
      <c r="P103" s="834" t="s">
        <v>487</v>
      </c>
      <c r="Q103" s="835"/>
      <c r="R103" s="831" t="s">
        <v>31</v>
      </c>
      <c r="S103" s="831"/>
      <c r="T103" s="831"/>
      <c r="U103" s="831"/>
    </row>
    <row r="104" spans="1:21" x14ac:dyDescent="0.3">
      <c r="A104" s="26"/>
      <c r="B104" s="52" t="s">
        <v>105</v>
      </c>
      <c r="C104" s="774">
        <f>H14+H15+H20+H23+H26</f>
        <v>0</v>
      </c>
      <c r="D104" s="774"/>
      <c r="E104" s="46">
        <f>H8</f>
        <v>1.0407999999999999</v>
      </c>
      <c r="F104" s="290">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290">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700.15729999999985</v>
      </c>
      <c r="D106" s="774"/>
      <c r="E106" s="46">
        <f>H8</f>
        <v>1.0407999999999999</v>
      </c>
      <c r="F106" s="290">
        <v>910.12</v>
      </c>
      <c r="G106" s="39" t="s">
        <v>12</v>
      </c>
      <c r="H106" s="94">
        <f>ROUND(C106*E106*F106,2)</f>
        <v>663226.03</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700.15729999999985</v>
      </c>
      <c r="D107" s="787"/>
      <c r="E107" s="123"/>
      <c r="F107" s="123"/>
      <c r="G107" s="123"/>
      <c r="H107" s="124" t="s">
        <v>100</v>
      </c>
      <c r="I107" s="101">
        <f>IF(A1=75,0,H106+H105+H104)</f>
        <v>663226.03</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90" t="s">
        <v>2</v>
      </c>
      <c r="F112" s="43"/>
      <c r="G112" s="43"/>
      <c r="H112" s="43"/>
      <c r="I112" s="43"/>
      <c r="N112" s="45"/>
      <c r="O112" s="45"/>
      <c r="P112" s="45"/>
      <c r="Q112" s="125"/>
      <c r="R112" s="125"/>
      <c r="S112" s="125"/>
      <c r="T112" s="125"/>
      <c r="U112" s="103"/>
    </row>
    <row r="113" spans="1:21" x14ac:dyDescent="0.3">
      <c r="A113" s="788" t="s">
        <v>443</v>
      </c>
      <c r="B113" s="809"/>
      <c r="C113" s="143">
        <v>380</v>
      </c>
      <c r="D113" s="143">
        <v>359</v>
      </c>
      <c r="E113" s="116">
        <f>(D113+C113)/2</f>
        <v>369.5</v>
      </c>
      <c r="F113" s="126" t="s">
        <v>30</v>
      </c>
      <c r="G113" s="291">
        <v>584</v>
      </c>
      <c r="I113" s="101">
        <f>ROUND(G113*E113,2)</f>
        <v>215788</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291">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559</v>
      </c>
      <c r="B117" s="776"/>
      <c r="C117" s="776"/>
      <c r="D117" s="69"/>
      <c r="E117" s="39" t="s">
        <v>317</v>
      </c>
      <c r="F117" s="785"/>
      <c r="G117" s="785"/>
      <c r="H117" s="785"/>
      <c r="I117" s="785"/>
      <c r="N117" s="817" t="s">
        <v>560</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5820476.2599999998</v>
      </c>
      <c r="J128" s="250"/>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J129" s="250"/>
      <c r="N129" s="503"/>
      <c r="O129" s="502"/>
      <c r="P129" s="502"/>
      <c r="Q129" s="305"/>
      <c r="R129" s="305"/>
      <c r="S129" s="305"/>
      <c r="T129" s="305"/>
      <c r="U129" s="103"/>
    </row>
    <row r="130" spans="1:21" ht="16.2" thickBot="1" x14ac:dyDescent="0.35">
      <c r="A130" s="582" t="s">
        <v>494</v>
      </c>
      <c r="B130" s="26"/>
      <c r="C130" s="26"/>
      <c r="D130" s="26"/>
      <c r="E130" s="26"/>
      <c r="F130" s="26"/>
      <c r="G130" s="26"/>
      <c r="H130" s="26"/>
      <c r="I130" s="101">
        <f>I128-I53</f>
        <v>5530872.3999999994</v>
      </c>
      <c r="J130" s="250"/>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J131" s="250"/>
      <c r="N131" s="28"/>
      <c r="O131" s="28"/>
      <c r="P131" s="28"/>
      <c r="Q131" s="28"/>
      <c r="R131" s="28"/>
      <c r="S131" s="28"/>
      <c r="T131" s="28"/>
      <c r="U131" s="138"/>
    </row>
    <row r="132" spans="1:21" x14ac:dyDescent="0.3">
      <c r="A132" s="775" t="s">
        <v>561</v>
      </c>
      <c r="B132" s="776"/>
      <c r="C132" s="776"/>
      <c r="D132" s="776"/>
      <c r="E132" s="776"/>
      <c r="F132" s="776"/>
      <c r="G132" s="776"/>
      <c r="H132" s="81" t="s">
        <v>375</v>
      </c>
      <c r="I132" s="134"/>
      <c r="J132" s="250"/>
      <c r="N132" s="817" t="s">
        <v>562</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28"/>
      <c r="O133" s="28"/>
      <c r="P133" s="28"/>
      <c r="Q133" s="28"/>
      <c r="R133" s="28"/>
      <c r="S133" s="28"/>
      <c r="T133" s="2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5530872.3999999994</v>
      </c>
      <c r="I135" s="94">
        <f>ROUND(IF(E30=0,0,IF(E30&gt;250,-(((250/E30)*H135)*IF(G135="H",0.02,0.05)),IF(G135="H",-0.02*H135,-0.05*H135))),2)</f>
        <v>-39588.239999999998</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5780888.0199999996</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Payments'!Q72</f>
        <v>-5824780.0899999989</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3" t="s">
        <v>246</v>
      </c>
      <c r="B141" s="69"/>
      <c r="C141" s="69"/>
      <c r="D141" s="69"/>
      <c r="E141" s="69"/>
      <c r="F141" s="69"/>
      <c r="G141" s="69"/>
      <c r="H141" s="65"/>
      <c r="I141" s="101">
        <f>I137+I139</f>
        <v>-43892.069999999367</v>
      </c>
      <c r="N141" s="73"/>
      <c r="O141" s="73"/>
      <c r="P141" s="73"/>
      <c r="Q141" s="73"/>
      <c r="R141" s="73"/>
      <c r="S141" s="73"/>
      <c r="T141" s="73"/>
      <c r="U141" s="73"/>
    </row>
    <row r="142" spans="1:21" x14ac:dyDescent="0.3">
      <c r="A142" s="3"/>
      <c r="B142" s="69"/>
      <c r="C142" s="69"/>
      <c r="D142" s="69"/>
      <c r="E142" s="69"/>
      <c r="F142" s="69"/>
      <c r="G142" s="69"/>
      <c r="H142" s="65"/>
      <c r="I142" s="101"/>
      <c r="N142" s="73"/>
      <c r="O142" s="73"/>
      <c r="P142" s="73"/>
      <c r="Q142" s="73"/>
      <c r="R142" s="73"/>
      <c r="S142" s="73"/>
      <c r="T142" s="73"/>
      <c r="U142" s="73"/>
    </row>
    <row r="143" spans="1:21" x14ac:dyDescent="0.3">
      <c r="A143" s="3" t="s">
        <v>247</v>
      </c>
      <c r="B143" s="69"/>
      <c r="C143" s="69"/>
      <c r="D143" s="69"/>
      <c r="E143" s="69"/>
      <c r="F143" s="69"/>
      <c r="G143" s="69"/>
      <c r="H143" s="65"/>
      <c r="I143" s="272">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-43892.07</v>
      </c>
      <c r="K145" s="468"/>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71029.210000000006</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ht="12.75" customHeight="1" x14ac:dyDescent="0.3">
      <c r="A151" s="356" t="s">
        <v>7</v>
      </c>
      <c r="B151" s="356"/>
      <c r="C151" s="356"/>
      <c r="D151" s="356"/>
      <c r="E151" s="356"/>
      <c r="F151" s="356"/>
      <c r="G151" s="356"/>
      <c r="H151" s="356"/>
      <c r="I151" s="356"/>
      <c r="J151" s="134"/>
      <c r="N151" s="73"/>
      <c r="O151" s="73"/>
      <c r="P151" s="73"/>
      <c r="Q151" s="73"/>
      <c r="R151" s="73"/>
      <c r="S151" s="73"/>
      <c r="T151" s="73"/>
      <c r="U151" s="73"/>
    </row>
    <row r="152" spans="1:21" ht="12.75" customHeight="1" x14ac:dyDescent="0.3">
      <c r="A152" s="357" t="s">
        <v>259</v>
      </c>
      <c r="B152" s="358"/>
      <c r="C152" s="358"/>
      <c r="D152" s="358"/>
      <c r="E152" s="358"/>
      <c r="F152" s="358"/>
      <c r="G152" s="358"/>
      <c r="H152" s="358"/>
      <c r="I152" s="358"/>
      <c r="J152" s="77"/>
      <c r="K152" s="338"/>
      <c r="L152" s="76"/>
      <c r="M152" s="76"/>
      <c r="N152" s="73"/>
      <c r="O152" s="73"/>
      <c r="P152" s="73"/>
      <c r="Q152" s="73"/>
      <c r="R152" s="73"/>
      <c r="S152" s="73"/>
      <c r="T152" s="73"/>
      <c r="U152" s="73"/>
    </row>
    <row r="153" spans="1:21" ht="12.75" customHeight="1" x14ac:dyDescent="0.3">
      <c r="A153" s="363" t="s">
        <v>434</v>
      </c>
      <c r="B153" s="358"/>
      <c r="C153" s="358"/>
      <c r="D153" s="358"/>
      <c r="E153" s="358"/>
      <c r="F153" s="358"/>
      <c r="G153" s="358"/>
      <c r="H153" s="358"/>
      <c r="I153" s="358"/>
      <c r="J153" s="77"/>
      <c r="K153" s="338"/>
      <c r="L153" s="76"/>
      <c r="M153" s="76"/>
      <c r="N153" s="73"/>
      <c r="O153" s="73"/>
      <c r="P153" s="73"/>
      <c r="Q153" s="73"/>
      <c r="R153" s="73"/>
      <c r="S153" s="73"/>
      <c r="T153" s="73"/>
      <c r="U153" s="73"/>
    </row>
    <row r="154" spans="1:21" ht="12.75" customHeight="1" x14ac:dyDescent="0.3">
      <c r="A154" s="360" t="s">
        <v>435</v>
      </c>
      <c r="B154" s="359"/>
      <c r="C154" s="359"/>
      <c r="D154" s="359"/>
      <c r="E154" s="359"/>
      <c r="F154" s="359"/>
      <c r="G154" s="359"/>
      <c r="H154" s="359"/>
      <c r="I154" s="359"/>
      <c r="J154" s="76"/>
      <c r="K154" s="76"/>
      <c r="L154" s="76"/>
      <c r="M154" s="76"/>
      <c r="N154" s="73"/>
      <c r="O154" s="73"/>
      <c r="P154" s="73"/>
      <c r="Q154" s="73"/>
      <c r="R154" s="73"/>
      <c r="S154" s="73"/>
      <c r="T154" s="73"/>
      <c r="U154" s="73"/>
    </row>
    <row r="155" spans="1:21" s="76" customFormat="1" ht="12.75" customHeight="1" x14ac:dyDescent="0.3">
      <c r="A155" s="360" t="s">
        <v>436</v>
      </c>
      <c r="B155" s="359"/>
      <c r="C155" s="359"/>
      <c r="D155" s="359"/>
      <c r="E155" s="359"/>
      <c r="F155" s="359"/>
      <c r="G155" s="359"/>
      <c r="H155" s="359"/>
      <c r="I155" s="359"/>
      <c r="N155" s="816"/>
      <c r="O155" s="816"/>
      <c r="P155" s="816"/>
      <c r="Q155" s="816"/>
      <c r="R155" s="816"/>
      <c r="S155" s="816"/>
      <c r="T155" s="816"/>
      <c r="U155" s="816"/>
    </row>
    <row r="156" spans="1:21" s="76" customFormat="1" ht="12.75" customHeight="1" x14ac:dyDescent="0.3">
      <c r="A156" s="360" t="s">
        <v>437</v>
      </c>
      <c r="B156" s="359"/>
      <c r="C156" s="359"/>
      <c r="D156" s="359"/>
      <c r="E156" s="359"/>
      <c r="F156" s="359"/>
      <c r="G156" s="359"/>
      <c r="H156" s="359"/>
      <c r="I156" s="359"/>
      <c r="N156" s="73"/>
      <c r="O156" s="73"/>
      <c r="P156" s="73"/>
      <c r="Q156" s="73"/>
      <c r="R156" s="73"/>
      <c r="S156" s="73"/>
      <c r="T156" s="73"/>
      <c r="U156" s="73"/>
    </row>
    <row r="157" spans="1:21" s="76" customFormat="1" ht="12.75" customHeight="1" x14ac:dyDescent="0.25">
      <c r="A157" s="360" t="s">
        <v>438</v>
      </c>
      <c r="B157" s="359"/>
      <c r="C157" s="359"/>
      <c r="D157" s="359"/>
      <c r="E157" s="359"/>
      <c r="F157" s="359"/>
      <c r="G157" s="359"/>
      <c r="H157" s="359"/>
      <c r="I157" s="359"/>
      <c r="N157" s="78"/>
      <c r="O157" s="79"/>
      <c r="P157" s="79"/>
      <c r="Q157" s="79"/>
      <c r="R157" s="79"/>
      <c r="S157" s="79"/>
      <c r="T157" s="79"/>
      <c r="U157" s="79"/>
    </row>
    <row r="158" spans="1:21" s="76" customFormat="1" ht="12.75" customHeight="1" x14ac:dyDescent="0.25">
      <c r="A158" s="360" t="s">
        <v>439</v>
      </c>
      <c r="B158" s="359"/>
      <c r="C158" s="359"/>
      <c r="D158" s="359"/>
      <c r="E158" s="359"/>
      <c r="F158" s="359"/>
      <c r="G158" s="359"/>
      <c r="H158" s="359"/>
      <c r="I158" s="359"/>
      <c r="N158" s="78"/>
    </row>
    <row r="159" spans="1:21" s="76" customFormat="1" ht="12.75" customHeight="1" x14ac:dyDescent="0.25">
      <c r="A159" s="360" t="s">
        <v>441</v>
      </c>
      <c r="B159" s="359"/>
      <c r="C159" s="359"/>
      <c r="D159" s="359"/>
      <c r="E159" s="359"/>
      <c r="F159" s="359"/>
      <c r="G159" s="359"/>
      <c r="H159" s="359"/>
      <c r="I159" s="359"/>
      <c r="K159" s="359"/>
      <c r="N159" s="78"/>
    </row>
    <row r="160" spans="1:21" s="76" customFormat="1" ht="12.75" customHeight="1" x14ac:dyDescent="0.25">
      <c r="A160" s="365" t="s">
        <v>440</v>
      </c>
      <c r="B160" s="359"/>
      <c r="C160" s="359"/>
      <c r="D160" s="359"/>
      <c r="E160" s="359"/>
      <c r="F160" s="359"/>
      <c r="G160" s="359"/>
      <c r="H160" s="359"/>
      <c r="I160" s="359"/>
      <c r="N160" s="78"/>
    </row>
    <row r="161" spans="1:14" s="76" customFormat="1" ht="12.75" customHeight="1" x14ac:dyDescent="0.25">
      <c r="A161" s="360" t="s">
        <v>442</v>
      </c>
      <c r="B161" s="359"/>
      <c r="C161" s="359"/>
      <c r="D161" s="359"/>
      <c r="E161" s="359"/>
      <c r="F161" s="359"/>
      <c r="G161" s="359"/>
      <c r="H161" s="359"/>
      <c r="I161" s="359"/>
      <c r="N161" s="78"/>
    </row>
    <row r="162" spans="1:14" s="76" customFormat="1" ht="12.75" customHeight="1" x14ac:dyDescent="0.25">
      <c r="A162" s="364" t="s">
        <v>260</v>
      </c>
      <c r="B162" s="359"/>
      <c r="C162" s="359"/>
      <c r="D162" s="359"/>
      <c r="E162" s="359"/>
      <c r="F162" s="359"/>
      <c r="G162" s="359"/>
      <c r="H162" s="359"/>
      <c r="I162" s="359"/>
      <c r="N162" s="78"/>
    </row>
    <row r="163" spans="1:14" s="76" customFormat="1" ht="12.75" customHeight="1" x14ac:dyDescent="0.25">
      <c r="A163" s="360" t="s">
        <v>445</v>
      </c>
      <c r="B163" s="359"/>
      <c r="C163" s="359"/>
      <c r="D163" s="359"/>
      <c r="E163" s="359"/>
      <c r="F163" s="359"/>
      <c r="G163" s="359"/>
      <c r="H163" s="359"/>
      <c r="I163" s="359"/>
      <c r="N163" s="78"/>
    </row>
    <row r="164" spans="1:14" s="76" customFormat="1" ht="12.75" customHeight="1" x14ac:dyDescent="0.25">
      <c r="A164" s="360" t="s">
        <v>287</v>
      </c>
      <c r="B164" s="359"/>
      <c r="C164" s="359"/>
      <c r="D164" s="359"/>
      <c r="E164" s="359"/>
      <c r="F164" s="359"/>
      <c r="G164" s="359"/>
      <c r="H164" s="359"/>
      <c r="I164" s="359"/>
      <c r="N164" s="78"/>
    </row>
    <row r="165" spans="1:14" s="76" customFormat="1" ht="12.75" customHeight="1" x14ac:dyDescent="0.25">
      <c r="A165" s="360" t="s">
        <v>447</v>
      </c>
      <c r="B165" s="359"/>
      <c r="C165" s="359"/>
      <c r="D165" s="359"/>
      <c r="E165" s="359"/>
      <c r="F165" s="359"/>
      <c r="G165" s="359"/>
      <c r="H165" s="359"/>
      <c r="I165" s="359"/>
      <c r="N165" s="78"/>
    </row>
    <row r="166" spans="1:14" s="76" customFormat="1" ht="12.75" customHeight="1" x14ac:dyDescent="0.25">
      <c r="A166" s="365" t="s">
        <v>446</v>
      </c>
      <c r="B166" s="359"/>
      <c r="C166" s="359"/>
      <c r="D166" s="359"/>
      <c r="E166" s="359"/>
      <c r="F166" s="359"/>
      <c r="G166" s="359"/>
      <c r="H166" s="359"/>
      <c r="I166" s="359"/>
      <c r="N166" s="78"/>
    </row>
    <row r="167" spans="1:14" s="76" customFormat="1" ht="12.75" customHeight="1" x14ac:dyDescent="0.25">
      <c r="A167" s="360" t="s">
        <v>448</v>
      </c>
      <c r="B167" s="359"/>
      <c r="C167" s="359"/>
      <c r="D167" s="359"/>
      <c r="E167" s="359"/>
      <c r="F167" s="359"/>
      <c r="G167" s="359"/>
      <c r="H167" s="359"/>
      <c r="I167" s="359"/>
      <c r="N167" s="78"/>
    </row>
    <row r="168" spans="1:14" s="76" customFormat="1" ht="12.75" customHeight="1" x14ac:dyDescent="0.25">
      <c r="A168" s="365" t="s">
        <v>261</v>
      </c>
      <c r="B168" s="359"/>
      <c r="C168" s="359"/>
      <c r="D168" s="359"/>
      <c r="E168" s="359"/>
      <c r="F168" s="359"/>
      <c r="G168" s="359"/>
      <c r="H168" s="359"/>
      <c r="I168" s="359"/>
      <c r="N168" s="78"/>
    </row>
    <row r="169" spans="1:14" s="76" customFormat="1" ht="12.75" customHeight="1" x14ac:dyDescent="0.25">
      <c r="A169" s="360" t="s">
        <v>450</v>
      </c>
      <c r="B169" s="359"/>
      <c r="C169" s="359"/>
      <c r="D169" s="359"/>
      <c r="E169" s="359"/>
      <c r="F169" s="359"/>
      <c r="G169" s="359"/>
      <c r="H169" s="359"/>
      <c r="I169" s="359"/>
      <c r="N169" s="78"/>
    </row>
    <row r="170" spans="1:14" s="76" customFormat="1" ht="12.75" customHeight="1" x14ac:dyDescent="0.25">
      <c r="A170" s="365" t="s">
        <v>449</v>
      </c>
      <c r="B170" s="359"/>
      <c r="C170" s="359"/>
      <c r="D170" s="359"/>
      <c r="E170" s="359"/>
      <c r="F170" s="359"/>
      <c r="G170" s="359"/>
      <c r="H170" s="359"/>
      <c r="I170" s="359"/>
      <c r="N170" s="78"/>
    </row>
    <row r="171" spans="1:14" s="76" customFormat="1" ht="12.75" customHeight="1" x14ac:dyDescent="0.25">
      <c r="A171" s="360"/>
      <c r="B171" s="359"/>
      <c r="C171" s="359"/>
      <c r="D171" s="359"/>
      <c r="E171" s="359"/>
      <c r="F171" s="359"/>
      <c r="G171" s="359"/>
      <c r="H171" s="359"/>
      <c r="I171" s="359"/>
      <c r="N171" s="78"/>
    </row>
    <row r="172" spans="1:14" s="76" customFormat="1" ht="12.75" customHeight="1" x14ac:dyDescent="0.25">
      <c r="A172" s="368" t="s">
        <v>67</v>
      </c>
      <c r="B172" s="359"/>
      <c r="C172" s="359"/>
      <c r="D172" s="359"/>
      <c r="E172" s="359"/>
      <c r="F172" s="359"/>
      <c r="G172" s="359"/>
      <c r="H172" s="359"/>
      <c r="I172" s="359"/>
      <c r="N172" s="78"/>
    </row>
    <row r="173" spans="1:14" s="76" customFormat="1" ht="12.75" customHeight="1" x14ac:dyDescent="0.25">
      <c r="A173" s="361" t="s">
        <v>262</v>
      </c>
      <c r="B173" s="362"/>
      <c r="C173" s="362"/>
      <c r="D173" s="362"/>
      <c r="E173" s="362"/>
      <c r="F173" s="362"/>
      <c r="G173" s="362"/>
      <c r="H173" s="362"/>
      <c r="I173" s="362"/>
      <c r="N173" s="78"/>
    </row>
    <row r="174" spans="1:14" s="76" customFormat="1" ht="12.75" customHeight="1" x14ac:dyDescent="0.25">
      <c r="A174" s="366" t="s">
        <v>318</v>
      </c>
      <c r="B174" s="369"/>
      <c r="C174" s="369"/>
      <c r="D174" s="369"/>
      <c r="E174" s="369"/>
      <c r="F174" s="369"/>
      <c r="G174" s="369"/>
      <c r="H174" s="369"/>
      <c r="I174" s="369"/>
      <c r="N174" s="78"/>
    </row>
    <row r="175" spans="1:14" s="76" customFormat="1" ht="12.75" customHeight="1" x14ac:dyDescent="0.25">
      <c r="A175" s="366" t="s">
        <v>451</v>
      </c>
      <c r="B175" s="369"/>
      <c r="C175" s="369"/>
      <c r="D175" s="369"/>
      <c r="E175" s="369"/>
      <c r="F175" s="369"/>
      <c r="G175" s="369"/>
      <c r="H175" s="369"/>
      <c r="I175" s="369"/>
      <c r="N175" s="78"/>
    </row>
    <row r="176" spans="1:14" s="76" customFormat="1" ht="12.75" customHeight="1" x14ac:dyDescent="0.25">
      <c r="A176" s="366" t="s">
        <v>452</v>
      </c>
      <c r="B176" s="369"/>
      <c r="C176" s="369"/>
      <c r="D176" s="369"/>
      <c r="E176" s="369"/>
      <c r="F176" s="369"/>
      <c r="G176" s="369"/>
      <c r="H176" s="369"/>
      <c r="I176" s="369"/>
      <c r="N176" s="78"/>
    </row>
    <row r="177" spans="1:21" s="76" customFormat="1" ht="12.75" customHeight="1" x14ac:dyDescent="0.25">
      <c r="A177" s="361"/>
      <c r="B177" s="369"/>
      <c r="C177" s="369"/>
      <c r="D177" s="369"/>
      <c r="E177" s="369"/>
      <c r="F177" s="369"/>
      <c r="G177" s="369"/>
      <c r="H177" s="369"/>
      <c r="I177" s="369"/>
      <c r="N177" s="78"/>
    </row>
    <row r="178" spans="1:21" s="76" customFormat="1" ht="12.75" customHeight="1" x14ac:dyDescent="0.3">
      <c r="A178" s="361" t="s">
        <v>319</v>
      </c>
      <c r="B178" s="362"/>
      <c r="C178" s="362"/>
      <c r="D178" s="362"/>
      <c r="E178" s="362"/>
      <c r="F178" s="362"/>
      <c r="G178" s="362"/>
      <c r="H178" s="362"/>
      <c r="I178" s="362"/>
      <c r="J178" s="3"/>
      <c r="K178" s="3"/>
      <c r="L178" s="3"/>
      <c r="M178" s="3"/>
      <c r="N178" s="78"/>
    </row>
    <row r="179" spans="1:21" s="76" customFormat="1" ht="12.75" customHeight="1" x14ac:dyDescent="0.3">
      <c r="A179" s="366" t="s">
        <v>318</v>
      </c>
      <c r="B179" s="362"/>
      <c r="C179" s="362"/>
      <c r="D179" s="362"/>
      <c r="E179" s="362"/>
      <c r="F179" s="362"/>
      <c r="G179" s="362"/>
      <c r="H179" s="362"/>
      <c r="I179" s="362"/>
      <c r="J179" s="3"/>
      <c r="K179" s="3"/>
      <c r="L179" s="3"/>
      <c r="M179" s="3"/>
      <c r="N179" s="78"/>
    </row>
    <row r="180" spans="1:21" s="76" customFormat="1" ht="12.75" customHeight="1" x14ac:dyDescent="0.3">
      <c r="A180" s="366" t="s">
        <v>320</v>
      </c>
      <c r="B180" s="362"/>
      <c r="C180" s="362"/>
      <c r="D180" s="362"/>
      <c r="E180" s="362"/>
      <c r="F180" s="362"/>
      <c r="G180" s="362"/>
      <c r="H180" s="362"/>
      <c r="I180" s="362"/>
      <c r="J180" s="3"/>
      <c r="K180" s="3"/>
      <c r="L180" s="3"/>
      <c r="M180" s="3"/>
      <c r="N180" s="78"/>
    </row>
    <row r="181" spans="1:21" s="76" customFormat="1" ht="12.75" customHeight="1" x14ac:dyDescent="0.3">
      <c r="A181" s="362"/>
      <c r="B181" s="362"/>
      <c r="C181" s="362"/>
      <c r="D181" s="362"/>
      <c r="E181" s="362"/>
      <c r="F181" s="362"/>
      <c r="G181" s="362"/>
      <c r="H181" s="362"/>
      <c r="I181" s="362"/>
      <c r="J181" s="3"/>
      <c r="K181" s="3"/>
      <c r="L181" s="3"/>
      <c r="M181" s="3"/>
      <c r="N181" s="78"/>
    </row>
    <row r="182" spans="1:21" s="76" customFormat="1" ht="12.75" customHeight="1" x14ac:dyDescent="0.25">
      <c r="A182" s="368" t="s">
        <v>68</v>
      </c>
      <c r="B182" s="368"/>
      <c r="C182" s="368"/>
      <c r="D182" s="368"/>
      <c r="E182" s="368"/>
      <c r="F182" s="368"/>
      <c r="G182" s="368"/>
      <c r="H182" s="368"/>
      <c r="I182" s="368"/>
      <c r="N182" s="78"/>
    </row>
    <row r="183" spans="1:21" ht="12.75" customHeight="1" x14ac:dyDescent="0.3">
      <c r="A183" s="361" t="s">
        <v>263</v>
      </c>
      <c r="B183" s="362"/>
      <c r="C183" s="362"/>
      <c r="D183" s="362"/>
      <c r="E183" s="362"/>
      <c r="F183" s="362"/>
      <c r="G183" s="362"/>
      <c r="H183" s="362"/>
      <c r="I183" s="362"/>
      <c r="J183" s="76"/>
      <c r="K183" s="76"/>
      <c r="L183" s="76"/>
      <c r="M183" s="76"/>
      <c r="N183" s="78"/>
      <c r="O183" s="76"/>
      <c r="P183" s="76"/>
      <c r="Q183" s="76"/>
      <c r="R183" s="76"/>
      <c r="S183" s="76"/>
      <c r="T183" s="76"/>
      <c r="U183" s="76"/>
    </row>
    <row r="184" spans="1:21" ht="12.75" customHeight="1" x14ac:dyDescent="0.3">
      <c r="A184" s="366" t="s">
        <v>264</v>
      </c>
      <c r="B184" s="369"/>
      <c r="C184" s="369"/>
      <c r="D184" s="369"/>
      <c r="E184" s="369"/>
      <c r="F184" s="369"/>
      <c r="G184" s="369"/>
      <c r="H184" s="369"/>
      <c r="I184" s="369"/>
      <c r="J184" s="76"/>
      <c r="K184" s="76"/>
      <c r="L184" s="76"/>
      <c r="M184" s="76"/>
      <c r="N184" s="78"/>
      <c r="O184" s="76"/>
      <c r="P184" s="76"/>
      <c r="Q184" s="76"/>
      <c r="R184" s="76"/>
      <c r="S184" s="76"/>
      <c r="T184" s="76"/>
      <c r="U184" s="76"/>
    </row>
    <row r="185" spans="1:21" s="76" customFormat="1" ht="12.75" customHeight="1" x14ac:dyDescent="0.3">
      <c r="A185" s="362" t="s">
        <v>11</v>
      </c>
      <c r="B185" s="362"/>
      <c r="C185" s="362"/>
      <c r="D185" s="362"/>
      <c r="E185" s="362"/>
      <c r="F185" s="362"/>
      <c r="G185" s="362"/>
      <c r="H185" s="362"/>
      <c r="I185" s="362"/>
      <c r="N185" s="74"/>
      <c r="O185" s="3"/>
      <c r="P185" s="3"/>
      <c r="Q185" s="3"/>
      <c r="R185" s="3"/>
      <c r="S185" s="3"/>
      <c r="T185" s="3"/>
      <c r="U185" s="3"/>
    </row>
    <row r="186" spans="1:21" s="76" customFormat="1" ht="15.75" customHeight="1" x14ac:dyDescent="0.3">
      <c r="A186" s="292"/>
      <c r="B186" s="292"/>
      <c r="C186" s="292"/>
      <c r="D186" s="292"/>
      <c r="E186" s="292"/>
      <c r="F186" s="292"/>
      <c r="G186" s="292"/>
      <c r="H186" s="292"/>
      <c r="I186" s="292"/>
      <c r="J186" s="3"/>
      <c r="K186" s="3"/>
      <c r="L186" s="3"/>
      <c r="M186" s="3"/>
      <c r="N186" s="78"/>
    </row>
    <row r="187" spans="1:21" s="76" customFormat="1" ht="15.75" customHeight="1" x14ac:dyDescent="0.3">
      <c r="A187" s="74"/>
      <c r="B187" s="3"/>
      <c r="C187" s="3"/>
      <c r="D187" s="3"/>
      <c r="E187" s="3"/>
      <c r="F187" s="3"/>
      <c r="G187" s="3"/>
      <c r="H187" s="3"/>
      <c r="I187" s="3"/>
      <c r="J187" s="3"/>
      <c r="K187" s="3"/>
      <c r="L187" s="3"/>
      <c r="M187" s="3"/>
      <c r="N187" s="78"/>
    </row>
    <row r="188" spans="1:21" ht="15.75" customHeight="1" x14ac:dyDescent="0.3">
      <c r="A188" s="74"/>
      <c r="N188" s="78"/>
      <c r="O188" s="76"/>
      <c r="P188" s="76"/>
      <c r="Q188" s="76"/>
      <c r="R188" s="76"/>
      <c r="S188" s="76"/>
      <c r="T188" s="76"/>
      <c r="U188" s="76"/>
    </row>
    <row r="189" spans="1:21" ht="15.75" customHeight="1" x14ac:dyDescent="0.3">
      <c r="A189" s="74"/>
      <c r="N189" s="78"/>
      <c r="O189" s="76"/>
      <c r="P189" s="76"/>
      <c r="Q189" s="76"/>
      <c r="R189" s="76"/>
      <c r="S189" s="76"/>
      <c r="T189" s="76"/>
      <c r="U189" s="76"/>
    </row>
    <row r="190" spans="1:21" ht="15.75" customHeight="1" x14ac:dyDescent="0.3">
      <c r="A190" s="74"/>
      <c r="B190" s="135"/>
      <c r="C190" s="135"/>
      <c r="D190" s="135"/>
      <c r="E190" s="135"/>
      <c r="F190" s="135"/>
      <c r="G190" s="135"/>
      <c r="H190" s="135"/>
      <c r="I190" s="135"/>
      <c r="N190" s="74"/>
    </row>
    <row r="191" spans="1:21" ht="15.75" customHeight="1" x14ac:dyDescent="0.3">
      <c r="A191" s="74"/>
      <c r="N191" s="74"/>
    </row>
    <row r="192" spans="1:21" ht="15.75" customHeight="1" x14ac:dyDescent="0.3">
      <c r="A192" s="74"/>
      <c r="N192" s="74"/>
    </row>
    <row r="193" spans="1:14" ht="15.75" customHeight="1" x14ac:dyDescent="0.3">
      <c r="A193" s="74"/>
      <c r="N193" s="74"/>
    </row>
    <row r="194" spans="1:14" ht="15.75" customHeight="1" x14ac:dyDescent="0.3">
      <c r="A194" s="74"/>
      <c r="N194" s="74"/>
    </row>
    <row r="195" spans="1:14" ht="15.75" customHeight="1" x14ac:dyDescent="0.3">
      <c r="A195" s="74"/>
      <c r="N195" s="74"/>
    </row>
    <row r="196" spans="1:14" ht="15.75" customHeight="1" x14ac:dyDescent="0.3">
      <c r="A196" s="74"/>
      <c r="N196" s="74"/>
    </row>
    <row r="197" spans="1:14" ht="15.75" customHeight="1" x14ac:dyDescent="0.3">
      <c r="A197" s="74"/>
      <c r="N197" s="74"/>
    </row>
    <row r="198" spans="1:14" ht="15.75" customHeight="1" x14ac:dyDescent="0.3">
      <c r="A198" s="74"/>
      <c r="N198" s="74"/>
    </row>
    <row r="199" spans="1:14" ht="15.75" customHeight="1" x14ac:dyDescent="0.3">
      <c r="A199" s="74"/>
      <c r="N199" s="74"/>
    </row>
    <row r="200" spans="1:14" ht="15.75" customHeight="1" x14ac:dyDescent="0.3">
      <c r="A200" s="74"/>
      <c r="N200" s="74"/>
    </row>
    <row r="201" spans="1:14" ht="15.75" customHeight="1" x14ac:dyDescent="0.3">
      <c r="A201" s="74"/>
      <c r="N201" s="74"/>
    </row>
    <row r="202" spans="1:14" ht="15.75" customHeight="1" x14ac:dyDescent="0.3">
      <c r="A202" s="74"/>
      <c r="N202" s="74"/>
    </row>
    <row r="203" spans="1:14" ht="15.75" customHeight="1" x14ac:dyDescent="0.3">
      <c r="A203" s="74"/>
      <c r="N203" s="74"/>
    </row>
    <row r="204" spans="1:14" ht="15.75" customHeight="1" x14ac:dyDescent="0.3">
      <c r="A204" s="74"/>
      <c r="N204" s="74"/>
    </row>
    <row r="205" spans="1:14" x14ac:dyDescent="0.3">
      <c r="A205" s="74"/>
      <c r="N205" s="74"/>
    </row>
    <row r="206" spans="1:14" x14ac:dyDescent="0.3">
      <c r="A206" s="74"/>
      <c r="N206" s="74"/>
    </row>
    <row r="207" spans="1:14" x14ac:dyDescent="0.3">
      <c r="A207" s="74"/>
      <c r="N207" s="74"/>
    </row>
    <row r="208" spans="1:14" x14ac:dyDescent="0.3">
      <c r="A208" s="74"/>
      <c r="N208" s="74"/>
    </row>
    <row r="209" spans="1:14" x14ac:dyDescent="0.3">
      <c r="A209" s="74"/>
      <c r="N209" s="74"/>
    </row>
    <row r="210" spans="1:14" x14ac:dyDescent="0.3">
      <c r="A210" s="74"/>
      <c r="N210" s="74"/>
    </row>
    <row r="211" spans="1:14" x14ac:dyDescent="0.3">
      <c r="A211" s="74"/>
      <c r="N211" s="74"/>
    </row>
    <row r="212" spans="1:14" x14ac:dyDescent="0.3">
      <c r="A212" s="74"/>
      <c r="N212" s="74"/>
    </row>
    <row r="213" spans="1:14" x14ac:dyDescent="0.3">
      <c r="A213" s="74"/>
      <c r="N213" s="74"/>
    </row>
    <row r="214" spans="1:14" x14ac:dyDescent="0.3">
      <c r="A214" s="74"/>
      <c r="N214" s="74"/>
    </row>
    <row r="215" spans="1:14" x14ac:dyDescent="0.3">
      <c r="A215" s="74"/>
      <c r="N215" s="74"/>
    </row>
    <row r="216" spans="1:14" x14ac:dyDescent="0.3">
      <c r="A216" s="74"/>
      <c r="N216" s="74"/>
    </row>
    <row r="217" spans="1:14" x14ac:dyDescent="0.3">
      <c r="A217" s="74"/>
      <c r="N217" s="74"/>
    </row>
    <row r="218" spans="1:14" x14ac:dyDescent="0.3">
      <c r="A218" s="74"/>
      <c r="N218" s="74"/>
    </row>
    <row r="219" spans="1:14" x14ac:dyDescent="0.3">
      <c r="A219" s="74"/>
      <c r="N219" s="74"/>
    </row>
    <row r="220" spans="1:14" x14ac:dyDescent="0.3">
      <c r="A220" s="74"/>
      <c r="N220" s="74"/>
    </row>
    <row r="221" spans="1:14" x14ac:dyDescent="0.3">
      <c r="A221" s="74"/>
      <c r="N221" s="74"/>
    </row>
    <row r="222" spans="1:14" x14ac:dyDescent="0.3">
      <c r="A222" s="74"/>
      <c r="N222" s="74"/>
    </row>
    <row r="223" spans="1:14" x14ac:dyDescent="0.3">
      <c r="A223" s="74"/>
      <c r="N223" s="74"/>
    </row>
    <row r="224" spans="1:14" x14ac:dyDescent="0.3">
      <c r="A224" s="74"/>
      <c r="N224" s="74"/>
    </row>
    <row r="225" spans="1:14" x14ac:dyDescent="0.3">
      <c r="A225" s="74"/>
      <c r="N225" s="74"/>
    </row>
    <row r="226" spans="1:14" x14ac:dyDescent="0.3">
      <c r="A226" s="74"/>
      <c r="N226" s="74"/>
    </row>
    <row r="227" spans="1:14" x14ac:dyDescent="0.3">
      <c r="A227" s="74"/>
      <c r="N227" s="74"/>
    </row>
    <row r="228" spans="1:14" x14ac:dyDescent="0.3">
      <c r="A228" s="74"/>
      <c r="N228" s="74"/>
    </row>
    <row r="229" spans="1:14" x14ac:dyDescent="0.3">
      <c r="A229" s="74"/>
      <c r="N229" s="74"/>
    </row>
    <row r="230" spans="1:14" x14ac:dyDescent="0.3">
      <c r="A230" s="74"/>
      <c r="N230" s="74"/>
    </row>
    <row r="231" spans="1:14" x14ac:dyDescent="0.3">
      <c r="A231" s="74"/>
    </row>
    <row r="232" spans="1:14" x14ac:dyDescent="0.3">
      <c r="A232" s="74"/>
    </row>
    <row r="233" spans="1:14" x14ac:dyDescent="0.3">
      <c r="A233" s="74"/>
    </row>
    <row r="234" spans="1:14" x14ac:dyDescent="0.3">
      <c r="A234" s="74"/>
    </row>
    <row r="235" spans="1:14" x14ac:dyDescent="0.3">
      <c r="A235" s="74"/>
    </row>
    <row r="236" spans="1:14" x14ac:dyDescent="0.3">
      <c r="A236" s="74"/>
    </row>
    <row r="237" spans="1:14" x14ac:dyDescent="0.3">
      <c r="A237" s="74"/>
    </row>
    <row r="238" spans="1:14" x14ac:dyDescent="0.3">
      <c r="A238" s="74"/>
    </row>
    <row r="239" spans="1:14" x14ac:dyDescent="0.3">
      <c r="A239" s="74"/>
    </row>
    <row r="240" spans="1:14" x14ac:dyDescent="0.3">
      <c r="A240" s="74"/>
    </row>
    <row r="241" spans="1:1" x14ac:dyDescent="0.3">
      <c r="A241" s="74"/>
    </row>
    <row r="242" spans="1:1" x14ac:dyDescent="0.3">
      <c r="A242" s="74"/>
    </row>
    <row r="243" spans="1:1" x14ac:dyDescent="0.3">
      <c r="A243" s="74"/>
    </row>
    <row r="244" spans="1:1" x14ac:dyDescent="0.3">
      <c r="A244" s="74"/>
    </row>
    <row r="245" spans="1:1" x14ac:dyDescent="0.3">
      <c r="A245" s="74"/>
    </row>
    <row r="246" spans="1:1" x14ac:dyDescent="0.3">
      <c r="A246" s="74"/>
    </row>
  </sheetData>
  <mergeCells count="258">
    <mergeCell ref="N132:T132"/>
    <mergeCell ref="P66:Q66"/>
    <mergeCell ref="R66:T66"/>
    <mergeCell ref="T75:U75"/>
    <mergeCell ref="N76:S76"/>
    <mergeCell ref="T76:U76"/>
    <mergeCell ref="N70:S70"/>
    <mergeCell ref="T70:U70"/>
    <mergeCell ref="N69:O69"/>
    <mergeCell ref="Q69:S69"/>
    <mergeCell ref="T69:U69"/>
    <mergeCell ref="P114:R114"/>
    <mergeCell ref="N117:U117"/>
    <mergeCell ref="N120:O120"/>
    <mergeCell ref="P120:Q120"/>
    <mergeCell ref="R120:S120"/>
    <mergeCell ref="P104:Q104"/>
    <mergeCell ref="P105:Q105"/>
    <mergeCell ref="P106:Q106"/>
    <mergeCell ref="P107:T107"/>
    <mergeCell ref="N108:U108"/>
    <mergeCell ref="N110:P110"/>
    <mergeCell ref="Q110:T110"/>
    <mergeCell ref="N96:P96"/>
    <mergeCell ref="N43:O43"/>
    <mergeCell ref="P43:T43"/>
    <mergeCell ref="N44:Q44"/>
    <mergeCell ref="S44:T44"/>
    <mergeCell ref="N46:Q46"/>
    <mergeCell ref="S46:T46"/>
    <mergeCell ref="N57:O65"/>
    <mergeCell ref="P56:Q56"/>
    <mergeCell ref="P57:Q57"/>
    <mergeCell ref="P58:Q58"/>
    <mergeCell ref="P59:Q59"/>
    <mergeCell ref="P60:Q60"/>
    <mergeCell ref="P61:Q61"/>
    <mergeCell ref="P62:Q62"/>
    <mergeCell ref="P63:Q63"/>
    <mergeCell ref="P64:Q64"/>
    <mergeCell ref="P65:Q65"/>
    <mergeCell ref="N136:U136"/>
    <mergeCell ref="N155:U155"/>
    <mergeCell ref="D69:G69"/>
    <mergeCell ref="D72:G72"/>
    <mergeCell ref="C102:D102"/>
    <mergeCell ref="C103:D103"/>
    <mergeCell ref="F119:G119"/>
    <mergeCell ref="C118:E118"/>
    <mergeCell ref="N126:P126"/>
    <mergeCell ref="N130:T130"/>
    <mergeCell ref="N135:U135"/>
    <mergeCell ref="N123:O123"/>
    <mergeCell ref="P123:Q123"/>
    <mergeCell ref="R123:S123"/>
    <mergeCell ref="N124:O124"/>
    <mergeCell ref="N121:O121"/>
    <mergeCell ref="P121:Q121"/>
    <mergeCell ref="R121:S121"/>
    <mergeCell ref="N122:O122"/>
    <mergeCell ref="P122:Q122"/>
    <mergeCell ref="R122:S122"/>
    <mergeCell ref="N113:O113"/>
    <mergeCell ref="P113:R113"/>
    <mergeCell ref="N114:O114"/>
    <mergeCell ref="N94:P94"/>
    <mergeCell ref="N103:O103"/>
    <mergeCell ref="P103:Q103"/>
    <mergeCell ref="R103:U103"/>
    <mergeCell ref="Q72:S72"/>
    <mergeCell ref="N73:S73"/>
    <mergeCell ref="T73:U73"/>
    <mergeCell ref="N87:P87"/>
    <mergeCell ref="N78:O78"/>
    <mergeCell ref="Q78:S78"/>
    <mergeCell ref="T78:U78"/>
    <mergeCell ref="N79:S79"/>
    <mergeCell ref="T79:U79"/>
    <mergeCell ref="N72:O72"/>
    <mergeCell ref="T72:U72"/>
    <mergeCell ref="N81:O81"/>
    <mergeCell ref="Q81:S81"/>
    <mergeCell ref="T81:U81"/>
    <mergeCell ref="N82:S82"/>
    <mergeCell ref="T82:U82"/>
    <mergeCell ref="N88:P88"/>
    <mergeCell ref="N75:O75"/>
    <mergeCell ref="Q75:S75"/>
    <mergeCell ref="P42:T42"/>
    <mergeCell ref="N35:T35"/>
    <mergeCell ref="N37:O37"/>
    <mergeCell ref="P37:T37"/>
    <mergeCell ref="N38:O38"/>
    <mergeCell ref="P38:T38"/>
    <mergeCell ref="N39:O39"/>
    <mergeCell ref="P39:T39"/>
    <mergeCell ref="N29:O29"/>
    <mergeCell ref="P29:Q29"/>
    <mergeCell ref="R29:S29"/>
    <mergeCell ref="N30:O30"/>
    <mergeCell ref="P30:Q30"/>
    <mergeCell ref="R30:S30"/>
    <mergeCell ref="N40:O40"/>
    <mergeCell ref="P40:T40"/>
    <mergeCell ref="N41:O41"/>
    <mergeCell ref="P41:T41"/>
    <mergeCell ref="N42:O42"/>
    <mergeCell ref="N27:O27"/>
    <mergeCell ref="P27:Q27"/>
    <mergeCell ref="R27:S27"/>
    <mergeCell ref="N28:O28"/>
    <mergeCell ref="P28:Q28"/>
    <mergeCell ref="R28:S28"/>
    <mergeCell ref="N25:O25"/>
    <mergeCell ref="P25:Q25"/>
    <mergeCell ref="R25:S25"/>
    <mergeCell ref="N26:O26"/>
    <mergeCell ref="P26:Q26"/>
    <mergeCell ref="R26:S26"/>
    <mergeCell ref="N24:O24"/>
    <mergeCell ref="P24:Q24"/>
    <mergeCell ref="R24:S24"/>
    <mergeCell ref="N21:O21"/>
    <mergeCell ref="P21:Q21"/>
    <mergeCell ref="R21:S21"/>
    <mergeCell ref="N22:O22"/>
    <mergeCell ref="P22:Q22"/>
    <mergeCell ref="R22:S22"/>
    <mergeCell ref="N23:O23"/>
    <mergeCell ref="P23:Q23"/>
    <mergeCell ref="R23:S23"/>
    <mergeCell ref="R20:S20"/>
    <mergeCell ref="N17:O17"/>
    <mergeCell ref="P17:Q17"/>
    <mergeCell ref="R17:S17"/>
    <mergeCell ref="N18:O18"/>
    <mergeCell ref="P18:Q18"/>
    <mergeCell ref="R18:S18"/>
    <mergeCell ref="N20:O20"/>
    <mergeCell ref="P20:Q20"/>
    <mergeCell ref="N19:O19"/>
    <mergeCell ref="P19:Q19"/>
    <mergeCell ref="R19:S19"/>
    <mergeCell ref="R8:S8"/>
    <mergeCell ref="T8:U8"/>
    <mergeCell ref="R11:S11"/>
    <mergeCell ref="N12:O12"/>
    <mergeCell ref="P12:Q12"/>
    <mergeCell ref="R12:S12"/>
    <mergeCell ref="N15:O15"/>
    <mergeCell ref="P15:Q15"/>
    <mergeCell ref="R15:S15"/>
    <mergeCell ref="T9:U9"/>
    <mergeCell ref="N16:O16"/>
    <mergeCell ref="P16:Q16"/>
    <mergeCell ref="R16:S16"/>
    <mergeCell ref="N13:O13"/>
    <mergeCell ref="P13:Q13"/>
    <mergeCell ref="R13:S13"/>
    <mergeCell ref="N14:O14"/>
    <mergeCell ref="P14:Q14"/>
    <mergeCell ref="R14:S14"/>
    <mergeCell ref="O1:U1"/>
    <mergeCell ref="N2:U2"/>
    <mergeCell ref="N3:U3"/>
    <mergeCell ref="N4:O4"/>
    <mergeCell ref="P4:Q4"/>
    <mergeCell ref="A43:B43"/>
    <mergeCell ref="N7:U7"/>
    <mergeCell ref="A39:B39"/>
    <mergeCell ref="A30:B30"/>
    <mergeCell ref="A24:B24"/>
    <mergeCell ref="A22:B22"/>
    <mergeCell ref="F22:G22"/>
    <mergeCell ref="F23:G23"/>
    <mergeCell ref="A17:B17"/>
    <mergeCell ref="F16:G16"/>
    <mergeCell ref="F18:G18"/>
    <mergeCell ref="F17:G17"/>
    <mergeCell ref="F20:G20"/>
    <mergeCell ref="F21:G21"/>
    <mergeCell ref="A21:B21"/>
    <mergeCell ref="B1:I1"/>
    <mergeCell ref="A7:I7"/>
    <mergeCell ref="N8:O8"/>
    <mergeCell ref="P8:Q8"/>
    <mergeCell ref="A4:B4"/>
    <mergeCell ref="C4:E4"/>
    <mergeCell ref="F11:G11"/>
    <mergeCell ref="A15:B15"/>
    <mergeCell ref="F15:G15"/>
    <mergeCell ref="F12:G12"/>
    <mergeCell ref="F13:G13"/>
    <mergeCell ref="A13:B13"/>
    <mergeCell ref="A29:B29"/>
    <mergeCell ref="A27:B27"/>
    <mergeCell ref="A28:B28"/>
    <mergeCell ref="F14:G14"/>
    <mergeCell ref="A20:B20"/>
    <mergeCell ref="A19:B19"/>
    <mergeCell ref="A14:B14"/>
    <mergeCell ref="A16:B16"/>
    <mergeCell ref="F19:G19"/>
    <mergeCell ref="A18:B18"/>
    <mergeCell ref="F25:G25"/>
    <mergeCell ref="F26:G26"/>
    <mergeCell ref="A23:B23"/>
    <mergeCell ref="F24:G24"/>
    <mergeCell ref="F27:G27"/>
    <mergeCell ref="F28:G28"/>
    <mergeCell ref="F29:G29"/>
    <mergeCell ref="A25:B25"/>
    <mergeCell ref="A26:B26"/>
    <mergeCell ref="A38:B38"/>
    <mergeCell ref="F123:G123"/>
    <mergeCell ref="C106:D106"/>
    <mergeCell ref="A72:B72"/>
    <mergeCell ref="C105:D105"/>
    <mergeCell ref="F34:H37"/>
    <mergeCell ref="A37:B37"/>
    <mergeCell ref="F122:G122"/>
    <mergeCell ref="A87:C87"/>
    <mergeCell ref="A121:B121"/>
    <mergeCell ref="A117:C117"/>
    <mergeCell ref="F117:I117"/>
    <mergeCell ref="A113:B113"/>
    <mergeCell ref="A114:B114"/>
    <mergeCell ref="F30:G30"/>
    <mergeCell ref="A69:B69"/>
    <mergeCell ref="A96:C96"/>
    <mergeCell ref="A75:B75"/>
    <mergeCell ref="D75:G75"/>
    <mergeCell ref="A57:B65"/>
    <mergeCell ref="F66:H66"/>
    <mergeCell ref="A128:H128"/>
    <mergeCell ref="A133:G133"/>
    <mergeCell ref="A132:G132"/>
    <mergeCell ref="F126:H126"/>
    <mergeCell ref="A40:B40"/>
    <mergeCell ref="A41:B41"/>
    <mergeCell ref="A124:B124"/>
    <mergeCell ref="A123:B123"/>
    <mergeCell ref="A122:B122"/>
    <mergeCell ref="A108:I108"/>
    <mergeCell ref="F121:G121"/>
    <mergeCell ref="A88:C88"/>
    <mergeCell ref="C107:D107"/>
    <mergeCell ref="A120:B120"/>
    <mergeCell ref="F110:I110"/>
    <mergeCell ref="F120:G120"/>
    <mergeCell ref="A126:C126"/>
    <mergeCell ref="A42:B42"/>
    <mergeCell ref="A94:C94"/>
    <mergeCell ref="C104:D104"/>
    <mergeCell ref="A78:B78"/>
    <mergeCell ref="D78:G78"/>
    <mergeCell ref="A81:B81"/>
    <mergeCell ref="D81:G81"/>
  </mergeCells>
  <phoneticPr fontId="13" type="noConversion"/>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FFCCCC"/>
  </sheetPr>
  <dimension ref="A1:V221"/>
  <sheetViews>
    <sheetView topLeftCell="A111" workbookViewId="0">
      <selection activeCell="I139" sqref="I139"/>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2.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v>50</v>
      </c>
      <c r="B1" s="799" t="s">
        <v>15</v>
      </c>
      <c r="C1" s="800"/>
      <c r="D1" s="800"/>
      <c r="E1" s="800"/>
      <c r="F1" s="800"/>
      <c r="G1" s="800"/>
      <c r="H1" s="800"/>
      <c r="I1" s="800"/>
      <c r="J1" s="135"/>
      <c r="K1" s="135"/>
      <c r="L1" s="135"/>
      <c r="N1" s="82">
        <f>A1</f>
        <v>50</v>
      </c>
      <c r="O1" s="880" t="s">
        <v>15</v>
      </c>
      <c r="P1" s="881"/>
      <c r="Q1" s="881"/>
      <c r="R1" s="881"/>
      <c r="S1" s="881"/>
      <c r="T1" s="881"/>
      <c r="U1" s="881"/>
    </row>
    <row r="2" spans="1:21" ht="21" x14ac:dyDescent="0.4">
      <c r="A2" s="1" t="s">
        <v>110</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301.42</v>
      </c>
      <c r="D18" s="143">
        <v>287.95</v>
      </c>
      <c r="E18" s="116">
        <f t="shared" si="1"/>
        <v>589.37</v>
      </c>
      <c r="F18" s="859">
        <f>'1461'!F18:G18</f>
        <v>0.97799999999999998</v>
      </c>
      <c r="G18" s="859"/>
      <c r="H18" s="80">
        <f t="shared" si="2"/>
        <v>576.40390000000002</v>
      </c>
      <c r="I18" s="101">
        <f t="shared" si="3"/>
        <v>3198167.81</v>
      </c>
      <c r="N18" s="818" t="s">
        <v>24</v>
      </c>
      <c r="O18" s="818"/>
      <c r="P18" s="860">
        <f t="shared" si="0"/>
        <v>0</v>
      </c>
      <c r="Q18" s="860"/>
      <c r="R18" s="864">
        <v>1</v>
      </c>
      <c r="S18" s="864"/>
      <c r="T18" s="95">
        <f t="shared" si="4"/>
        <v>0</v>
      </c>
      <c r="U18" s="523">
        <f t="shared" si="5"/>
        <v>0</v>
      </c>
    </row>
    <row r="19" spans="1:21" x14ac:dyDescent="0.3">
      <c r="A19" s="776" t="s">
        <v>25</v>
      </c>
      <c r="B19" s="776"/>
      <c r="C19" s="143">
        <v>131.08000000000001</v>
      </c>
      <c r="D19" s="143">
        <v>126.49</v>
      </c>
      <c r="E19" s="116">
        <f t="shared" si="1"/>
        <v>257.57</v>
      </c>
      <c r="F19" s="859">
        <f>'1461'!F19:G19</f>
        <v>0.97799999999999998</v>
      </c>
      <c r="G19" s="859"/>
      <c r="H19" s="80">
        <f t="shared" si="2"/>
        <v>251.90350000000001</v>
      </c>
      <c r="I19" s="101">
        <f t="shared" si="3"/>
        <v>1397682.54</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2.36</v>
      </c>
      <c r="D28" s="143">
        <v>1.34</v>
      </c>
      <c r="E28" s="116">
        <f t="shared" si="1"/>
        <v>3.7</v>
      </c>
      <c r="F28" s="859">
        <f>'1461'!F28:G28</f>
        <v>1.1919999999999999</v>
      </c>
      <c r="G28" s="859"/>
      <c r="H28" s="80">
        <f t="shared" si="2"/>
        <v>4.4104000000000001</v>
      </c>
      <c r="I28" s="101">
        <f t="shared" si="3"/>
        <v>24471.03</v>
      </c>
      <c r="N28" s="818" t="s">
        <v>87</v>
      </c>
      <c r="O28" s="818"/>
      <c r="P28" s="860">
        <f t="shared" si="0"/>
        <v>0</v>
      </c>
      <c r="Q28" s="860"/>
      <c r="R28" s="864">
        <v>1</v>
      </c>
      <c r="S28" s="864"/>
      <c r="T28" s="95">
        <f t="shared" si="4"/>
        <v>0</v>
      </c>
      <c r="U28" s="523">
        <f t="shared" si="5"/>
        <v>0</v>
      </c>
    </row>
    <row r="29" spans="1:21" x14ac:dyDescent="0.3">
      <c r="A29" s="776" t="s">
        <v>88</v>
      </c>
      <c r="B29" s="776"/>
      <c r="C29" s="110">
        <v>120.66</v>
      </c>
      <c r="D29" s="110">
        <v>125.93</v>
      </c>
      <c r="E29" s="154">
        <f t="shared" si="1"/>
        <v>246.59</v>
      </c>
      <c r="F29" s="859">
        <f>'1461'!F29:G29</f>
        <v>1.079</v>
      </c>
      <c r="G29" s="859"/>
      <c r="H29" s="93">
        <f t="shared" si="2"/>
        <v>266.07060000000001</v>
      </c>
      <c r="I29" s="94">
        <f t="shared" si="3"/>
        <v>1476288.46</v>
      </c>
      <c r="N29" s="819" t="s">
        <v>88</v>
      </c>
      <c r="O29" s="819"/>
      <c r="P29" s="860">
        <f t="shared" si="0"/>
        <v>0</v>
      </c>
      <c r="Q29" s="860"/>
      <c r="R29" s="861">
        <v>1</v>
      </c>
      <c r="S29" s="861"/>
      <c r="T29" s="95">
        <f t="shared" si="4"/>
        <v>0</v>
      </c>
      <c r="U29" s="523">
        <f t="shared" si="5"/>
        <v>0</v>
      </c>
    </row>
    <row r="30" spans="1:21" x14ac:dyDescent="0.3">
      <c r="A30" s="779" t="s">
        <v>5</v>
      </c>
      <c r="B30" s="779"/>
      <c r="C30" s="94">
        <f>SUM(C14:C29)</f>
        <v>555.52</v>
      </c>
      <c r="D30" s="94">
        <f>SUM(D14:D29)</f>
        <v>541.71</v>
      </c>
      <c r="E30" s="94">
        <f>SUM(E14:E29)</f>
        <v>1097.23</v>
      </c>
      <c r="F30" s="795"/>
      <c r="G30" s="795"/>
      <c r="H30" s="99">
        <f>SUM(H14:H29)</f>
        <v>1098.7883999999999</v>
      </c>
      <c r="I30" s="94">
        <f>SUM(I14:I29)</f>
        <v>6096609.8399999999</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1098.7883999999999</v>
      </c>
      <c r="F46" s="34"/>
      <c r="G46" s="106"/>
      <c r="H46" s="107" t="s">
        <v>98</v>
      </c>
      <c r="I46" s="94">
        <f>SUM(I44,I30)</f>
        <v>6096609.8399999999</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5835656.870000001</v>
      </c>
      <c r="G51" s="109" t="s">
        <v>6</v>
      </c>
      <c r="H51" s="452">
        <v>5.5899999999999998E-2</v>
      </c>
      <c r="I51" s="101">
        <f>ROUND(F51*H51,2)</f>
        <v>326213.21999999997</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5835656.870000001</v>
      </c>
      <c r="G52" s="109" t="s">
        <v>6</v>
      </c>
      <c r="H52" s="452">
        <v>1.0699999999999999E-2</v>
      </c>
      <c r="I52" s="101">
        <f>ROUND(F52*H52,2)</f>
        <v>62441.53</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388654.75</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2" si="10">IF(D$72=0,C57*2,C57+D57)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119.18</v>
      </c>
      <c r="D63" s="143">
        <v>115.01</v>
      </c>
      <c r="E63" s="116">
        <f>IF(D$66=0,C63*2,C63+D63)</f>
        <v>234.19</v>
      </c>
      <c r="F63" s="494" t="s">
        <v>14</v>
      </c>
      <c r="G63" s="493">
        <v>251</v>
      </c>
      <c r="H63" s="507">
        <f>'1461'!H63</f>
        <v>835</v>
      </c>
      <c r="I63" s="101">
        <f t="shared" si="11"/>
        <v>195548.65</v>
      </c>
      <c r="N63" s="850"/>
      <c r="O63" s="850"/>
      <c r="P63" s="844"/>
      <c r="Q63" s="844"/>
      <c r="R63" s="40" t="s">
        <v>14</v>
      </c>
      <c r="S63" s="499">
        <v>251</v>
      </c>
      <c r="T63" s="510">
        <f t="shared" si="12"/>
        <v>835</v>
      </c>
      <c r="U63" s="524">
        <f t="shared" si="13"/>
        <v>0</v>
      </c>
      <c r="V63" s="474"/>
    </row>
    <row r="64" spans="1:22" x14ac:dyDescent="0.3">
      <c r="A64" s="792"/>
      <c r="B64" s="792"/>
      <c r="C64" s="143">
        <v>11.9</v>
      </c>
      <c r="D64" s="143">
        <v>11.48</v>
      </c>
      <c r="E64" s="116">
        <f>IF(D$66=0,C64*2,C64+D64)</f>
        <v>23.380000000000003</v>
      </c>
      <c r="F64" s="494" t="s">
        <v>14</v>
      </c>
      <c r="G64" s="493">
        <v>252</v>
      </c>
      <c r="H64" s="507">
        <f>'1461'!H64</f>
        <v>3168</v>
      </c>
      <c r="I64" s="101">
        <f t="shared" si="11"/>
        <v>74067.839999999997</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IF(D$66=0,C65*2,C65+D65)</f>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131.08000000000001</v>
      </c>
      <c r="D66" s="97">
        <f>SUM(D57:D65)</f>
        <v>126.49000000000001</v>
      </c>
      <c r="E66" s="97">
        <f>SUM(E57:E65)</f>
        <v>257.57</v>
      </c>
      <c r="F66" s="779" t="s">
        <v>507</v>
      </c>
      <c r="G66" s="779"/>
      <c r="H66" s="779"/>
      <c r="I66" s="97">
        <f>SUM(I57:I65)</f>
        <v>269616.49</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1097.23</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5.2209999999999999E-3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1098.7883999999999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4.6319999999999998E-3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1097.23</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5.9119999999999997E-3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1097.23</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5.2290000000000001E-3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1097.23</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5.9230000000000003E-3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5.2290000000000001E-3</v>
      </c>
      <c r="I85" s="101">
        <f>ROUND(F85*H85,2)</f>
        <v>241323.99</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5.2209999999999999E-3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5.9230000000000003E-3</v>
      </c>
      <c r="I90" s="101">
        <f>ROUND(F90*H90,2)</f>
        <v>113095.78</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5.9119999999999997E-3</v>
      </c>
      <c r="I92" s="101">
        <f t="shared" ref="I92:I96" si="14">ROUND(F92*H92,2)</f>
        <v>67762.92</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4.6319999999999998E-3</v>
      </c>
      <c r="I94" s="101">
        <f t="shared" si="14"/>
        <v>1184665.57</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4.6319999999999998E-3</v>
      </c>
      <c r="I96" s="101">
        <f t="shared" si="14"/>
        <v>-77379.259999999995</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5.2209999999999999E-3</v>
      </c>
      <c r="I98" s="101">
        <f t="shared" ref="I98" si="16">ROUND(F98*H98,2)</f>
        <v>1064.3599999999999</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1098.7883999999999</v>
      </c>
      <c r="D106" s="774"/>
      <c r="E106" s="46">
        <f>H8</f>
        <v>1.0407999999999999</v>
      </c>
      <c r="F106" s="302">
        <f>'1461'!F106</f>
        <v>910.12</v>
      </c>
      <c r="G106" s="39" t="s">
        <v>12</v>
      </c>
      <c r="H106" s="94">
        <f>ROUND(C106*E106*F106,2)</f>
        <v>1040830.49</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1098.7883999999999</v>
      </c>
      <c r="D107" s="787"/>
      <c r="E107" s="123"/>
      <c r="F107" s="123"/>
      <c r="G107" s="123"/>
      <c r="H107" s="124" t="s">
        <v>100</v>
      </c>
      <c r="I107" s="101">
        <f>IF(A1=75,0,H106+H105+H104)</f>
        <v>1040830.49</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8"/>
      <c r="D110" s="8"/>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784</v>
      </c>
      <c r="D113" s="143">
        <v>796</v>
      </c>
      <c r="E113" s="116">
        <f>(C113+D113)/2</f>
        <v>790</v>
      </c>
      <c r="F113" s="126" t="s">
        <v>30</v>
      </c>
      <c r="G113" s="303">
        <f>'1461'!G113</f>
        <v>584</v>
      </c>
      <c r="I113" s="101">
        <f>ROUND(G113*E113,2)</f>
        <v>461360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9398950.1800000016</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9010295.4300000016</v>
      </c>
      <c r="N130" s="847" t="s">
        <v>33</v>
      </c>
      <c r="O130" s="847"/>
      <c r="P130" s="847"/>
      <c r="Q130" s="847"/>
      <c r="R130" s="847"/>
      <c r="S130" s="847"/>
      <c r="T130" s="847"/>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495</v>
      </c>
      <c r="B132" s="776"/>
      <c r="C132" s="776"/>
      <c r="D132" s="776"/>
      <c r="E132" s="776"/>
      <c r="F132" s="776"/>
      <c r="G132" s="776"/>
      <c r="H132" s="81" t="s">
        <v>375</v>
      </c>
      <c r="I132" s="134"/>
      <c r="N132" s="28"/>
      <c r="O132" s="28"/>
      <c r="P132" s="28"/>
      <c r="Q132" s="28"/>
      <c r="R132" s="28"/>
      <c r="S132" s="28"/>
      <c r="T132" s="28"/>
      <c r="U132" s="138"/>
    </row>
    <row r="133" spans="1:21" x14ac:dyDescent="0.3">
      <c r="A133" s="776" t="s">
        <v>70</v>
      </c>
      <c r="B133" s="776"/>
      <c r="C133" s="776"/>
      <c r="D133" s="776"/>
      <c r="E133" s="776"/>
      <c r="F133" s="776"/>
      <c r="G133" s="776"/>
      <c r="H133" s="70" t="str">
        <f>IF(E30=0,"",IF((E15+E17+SUM(E19:E25))/E30&gt;0.75,1,""))</f>
        <v/>
      </c>
      <c r="I133" s="116">
        <f>U130</f>
        <v>0</v>
      </c>
      <c r="N133" s="28"/>
      <c r="O133" s="28"/>
      <c r="P133" s="28"/>
      <c r="Q133" s="28"/>
      <c r="R133" s="28"/>
      <c r="S133" s="28"/>
      <c r="T133" s="2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9010295.4300000016</v>
      </c>
      <c r="I135" s="94">
        <f>ROUND(IF(E30=0,0,IF(E30&gt;250,-(((250/E30)*H135)*IF(G135="H",0.02,0.05)),IF(G135="H",-0.02*H135,-0.05*H135))),2)</f>
        <v>-41059.279999999999</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9357890.9000000022</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Payments'!Q73</f>
        <v>-9541978.3000000007</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-184087.39999999851</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-184087.4</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IF(G135="H",(H135*0.02)+I135,(H135*0.05)+I135)</f>
        <v>139146.62860000003</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57" t="str">
        <f>'1461'!A152</f>
        <v>(a) Additional FTE includes FTE earned through Advanced Placement, International Baccalaureate, Advanced International Certificate of Education, Industry Certified Career</v>
      </c>
      <c r="B152" s="358"/>
      <c r="C152" s="358"/>
      <c r="D152" s="358"/>
      <c r="E152" s="358"/>
      <c r="F152" s="358"/>
      <c r="G152" s="358"/>
      <c r="H152" s="358"/>
      <c r="I152" s="358"/>
      <c r="J152" s="77"/>
      <c r="K152" s="76"/>
      <c r="L152" s="76"/>
      <c r="M152" s="76"/>
      <c r="N152" s="73"/>
      <c r="O152" s="73"/>
      <c r="P152" s="73"/>
      <c r="Q152" s="73"/>
      <c r="R152" s="73"/>
      <c r="S152" s="73"/>
      <c r="T152" s="73"/>
      <c r="U152" s="73"/>
    </row>
    <row r="153" spans="1:21" ht="15.75" customHeight="1" x14ac:dyDescent="0.3">
      <c r="A153" s="363" t="s">
        <v>434</v>
      </c>
      <c r="B153" s="358"/>
      <c r="C153" s="358"/>
      <c r="D153" s="358"/>
      <c r="E153" s="358"/>
      <c r="F153" s="358"/>
      <c r="G153" s="358"/>
      <c r="H153" s="358"/>
      <c r="I153" s="358"/>
      <c r="J153" s="77"/>
      <c r="K153" s="76"/>
      <c r="L153" s="76"/>
      <c r="M153" s="76"/>
      <c r="N153" s="73"/>
      <c r="O153" s="73"/>
      <c r="P153" s="73"/>
      <c r="Q153" s="73"/>
      <c r="R153" s="73"/>
      <c r="S153" s="73"/>
      <c r="T153" s="73"/>
      <c r="U153" s="73"/>
    </row>
    <row r="154" spans="1:21" x14ac:dyDescent="0.3">
      <c r="A154" s="357" t="s">
        <v>435</v>
      </c>
      <c r="B154" s="359"/>
      <c r="C154" s="359"/>
      <c r="D154" s="359"/>
      <c r="E154" s="359"/>
      <c r="F154" s="359"/>
      <c r="G154" s="359"/>
      <c r="H154" s="359"/>
      <c r="I154" s="359"/>
      <c r="J154" s="76"/>
      <c r="K154" s="76"/>
      <c r="L154" s="76"/>
      <c r="M154" s="76"/>
      <c r="N154" s="73"/>
      <c r="O154" s="73"/>
      <c r="P154" s="73"/>
      <c r="Q154" s="73"/>
      <c r="R154" s="73"/>
      <c r="S154" s="73"/>
      <c r="T154" s="73"/>
      <c r="U154" s="73"/>
    </row>
    <row r="155" spans="1:21" s="76" customFormat="1" x14ac:dyDescent="0.3">
      <c r="A155" s="357" t="s">
        <v>436</v>
      </c>
      <c r="B155" s="359"/>
      <c r="C155" s="359"/>
      <c r="D155" s="359"/>
      <c r="E155" s="359"/>
      <c r="F155" s="359"/>
      <c r="G155" s="359"/>
      <c r="H155" s="359"/>
      <c r="I155" s="359"/>
      <c r="N155" s="816"/>
      <c r="O155" s="816"/>
      <c r="P155" s="816"/>
      <c r="Q155" s="816"/>
      <c r="R155" s="816"/>
      <c r="S155" s="816"/>
      <c r="T155" s="816"/>
      <c r="U155" s="816"/>
    </row>
    <row r="156" spans="1:21" s="76" customFormat="1" x14ac:dyDescent="0.3">
      <c r="A156" s="357" t="s">
        <v>437</v>
      </c>
      <c r="B156" s="359"/>
      <c r="C156" s="359"/>
      <c r="D156" s="359"/>
      <c r="E156" s="359"/>
      <c r="F156" s="359"/>
      <c r="G156" s="359"/>
      <c r="H156" s="359"/>
      <c r="I156" s="359"/>
      <c r="N156" s="73"/>
      <c r="O156" s="73"/>
      <c r="P156" s="73"/>
      <c r="Q156" s="73"/>
      <c r="R156" s="73"/>
      <c r="S156" s="73"/>
      <c r="T156" s="73"/>
      <c r="U156" s="73"/>
    </row>
    <row r="157" spans="1:21" s="76" customFormat="1" x14ac:dyDescent="0.25">
      <c r="A157" s="357" t="s">
        <v>438</v>
      </c>
      <c r="B157" s="359"/>
      <c r="C157" s="359"/>
      <c r="D157" s="359"/>
      <c r="E157" s="359"/>
      <c r="F157" s="359"/>
      <c r="G157" s="359"/>
      <c r="H157" s="359"/>
      <c r="I157" s="359"/>
      <c r="N157" s="78"/>
      <c r="O157" s="79"/>
      <c r="P157" s="79"/>
      <c r="Q157" s="79"/>
      <c r="R157" s="79"/>
      <c r="S157" s="79"/>
      <c r="T157" s="79"/>
      <c r="U157" s="79"/>
    </row>
    <row r="158" spans="1:21" s="76" customFormat="1" x14ac:dyDescent="0.25">
      <c r="A158" s="357" t="s">
        <v>439</v>
      </c>
      <c r="B158" s="359"/>
      <c r="C158" s="359"/>
      <c r="D158" s="359"/>
      <c r="E158" s="359"/>
      <c r="F158" s="359"/>
      <c r="G158" s="359"/>
      <c r="H158" s="359"/>
      <c r="I158" s="359"/>
      <c r="N158" s="78"/>
    </row>
    <row r="159" spans="1:21" s="76" customFormat="1" x14ac:dyDescent="0.25">
      <c r="A159" s="357" t="s">
        <v>441</v>
      </c>
      <c r="B159" s="359"/>
      <c r="C159" s="359"/>
      <c r="D159" s="359"/>
      <c r="E159" s="359"/>
      <c r="F159" s="359"/>
      <c r="G159" s="359"/>
      <c r="H159" s="359"/>
      <c r="I159" s="359"/>
      <c r="N159" s="78"/>
    </row>
    <row r="160" spans="1:21" s="76" customFormat="1" x14ac:dyDescent="0.25">
      <c r="A160" s="363" t="s">
        <v>440</v>
      </c>
      <c r="B160" s="359"/>
      <c r="C160" s="359"/>
      <c r="D160" s="359"/>
      <c r="E160" s="359"/>
      <c r="F160" s="359"/>
      <c r="G160" s="359"/>
      <c r="H160" s="359"/>
      <c r="I160" s="359"/>
      <c r="N160" s="78"/>
    </row>
    <row r="161" spans="1:14" s="76" customFormat="1" x14ac:dyDescent="0.25">
      <c r="A161" s="357" t="s">
        <v>442</v>
      </c>
      <c r="B161" s="359"/>
      <c r="C161" s="359"/>
      <c r="D161" s="359"/>
      <c r="E161" s="359"/>
      <c r="F161" s="359"/>
      <c r="G161" s="359"/>
      <c r="H161" s="359"/>
      <c r="I161" s="359"/>
      <c r="N161" s="78"/>
    </row>
    <row r="162" spans="1:14" s="76" customFormat="1" x14ac:dyDescent="0.25">
      <c r="A162" s="363" t="str">
        <f>'1461'!A162</f>
        <v>"All Adjusted ESE Riders" should include only ESE Riders.</v>
      </c>
      <c r="B162" s="359"/>
      <c r="C162" s="359"/>
      <c r="D162" s="359"/>
      <c r="E162" s="359"/>
      <c r="F162" s="359"/>
      <c r="G162" s="359"/>
      <c r="H162" s="359"/>
      <c r="I162" s="359"/>
      <c r="N162" s="78"/>
    </row>
    <row r="163" spans="1:14" s="76" customFormat="1" x14ac:dyDescent="0.25">
      <c r="A163" s="357" t="s">
        <v>445</v>
      </c>
      <c r="B163" s="359"/>
      <c r="C163" s="359"/>
      <c r="D163" s="359"/>
      <c r="E163" s="359"/>
      <c r="F163" s="359"/>
      <c r="G163" s="359"/>
      <c r="H163" s="359"/>
      <c r="I163" s="359"/>
      <c r="N163" s="78"/>
    </row>
    <row r="164" spans="1:14" s="76" customFormat="1" ht="15.75" customHeight="1" x14ac:dyDescent="0.25">
      <c r="A164" s="357" t="str">
        <f>'1461'!A164</f>
        <v xml:space="preserve">(j) Funding based on student eligibility and meals provided, if participating in the National School Lunch Program. </v>
      </c>
      <c r="B164" s="359"/>
      <c r="C164" s="359"/>
      <c r="D164" s="359"/>
      <c r="E164" s="359"/>
      <c r="F164" s="359"/>
      <c r="G164" s="359"/>
      <c r="H164" s="359"/>
      <c r="I164" s="359"/>
      <c r="N164" s="78"/>
    </row>
    <row r="165" spans="1:14" s="76" customFormat="1" ht="15.75" customHeight="1" x14ac:dyDescent="0.25">
      <c r="A165" s="357" t="s">
        <v>447</v>
      </c>
      <c r="B165" s="359"/>
      <c r="C165" s="359"/>
      <c r="D165" s="359"/>
      <c r="E165" s="359"/>
      <c r="F165" s="359"/>
      <c r="G165" s="359"/>
      <c r="H165" s="359"/>
      <c r="I165" s="359"/>
      <c r="N165" s="78"/>
    </row>
    <row r="166" spans="1:14" s="76" customFormat="1" ht="15.75" customHeight="1" x14ac:dyDescent="0.25">
      <c r="A166" s="363" t="s">
        <v>446</v>
      </c>
      <c r="B166" s="359"/>
      <c r="C166" s="359"/>
      <c r="D166" s="359"/>
      <c r="E166" s="359"/>
      <c r="F166" s="359"/>
      <c r="G166" s="359"/>
      <c r="H166" s="359"/>
      <c r="I166" s="359"/>
      <c r="N166" s="78"/>
    </row>
    <row r="167" spans="1:14" s="76" customFormat="1" ht="15.75" customHeight="1" x14ac:dyDescent="0.25">
      <c r="A167" s="357" t="s">
        <v>448</v>
      </c>
      <c r="B167" s="359"/>
      <c r="C167" s="359"/>
      <c r="D167" s="359"/>
      <c r="E167" s="359"/>
      <c r="F167" s="359"/>
      <c r="G167" s="359"/>
      <c r="H167" s="359"/>
      <c r="I167" s="359"/>
      <c r="N167" s="78"/>
    </row>
    <row r="168" spans="1:14" s="76" customFormat="1" ht="15.75" customHeight="1" x14ac:dyDescent="0.25">
      <c r="A168" s="363" t="str">
        <f>'1461'!A168</f>
        <v xml:space="preserve">unweighted full-time equivalent students. </v>
      </c>
      <c r="B168" s="359"/>
      <c r="C168" s="359"/>
      <c r="D168" s="359"/>
      <c r="E168" s="359"/>
      <c r="F168" s="359"/>
      <c r="G168" s="359"/>
      <c r="H168" s="359"/>
      <c r="I168" s="359"/>
      <c r="N168" s="78"/>
    </row>
    <row r="169" spans="1:14" s="76" customFormat="1" ht="15.75" customHeight="1" x14ac:dyDescent="0.25">
      <c r="A169" s="357" t="s">
        <v>450</v>
      </c>
      <c r="B169" s="359"/>
      <c r="C169" s="359"/>
      <c r="D169" s="359"/>
      <c r="E169" s="359"/>
      <c r="F169" s="359"/>
      <c r="G169" s="359"/>
      <c r="H169" s="359"/>
      <c r="I169" s="359"/>
      <c r="N169" s="78"/>
    </row>
    <row r="170" spans="1:14" s="76" customFormat="1" ht="15.75" customHeight="1" x14ac:dyDescent="0.25">
      <c r="A170" s="363" t="s">
        <v>449</v>
      </c>
      <c r="B170" s="359"/>
      <c r="C170" s="359"/>
      <c r="D170" s="359"/>
      <c r="E170" s="359"/>
      <c r="F170" s="359"/>
      <c r="G170" s="359"/>
      <c r="H170" s="359"/>
      <c r="I170" s="359"/>
      <c r="N170" s="78"/>
    </row>
    <row r="171" spans="1:14" s="76" customFormat="1" ht="15.75" customHeight="1" x14ac:dyDescent="0.25">
      <c r="A171" s="357"/>
      <c r="B171" s="359"/>
      <c r="C171" s="359"/>
      <c r="D171" s="359"/>
      <c r="E171" s="359"/>
      <c r="F171" s="359"/>
      <c r="G171" s="359"/>
      <c r="H171" s="359"/>
      <c r="I171" s="359"/>
      <c r="N171" s="78"/>
    </row>
    <row r="172" spans="1:14" s="76" customFormat="1" ht="15.75" customHeight="1" x14ac:dyDescent="0.3">
      <c r="A172" s="370" t="str">
        <f>'1461'!A172</f>
        <v>Administrative fees:</v>
      </c>
      <c r="B172" s="359"/>
      <c r="C172" s="359"/>
      <c r="D172" s="359"/>
      <c r="E172" s="359"/>
      <c r="F172" s="359"/>
      <c r="G172" s="359"/>
      <c r="H172" s="359"/>
      <c r="I172" s="359"/>
      <c r="J172" s="3"/>
      <c r="K172" s="3"/>
      <c r="L172" s="3"/>
      <c r="M172" s="3"/>
      <c r="N172" s="78"/>
    </row>
    <row r="173" spans="1:14" s="76" customFormat="1" ht="15.75" customHeight="1" x14ac:dyDescent="0.3">
      <c r="A173" s="374" t="str">
        <f>'1461'!A173</f>
        <v xml:space="preserve">Administrative fees charged by the school district pursuant to s. 1002.33(20)(a), F.S., shall be calculated based upon 5% of available funds from the FEFP and categorical </v>
      </c>
      <c r="B173" s="362"/>
      <c r="C173" s="362"/>
      <c r="D173" s="362"/>
      <c r="E173" s="362"/>
      <c r="F173" s="362"/>
      <c r="G173" s="362"/>
      <c r="H173" s="362"/>
      <c r="I173" s="362"/>
      <c r="J173" s="3"/>
      <c r="K173" s="3"/>
      <c r="L173" s="3"/>
      <c r="M173" s="3"/>
      <c r="N173" s="78"/>
    </row>
    <row r="174" spans="1:14" s="76" customFormat="1" ht="15.75" customHeight="1" x14ac:dyDescent="0.3">
      <c r="A174" s="375" t="str">
        <f>'1461'!A174</f>
        <v>funding for which charter students may be eligible.  To calculate the administrative fee to be withheld for schools with more than 250 students, divide the school</v>
      </c>
      <c r="B174" s="369"/>
      <c r="C174" s="369"/>
      <c r="D174" s="369"/>
      <c r="E174" s="369"/>
      <c r="F174" s="369"/>
      <c r="G174" s="369"/>
      <c r="H174" s="369"/>
      <c r="I174" s="369"/>
      <c r="J174" s="3"/>
      <c r="K174" s="3"/>
      <c r="L174" s="3"/>
      <c r="M174" s="3"/>
      <c r="N174" s="78"/>
    </row>
    <row r="175" spans="1:14" s="76" customFormat="1" ht="15.75" customHeight="1" x14ac:dyDescent="0.3">
      <c r="A175" s="375" t="s">
        <v>451</v>
      </c>
      <c r="B175" s="369"/>
      <c r="C175" s="369"/>
      <c r="D175" s="369"/>
      <c r="E175" s="369"/>
      <c r="F175" s="369"/>
      <c r="G175" s="369"/>
      <c r="H175" s="369"/>
      <c r="I175" s="369"/>
      <c r="J175" s="3"/>
      <c r="K175" s="3"/>
      <c r="L175" s="3"/>
      <c r="M175" s="3"/>
      <c r="N175" s="78"/>
    </row>
    <row r="176" spans="1:14" s="76" customFormat="1" ht="15.75" customHeight="1" x14ac:dyDescent="0.25">
      <c r="A176" s="375" t="s">
        <v>452</v>
      </c>
      <c r="B176" s="369"/>
      <c r="C176" s="369"/>
      <c r="D176" s="369"/>
      <c r="E176" s="369"/>
      <c r="F176" s="369"/>
      <c r="G176" s="369"/>
      <c r="H176" s="369"/>
      <c r="I176" s="369"/>
      <c r="N176" s="78"/>
    </row>
    <row r="177" spans="1:21" s="76" customFormat="1" ht="15.75" customHeight="1" x14ac:dyDescent="0.25">
      <c r="A177" s="374"/>
      <c r="B177" s="369"/>
      <c r="C177" s="369"/>
      <c r="D177" s="369"/>
      <c r="E177" s="369"/>
      <c r="F177" s="369"/>
      <c r="G177" s="369"/>
      <c r="H177" s="369"/>
      <c r="I177" s="369"/>
      <c r="N177" s="78"/>
    </row>
    <row r="178" spans="1:21" ht="15.75" customHeight="1" x14ac:dyDescent="0.3">
      <c r="A178" s="374" t="str">
        <f>'1461'!A178</f>
        <v xml:space="preserve">For high performing charter schools, administrative fees charged by the school district shall be calculated based upon 2% of available funds from the FEFP and categorical </v>
      </c>
      <c r="B178" s="362"/>
      <c r="C178" s="362"/>
      <c r="D178" s="362"/>
      <c r="E178" s="362"/>
      <c r="F178" s="362"/>
      <c r="G178" s="362"/>
      <c r="H178" s="362"/>
      <c r="I178" s="362"/>
      <c r="J178" s="76"/>
      <c r="K178" s="76"/>
      <c r="L178" s="76"/>
      <c r="M178" s="76"/>
      <c r="N178" s="78"/>
      <c r="O178" s="76"/>
      <c r="P178" s="76"/>
      <c r="Q178" s="76"/>
      <c r="R178" s="76"/>
      <c r="S178" s="76"/>
      <c r="T178" s="76"/>
      <c r="U178" s="76"/>
    </row>
    <row r="179" spans="1:21" ht="15.75" customHeight="1" x14ac:dyDescent="0.3">
      <c r="A179" s="375" t="str">
        <f>'1461'!A179</f>
        <v>funding for which charter students may be eligible.  To calculate the administrative fee to be withheld for schools with more than 250 students, divide the school</v>
      </c>
      <c r="B179" s="362"/>
      <c r="C179" s="362"/>
      <c r="D179" s="362"/>
      <c r="E179" s="362"/>
      <c r="F179" s="362"/>
      <c r="G179" s="362"/>
      <c r="H179" s="362"/>
      <c r="I179" s="362"/>
      <c r="J179" s="76"/>
      <c r="K179" s="76"/>
      <c r="L179" s="76"/>
      <c r="M179" s="76"/>
      <c r="N179" s="74"/>
    </row>
    <row r="180" spans="1:21" s="76" customFormat="1" ht="15.75" customHeight="1" x14ac:dyDescent="0.3">
      <c r="A180" s="375" t="str">
        <f>'1461'!A180</f>
        <v xml:space="preserve">population into 250. Multiply that fraction times the funds available, then times 2%.  </v>
      </c>
      <c r="B180" s="362"/>
      <c r="C180" s="362"/>
      <c r="D180" s="362"/>
      <c r="E180" s="362"/>
      <c r="F180" s="362"/>
      <c r="G180" s="362"/>
      <c r="H180" s="362"/>
      <c r="I180" s="362"/>
      <c r="N180" s="74"/>
      <c r="O180" s="3"/>
      <c r="P180" s="3"/>
      <c r="Q180" s="3"/>
      <c r="R180" s="3"/>
      <c r="S180" s="3"/>
      <c r="T180" s="3"/>
      <c r="U180" s="3"/>
    </row>
    <row r="181" spans="1:21" x14ac:dyDescent="0.3">
      <c r="A181" s="357"/>
      <c r="B181" s="362"/>
      <c r="C181" s="362"/>
      <c r="D181" s="362"/>
      <c r="E181" s="362"/>
      <c r="F181" s="362"/>
      <c r="G181" s="362"/>
      <c r="H181" s="362"/>
      <c r="I181" s="362"/>
      <c r="N181" s="78"/>
      <c r="O181" s="76"/>
      <c r="P181" s="76"/>
      <c r="Q181" s="76"/>
      <c r="R181" s="76"/>
      <c r="S181" s="76"/>
      <c r="T181" s="76"/>
      <c r="U181" s="76"/>
    </row>
    <row r="182" spans="1:21" x14ac:dyDescent="0.3">
      <c r="A182" s="370" t="str">
        <f>'1461'!A182</f>
        <v>Other:</v>
      </c>
      <c r="B182" s="368"/>
      <c r="C182" s="368"/>
      <c r="D182" s="368"/>
      <c r="E182" s="368"/>
      <c r="F182" s="368"/>
      <c r="G182" s="368"/>
      <c r="H182" s="368"/>
      <c r="I182" s="368"/>
      <c r="N182" s="78"/>
      <c r="O182" s="76"/>
      <c r="P182" s="76"/>
      <c r="Q182" s="76"/>
      <c r="R182" s="76"/>
      <c r="S182" s="76"/>
      <c r="T182" s="76"/>
      <c r="U182" s="76"/>
    </row>
    <row r="183" spans="1:21" x14ac:dyDescent="0.3">
      <c r="A183" s="374" t="str">
        <f>'1461'!A183</f>
        <v>FEFP and categorical funding are recalculated during the year to reflect the revised number of full-time equivalent students reported during the survey periods designated</v>
      </c>
      <c r="B183" s="362"/>
      <c r="C183" s="362"/>
      <c r="D183" s="362"/>
      <c r="E183" s="362"/>
      <c r="F183" s="362"/>
      <c r="G183" s="362"/>
      <c r="H183" s="362"/>
      <c r="I183" s="362"/>
      <c r="N183" s="78"/>
      <c r="O183" s="76"/>
      <c r="P183" s="76"/>
      <c r="Q183" s="76"/>
      <c r="R183" s="76"/>
      <c r="S183" s="76"/>
      <c r="T183" s="76"/>
      <c r="U183" s="76"/>
    </row>
    <row r="184" spans="1:21" x14ac:dyDescent="0.3">
      <c r="A184" s="375" t="str">
        <f>'1461'!A184</f>
        <v>by the Commissioner of Education.</v>
      </c>
      <c r="B184" s="369"/>
      <c r="C184" s="369"/>
      <c r="D184" s="369"/>
      <c r="E184" s="369"/>
      <c r="F184" s="369"/>
      <c r="G184" s="369"/>
      <c r="H184" s="369"/>
      <c r="I184" s="369"/>
      <c r="N184" s="74"/>
    </row>
    <row r="185" spans="1:21" x14ac:dyDescent="0.3">
      <c r="A185" s="374" t="str">
        <f>'1461'!A185</f>
        <v>Revenues flow to districts from state sources and from county tax collectors on various distribution schedules.</v>
      </c>
      <c r="B185" s="362"/>
      <c r="C185" s="362"/>
      <c r="D185" s="362"/>
      <c r="E185" s="362"/>
      <c r="F185" s="362"/>
      <c r="G185" s="362"/>
      <c r="H185" s="362"/>
      <c r="I185" s="362"/>
      <c r="N185" s="74"/>
    </row>
    <row r="186" spans="1:21" x14ac:dyDescent="0.3">
      <c r="A186" s="292"/>
      <c r="B186" s="292"/>
      <c r="C186" s="292"/>
      <c r="D186" s="292"/>
      <c r="E186" s="292"/>
      <c r="F186" s="292"/>
      <c r="G186" s="292"/>
      <c r="H186" s="292"/>
      <c r="I186" s="292"/>
      <c r="N186" s="74"/>
    </row>
    <row r="187" spans="1:21" x14ac:dyDescent="0.3">
      <c r="A187" s="74"/>
      <c r="N187" s="74"/>
    </row>
    <row r="188" spans="1:21" x14ac:dyDescent="0.3">
      <c r="A188" s="74"/>
      <c r="N188" s="74"/>
    </row>
    <row r="189" spans="1:21" x14ac:dyDescent="0.3">
      <c r="A189" s="74"/>
      <c r="N189" s="74"/>
    </row>
    <row r="190" spans="1:21" x14ac:dyDescent="0.3">
      <c r="A190" s="74"/>
      <c r="B190" s="135"/>
      <c r="C190" s="135"/>
      <c r="D190" s="135"/>
      <c r="E190" s="135"/>
      <c r="F190" s="135"/>
      <c r="G190" s="135"/>
      <c r="H190" s="135"/>
      <c r="I190" s="135"/>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58">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B1:I1"/>
    <mergeCell ref="O1:U1"/>
    <mergeCell ref="N2:U2"/>
    <mergeCell ref="N3:U3"/>
    <mergeCell ref="A4:B4"/>
    <mergeCell ref="C4:E4"/>
    <mergeCell ref="N4:O4"/>
    <mergeCell ref="P4:Q4"/>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F20:G20"/>
    <mergeCell ref="N20:O20"/>
    <mergeCell ref="P20:Q20"/>
    <mergeCell ref="R20:S20"/>
    <mergeCell ref="A21:B21"/>
    <mergeCell ref="F21:G21"/>
    <mergeCell ref="N21:O21"/>
    <mergeCell ref="P21:Q21"/>
    <mergeCell ref="R21:S21"/>
    <mergeCell ref="A20:B20"/>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R120:S120"/>
    <mergeCell ref="A113:B113"/>
    <mergeCell ref="N113:O113"/>
    <mergeCell ref="P113:R113"/>
    <mergeCell ref="A114:B114"/>
    <mergeCell ref="N114:O114"/>
    <mergeCell ref="P114:R114"/>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FFCCCC"/>
  </sheetPr>
  <dimension ref="A1:V221"/>
  <sheetViews>
    <sheetView topLeftCell="A105" workbookViewId="0">
      <selection activeCell="I139" sqref="I139"/>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111</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26.72</v>
      </c>
      <c r="D19" s="143">
        <v>25.68</v>
      </c>
      <c r="E19" s="116">
        <f t="shared" si="1"/>
        <v>52.4</v>
      </c>
      <c r="F19" s="859">
        <f>'1461'!F19:G19</f>
        <v>0.97799999999999998</v>
      </c>
      <c r="G19" s="859"/>
      <c r="H19" s="80">
        <f t="shared" si="2"/>
        <v>51.247199999999999</v>
      </c>
      <c r="I19" s="101">
        <f>ROUND(ROUND(ROUND(H19*$C$8,4)*($H$8),2)*(MAX($H$9,1)),2)</f>
        <v>284344.27</v>
      </c>
      <c r="J19" s="65" t="str">
        <f>IF(ROUND(E19,2)=ROUND(SUM(E63:E65),2)," ","CHECK 4-8 LINES BELOW")</f>
        <v xml:space="preserve"> </v>
      </c>
      <c r="N19" s="818" t="s">
        <v>25</v>
      </c>
      <c r="O19" s="818"/>
      <c r="P19" s="860">
        <f t="shared" si="0"/>
        <v>52.4</v>
      </c>
      <c r="Q19" s="860"/>
      <c r="R19" s="864">
        <v>1</v>
      </c>
      <c r="S19" s="864"/>
      <c r="T19" s="95">
        <f t="shared" si="4"/>
        <v>52.4</v>
      </c>
      <c r="U19" s="522">
        <f t="shared" si="5"/>
        <v>290740.56</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10.119999999999999</v>
      </c>
      <c r="D22" s="143">
        <v>10.18</v>
      </c>
      <c r="E22" s="116">
        <f t="shared" si="1"/>
        <v>20.299999999999997</v>
      </c>
      <c r="F22" s="859">
        <f>'1461'!F22:G22</f>
        <v>3.6970000000000001</v>
      </c>
      <c r="G22" s="859"/>
      <c r="H22" s="80">
        <f t="shared" si="2"/>
        <v>75.049099999999996</v>
      </c>
      <c r="I22" s="101">
        <f t="shared" si="3"/>
        <v>416408.73</v>
      </c>
      <c r="N22" s="818" t="s">
        <v>81</v>
      </c>
      <c r="O22" s="818"/>
      <c r="P22" s="860">
        <f t="shared" si="0"/>
        <v>20.299999999999997</v>
      </c>
      <c r="Q22" s="860"/>
      <c r="R22" s="864">
        <v>1</v>
      </c>
      <c r="S22" s="864"/>
      <c r="T22" s="95">
        <f t="shared" si="4"/>
        <v>20.3</v>
      </c>
      <c r="U22" s="523">
        <f t="shared" si="5"/>
        <v>112634.22</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36.839999999999996</v>
      </c>
      <c r="D30" s="94">
        <f>SUM(D14:D29)</f>
        <v>35.86</v>
      </c>
      <c r="E30" s="94">
        <f>SUM(E14:E29)</f>
        <v>72.699999999999989</v>
      </c>
      <c r="F30" s="795"/>
      <c r="G30" s="795"/>
      <c r="H30" s="99">
        <f>SUM(H14:H29)</f>
        <v>126.2963</v>
      </c>
      <c r="I30" s="94">
        <f>SUM(I14:I29)</f>
        <v>700753</v>
      </c>
      <c r="N30" s="862" t="s">
        <v>5</v>
      </c>
      <c r="O30" s="862"/>
      <c r="P30" s="863">
        <f>SUM(P14:P29)</f>
        <v>72.699999999999989</v>
      </c>
      <c r="Q30" s="863"/>
      <c r="R30" s="852"/>
      <c r="S30" s="852"/>
      <c r="T30" s="100">
        <f>SUM(T14:T29)</f>
        <v>72.7</v>
      </c>
      <c r="U30" s="523">
        <f>SUM(U14:U29)</f>
        <v>403374.78</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126.2963</v>
      </c>
      <c r="F46" s="34"/>
      <c r="G46" s="106"/>
      <c r="H46" s="107" t="s">
        <v>98</v>
      </c>
      <c r="I46" s="94">
        <f>SUM(I44,I30)</f>
        <v>700753</v>
      </c>
      <c r="N46" s="847" t="s">
        <v>44</v>
      </c>
      <c r="O46" s="847"/>
      <c r="P46" s="847"/>
      <c r="Q46" s="847"/>
      <c r="R46" s="35">
        <f>R44+T30</f>
        <v>72.7</v>
      </c>
      <c r="S46" s="852" t="s">
        <v>42</v>
      </c>
      <c r="T46" s="852"/>
      <c r="U46" s="108">
        <f>SUM(U44,U30)</f>
        <v>403374.78</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541444.92999999993</v>
      </c>
      <c r="G51" s="109" t="s">
        <v>6</v>
      </c>
      <c r="H51" s="452">
        <v>5.5899999999999998E-2</v>
      </c>
      <c r="I51" s="101">
        <f>ROUND(F51*H51,2)</f>
        <v>30266.77</v>
      </c>
      <c r="N51" s="457"/>
      <c r="O51" s="458" t="s">
        <v>576</v>
      </c>
      <c r="P51" s="28"/>
      <c r="Q51" s="44" t="s">
        <v>461</v>
      </c>
      <c r="R51" s="459">
        <f>U30</f>
        <v>403374.78</v>
      </c>
      <c r="S51" s="460" t="s">
        <v>6</v>
      </c>
      <c r="T51" s="461">
        <v>5.5899999999999998E-2</v>
      </c>
      <c r="U51" s="453">
        <f>I51</f>
        <v>30266.77</v>
      </c>
    </row>
    <row r="52" spans="1:22" x14ac:dyDescent="0.3">
      <c r="A52" s="26"/>
      <c r="B52" s="617" t="s">
        <v>580</v>
      </c>
      <c r="C52" s="26"/>
      <c r="D52" s="26"/>
      <c r="E52" s="43" t="s">
        <v>461</v>
      </c>
      <c r="F52" s="451">
        <v>541444.92999999993</v>
      </c>
      <c r="G52" s="109" t="s">
        <v>6</v>
      </c>
      <c r="H52" s="452">
        <v>1.0699999999999999E-2</v>
      </c>
      <c r="I52" s="101">
        <f>ROUND(F52*H52,2)</f>
        <v>5793.46</v>
      </c>
      <c r="N52" s="28"/>
      <c r="O52" s="618" t="s">
        <v>579</v>
      </c>
      <c r="P52" s="28"/>
      <c r="Q52" s="44" t="s">
        <v>461</v>
      </c>
      <c r="R52" s="459">
        <f>U30</f>
        <v>403374.78</v>
      </c>
      <c r="S52" s="460" t="s">
        <v>6</v>
      </c>
      <c r="T52" s="461">
        <v>1.0699999999999999E-2</v>
      </c>
      <c r="U52" s="462">
        <f>I52</f>
        <v>5793.46</v>
      </c>
    </row>
    <row r="53" spans="1:22" x14ac:dyDescent="0.3">
      <c r="A53" s="26"/>
      <c r="B53" s="81" t="s">
        <v>462</v>
      </c>
      <c r="C53" s="26"/>
      <c r="D53" s="26"/>
      <c r="E53" s="43"/>
      <c r="F53" s="451"/>
      <c r="G53" s="109"/>
      <c r="H53" s="452"/>
      <c r="I53" s="97">
        <f>SUM(I51:I52)</f>
        <v>36060.230000000003</v>
      </c>
      <c r="N53" s="28"/>
      <c r="O53" s="434" t="s">
        <v>462</v>
      </c>
      <c r="P53" s="28"/>
      <c r="Q53" s="44"/>
      <c r="R53" s="459"/>
      <c r="S53" s="460"/>
      <c r="T53" s="461"/>
      <c r="U53" s="453">
        <f>SUM(U51:U52)</f>
        <v>36060.230000000003</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2" si="10">IF(D$72=0,C57*2,C57+D57)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IF(D$66=0,C63*2,C63+D63)</f>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0.5</v>
      </c>
      <c r="D64" s="143">
        <v>0.48</v>
      </c>
      <c r="E64" s="116">
        <f>IF(D$66=0,C64*2,C64+D64)</f>
        <v>0.98</v>
      </c>
      <c r="F64" s="494" t="s">
        <v>14</v>
      </c>
      <c r="G64" s="493">
        <v>252</v>
      </c>
      <c r="H64" s="507">
        <f>'1461'!H64</f>
        <v>3168</v>
      </c>
      <c r="I64" s="101">
        <f t="shared" si="11"/>
        <v>3104.64</v>
      </c>
      <c r="N64" s="850"/>
      <c r="O64" s="850"/>
      <c r="P64" s="844"/>
      <c r="Q64" s="844"/>
      <c r="R64" s="40" t="s">
        <v>14</v>
      </c>
      <c r="S64" s="499">
        <v>252</v>
      </c>
      <c r="T64" s="510">
        <f t="shared" si="12"/>
        <v>3168</v>
      </c>
      <c r="U64" s="524">
        <f t="shared" si="13"/>
        <v>0</v>
      </c>
      <c r="V64" s="474"/>
    </row>
    <row r="65" spans="1:22" ht="16.2" thickBot="1" x14ac:dyDescent="0.35">
      <c r="A65" s="792"/>
      <c r="B65" s="792"/>
      <c r="C65" s="143">
        <v>26.22</v>
      </c>
      <c r="D65" s="143">
        <v>25.2</v>
      </c>
      <c r="E65" s="116">
        <f>IF(D$66=0,C65*2,C65+D65)</f>
        <v>51.42</v>
      </c>
      <c r="F65" s="494" t="s">
        <v>14</v>
      </c>
      <c r="G65" s="493">
        <v>253</v>
      </c>
      <c r="H65" s="507">
        <f>'1461'!H65</f>
        <v>6685</v>
      </c>
      <c r="I65" s="101">
        <f t="shared" si="11"/>
        <v>343742.7</v>
      </c>
      <c r="N65" s="850"/>
      <c r="O65" s="850"/>
      <c r="P65" s="845"/>
      <c r="Q65" s="845"/>
      <c r="R65" s="40" t="s">
        <v>14</v>
      </c>
      <c r="S65" s="499">
        <v>253</v>
      </c>
      <c r="T65" s="510">
        <f t="shared" si="12"/>
        <v>6685</v>
      </c>
      <c r="U65" s="525">
        <f t="shared" si="13"/>
        <v>0</v>
      </c>
      <c r="V65" s="474"/>
    </row>
    <row r="66" spans="1:22" ht="16.2" thickBot="1" x14ac:dyDescent="0.35">
      <c r="A66" s="490"/>
      <c r="C66" s="97">
        <f>SUM(C57:C65)</f>
        <v>26.72</v>
      </c>
      <c r="D66" s="97">
        <f>SUM(D57:D65)</f>
        <v>25.68</v>
      </c>
      <c r="E66" s="97">
        <f>SUM(E57:E65)</f>
        <v>52.4</v>
      </c>
      <c r="F66" s="779" t="s">
        <v>507</v>
      </c>
      <c r="G66" s="779"/>
      <c r="H66" s="779"/>
      <c r="I66" s="97">
        <f>SUM(I57:I65)</f>
        <v>346847.34</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72.699999999999989</v>
      </c>
      <c r="D69" s="789" t="s">
        <v>474</v>
      </c>
      <c r="E69" s="789"/>
      <c r="F69" s="789"/>
      <c r="G69" s="789"/>
      <c r="H69" s="299">
        <f>'1461'!H69</f>
        <v>210166.87</v>
      </c>
      <c r="I69" s="113"/>
      <c r="N69" s="817" t="s">
        <v>467</v>
      </c>
      <c r="O69" s="818"/>
      <c r="P69" s="41">
        <f>P30</f>
        <v>72.699999999999989</v>
      </c>
      <c r="Q69" s="842" t="s">
        <v>469</v>
      </c>
      <c r="R69" s="843"/>
      <c r="S69" s="843"/>
      <c r="T69" s="831">
        <f>H69</f>
        <v>210166.87</v>
      </c>
      <c r="U69" s="831"/>
    </row>
    <row r="70" spans="1:22" x14ac:dyDescent="0.3">
      <c r="B70" s="69"/>
      <c r="G70" s="42" t="s">
        <v>12</v>
      </c>
      <c r="H70" s="114">
        <f>ROUND(C69/H69,6)</f>
        <v>3.4600000000000001E-4</v>
      </c>
      <c r="I70" s="115"/>
      <c r="N70" s="818"/>
      <c r="O70" s="818"/>
      <c r="P70" s="818"/>
      <c r="Q70" s="818"/>
      <c r="R70" s="818"/>
      <c r="S70" s="818"/>
      <c r="T70" s="836">
        <f>ROUND(P69/T69,6)</f>
        <v>3.4600000000000001E-4</v>
      </c>
      <c r="U70" s="836"/>
    </row>
    <row r="71" spans="1:22" x14ac:dyDescent="0.3">
      <c r="A71" s="492" t="s">
        <v>510</v>
      </c>
      <c r="N71" s="503" t="s">
        <v>518</v>
      </c>
      <c r="O71" s="51"/>
      <c r="P71" s="51"/>
      <c r="Q71" s="51"/>
      <c r="R71" s="51"/>
      <c r="S71" s="51"/>
      <c r="T71" s="51"/>
      <c r="U71" s="51"/>
    </row>
    <row r="72" spans="1:22" x14ac:dyDescent="0.3">
      <c r="A72" s="775" t="s">
        <v>464</v>
      </c>
      <c r="B72" s="776"/>
      <c r="C72" s="112">
        <f>H30</f>
        <v>126.2963</v>
      </c>
      <c r="D72" s="789" t="s">
        <v>475</v>
      </c>
      <c r="E72" s="789"/>
      <c r="F72" s="789"/>
      <c r="G72" s="789"/>
      <c r="H72" s="300">
        <f>'1461'!H72</f>
        <v>237198.6</v>
      </c>
      <c r="I72" s="116"/>
      <c r="N72" s="817" t="s">
        <v>468</v>
      </c>
      <c r="O72" s="818"/>
      <c r="P72" s="41">
        <f>T30</f>
        <v>72.7</v>
      </c>
      <c r="Q72" s="842" t="s">
        <v>470</v>
      </c>
      <c r="R72" s="843"/>
      <c r="S72" s="843"/>
      <c r="T72" s="831">
        <f>H72</f>
        <v>237198.6</v>
      </c>
      <c r="U72" s="831"/>
    </row>
    <row r="73" spans="1:22" x14ac:dyDescent="0.3">
      <c r="G73" s="42" t="s">
        <v>12</v>
      </c>
      <c r="H73" s="114">
        <f>ROUND(C72/H72,6)</f>
        <v>5.3200000000000003E-4</v>
      </c>
      <c r="I73" s="114"/>
      <c r="N73" s="818"/>
      <c r="O73" s="818"/>
      <c r="P73" s="818"/>
      <c r="Q73" s="818"/>
      <c r="R73" s="818"/>
      <c r="S73" s="818"/>
      <c r="T73" s="836">
        <f>ROUND(P72/T72,6)</f>
        <v>3.0600000000000001E-4</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72.699999999999989</v>
      </c>
      <c r="D75" s="788" t="s">
        <v>476</v>
      </c>
      <c r="E75" s="788"/>
      <c r="F75" s="788"/>
      <c r="G75" s="788"/>
      <c r="H75" s="299">
        <f>'1461'!H75</f>
        <v>185588.37</v>
      </c>
      <c r="I75" s="113"/>
      <c r="N75" s="817" t="s">
        <v>466</v>
      </c>
      <c r="O75" s="818"/>
      <c r="P75" s="41">
        <f>P30</f>
        <v>72.699999999999989</v>
      </c>
      <c r="Q75" s="838" t="s">
        <v>471</v>
      </c>
      <c r="R75" s="839"/>
      <c r="S75" s="839"/>
      <c r="T75" s="831">
        <f>H75</f>
        <v>185588.37</v>
      </c>
      <c r="U75" s="831"/>
    </row>
    <row r="76" spans="1:22" x14ac:dyDescent="0.3">
      <c r="B76" s="69"/>
      <c r="G76" s="42" t="s">
        <v>12</v>
      </c>
      <c r="H76" s="114">
        <f>ROUND(C75/H75,6)</f>
        <v>3.9199999999999999E-4</v>
      </c>
      <c r="I76" s="115"/>
      <c r="N76" s="818"/>
      <c r="O76" s="818"/>
      <c r="P76" s="818"/>
      <c r="Q76" s="818"/>
      <c r="R76" s="818"/>
      <c r="S76" s="818"/>
      <c r="T76" s="836">
        <f>ROUND(P75/T75,6)</f>
        <v>3.9199999999999999E-4</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72.699999999999989</v>
      </c>
      <c r="D78" s="784" t="s">
        <v>477</v>
      </c>
      <c r="E78" s="784"/>
      <c r="F78" s="784"/>
      <c r="G78" s="784"/>
      <c r="H78" s="299">
        <f>'1461'!H78</f>
        <v>209834.86</v>
      </c>
      <c r="I78" s="113"/>
      <c r="N78" s="817" t="s">
        <v>466</v>
      </c>
      <c r="O78" s="818"/>
      <c r="P78" s="41">
        <f>P30</f>
        <v>72.699999999999989</v>
      </c>
      <c r="Q78" s="840" t="s">
        <v>472</v>
      </c>
      <c r="R78" s="841"/>
      <c r="S78" s="841"/>
      <c r="T78" s="831">
        <f>H78</f>
        <v>209834.86</v>
      </c>
      <c r="U78" s="831"/>
    </row>
    <row r="79" spans="1:22" x14ac:dyDescent="0.3">
      <c r="B79" s="69"/>
      <c r="G79" s="42" t="s">
        <v>12</v>
      </c>
      <c r="H79" s="114">
        <f>ROUND(C78/H78,6)</f>
        <v>3.4600000000000001E-4</v>
      </c>
      <c r="I79" s="115"/>
      <c r="N79" s="818"/>
      <c r="O79" s="818"/>
      <c r="P79" s="818"/>
      <c r="Q79" s="818"/>
      <c r="R79" s="818"/>
      <c r="S79" s="818"/>
      <c r="T79" s="836">
        <f>ROUND(P78/T78,6)</f>
        <v>3.4600000000000001E-4</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72.699999999999989</v>
      </c>
      <c r="D81" s="788" t="s">
        <v>478</v>
      </c>
      <c r="E81" s="788"/>
      <c r="F81" s="788"/>
      <c r="G81" s="788"/>
      <c r="H81" s="299">
        <f>'1461'!H81</f>
        <v>185256.36</v>
      </c>
      <c r="I81" s="113"/>
      <c r="N81" s="817" t="s">
        <v>479</v>
      </c>
      <c r="O81" s="818"/>
      <c r="P81" s="41">
        <f>P30</f>
        <v>72.699999999999989</v>
      </c>
      <c r="Q81" s="838" t="s">
        <v>480</v>
      </c>
      <c r="R81" s="839"/>
      <c r="S81" s="839"/>
      <c r="T81" s="831">
        <f>H81</f>
        <v>185256.36</v>
      </c>
      <c r="U81" s="831"/>
    </row>
    <row r="82" spans="1:21" x14ac:dyDescent="0.3">
      <c r="B82" s="69"/>
      <c r="G82" s="42" t="s">
        <v>12</v>
      </c>
      <c r="H82" s="114">
        <f>ROUND(C81/H81,6)</f>
        <v>3.9199999999999999E-4</v>
      </c>
      <c r="I82" s="115"/>
      <c r="N82" s="818"/>
      <c r="O82" s="818"/>
      <c r="P82" s="818"/>
      <c r="Q82" s="818"/>
      <c r="R82" s="818"/>
      <c r="S82" s="818"/>
      <c r="T82" s="836">
        <f>ROUND(P81/T81,6)</f>
        <v>3.9199999999999999E-4</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3.4600000000000001E-4</v>
      </c>
      <c r="I85" s="101">
        <f>ROUND(F85*H85,2)</f>
        <v>15968.27</v>
      </c>
      <c r="N85" s="503" t="s">
        <v>514</v>
      </c>
      <c r="O85" s="51"/>
      <c r="P85" s="51"/>
      <c r="Q85" s="44"/>
      <c r="R85" s="469">
        <f>F85</f>
        <v>46151079</v>
      </c>
      <c r="S85" s="38" t="s">
        <v>6</v>
      </c>
      <c r="T85" s="471">
        <f>T79</f>
        <v>3.4600000000000001E-4</v>
      </c>
      <c r="U85" s="523">
        <f>ROUND(R85*T85,2)</f>
        <v>15968.27</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3.4600000000000001E-4</v>
      </c>
      <c r="I88" s="101">
        <f>ROUND(F88*H88,2)</f>
        <v>0</v>
      </c>
      <c r="N88" s="837" t="s">
        <v>99</v>
      </c>
      <c r="O88" s="818"/>
      <c r="P88" s="818"/>
      <c r="Q88" s="44"/>
      <c r="R88" s="469">
        <f>F88</f>
        <v>0</v>
      </c>
      <c r="S88" s="38" t="s">
        <v>6</v>
      </c>
      <c r="T88" s="471">
        <f>T70</f>
        <v>3.4600000000000001E-4</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3.9199999999999999E-4</v>
      </c>
      <c r="I90" s="101">
        <f>ROUND(F90*H90,2)</f>
        <v>7484.98</v>
      </c>
      <c r="N90" s="503" t="s">
        <v>515</v>
      </c>
      <c r="O90" s="51"/>
      <c r="P90" s="51"/>
      <c r="Q90" s="44"/>
      <c r="R90" s="469">
        <f>F90</f>
        <v>19094340</v>
      </c>
      <c r="S90" s="38" t="s">
        <v>6</v>
      </c>
      <c r="T90" s="471">
        <f>T82</f>
        <v>3.9199999999999999E-4</v>
      </c>
      <c r="U90" s="523">
        <f>ROUND(R90*T90,2)</f>
        <v>7484.98</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3.9199999999999999E-4</v>
      </c>
      <c r="I92" s="101">
        <f t="shared" ref="I92:I96" si="14">ROUND(F92*H92,2)</f>
        <v>4493.08</v>
      </c>
      <c r="N92" s="503" t="s">
        <v>516</v>
      </c>
      <c r="O92" s="51"/>
      <c r="P92" s="51"/>
      <c r="Q92" s="44"/>
      <c r="R92" s="469">
        <f t="shared" ref="R92:R96" si="15">F92</f>
        <v>11461928</v>
      </c>
      <c r="S92" s="38" t="s">
        <v>6</v>
      </c>
      <c r="T92" s="471">
        <f>T76</f>
        <v>3.9199999999999999E-4</v>
      </c>
      <c r="U92" s="523">
        <f>ROUND(R92*T92,2)</f>
        <v>4493.08</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5.3200000000000003E-4</v>
      </c>
      <c r="I94" s="101">
        <f t="shared" si="14"/>
        <v>136062.63</v>
      </c>
      <c r="N94" s="818" t="s">
        <v>482</v>
      </c>
      <c r="O94" s="818"/>
      <c r="P94" s="818"/>
      <c r="Q94" s="44"/>
      <c r="R94" s="469">
        <f t="shared" si="15"/>
        <v>255756816</v>
      </c>
      <c r="S94" s="38" t="s">
        <v>6</v>
      </c>
      <c r="T94" s="471">
        <f>T73</f>
        <v>3.0600000000000001E-4</v>
      </c>
      <c r="U94" s="523">
        <f>ROUND(R94*T94,2)</f>
        <v>78261.59</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5.3200000000000003E-4</v>
      </c>
      <c r="I96" s="101">
        <f t="shared" si="14"/>
        <v>-8887.25</v>
      </c>
      <c r="N96" s="817" t="s">
        <v>483</v>
      </c>
      <c r="O96" s="818"/>
      <c r="P96" s="818"/>
      <c r="Q96" s="44"/>
      <c r="R96" s="469">
        <f t="shared" si="15"/>
        <v>-16705366</v>
      </c>
      <c r="S96" s="38" t="s">
        <v>6</v>
      </c>
      <c r="T96" s="471">
        <f>T73</f>
        <v>3.0600000000000001E-4</v>
      </c>
      <c r="U96" s="523">
        <f>ROUND(R96*T96,2)</f>
        <v>-5111.84</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3.4600000000000001E-4</v>
      </c>
      <c r="I98" s="101">
        <f t="shared" ref="I98" si="16">ROUND(F98*H98,2)</f>
        <v>70.540000000000006</v>
      </c>
      <c r="N98" s="585" t="s">
        <v>556</v>
      </c>
      <c r="O98" s="585"/>
      <c r="P98" s="585"/>
      <c r="Q98" s="44"/>
      <c r="R98" s="588">
        <f>F98</f>
        <v>203862</v>
      </c>
      <c r="S98" s="586" t="s">
        <v>6</v>
      </c>
      <c r="T98" s="471">
        <f>T70</f>
        <v>3.4600000000000001E-4</v>
      </c>
      <c r="U98" s="523">
        <f>ROUND(R98*T98,2)</f>
        <v>70.540000000000006</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81"/>
      <c r="B100" s="69"/>
      <c r="C100" s="69"/>
      <c r="D100" s="69"/>
      <c r="E100" s="43"/>
      <c r="F100" s="117"/>
      <c r="G100" s="37"/>
      <c r="H100" s="472"/>
      <c r="I100" s="101"/>
      <c r="N100" s="434"/>
      <c r="O100" s="45"/>
      <c r="P100" s="45"/>
      <c r="Q100" s="44"/>
      <c r="R100" s="470"/>
      <c r="S100" s="38"/>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126.2963</v>
      </c>
      <c r="D106" s="774"/>
      <c r="E106" s="46">
        <f>H8</f>
        <v>1.0407999999999999</v>
      </c>
      <c r="F106" s="302">
        <f>'1461'!F106</f>
        <v>910.12</v>
      </c>
      <c r="G106" s="39" t="s">
        <v>12</v>
      </c>
      <c r="H106" s="94">
        <f>ROUND(C106*E106*F106,2)</f>
        <v>119634.54</v>
      </c>
      <c r="N106" s="53" t="s">
        <v>14</v>
      </c>
      <c r="O106" s="54">
        <f>T18+T19+T22+T25+T28+T29</f>
        <v>72.7</v>
      </c>
      <c r="P106" s="832">
        <f>T8</f>
        <v>1.0407999999999999</v>
      </c>
      <c r="Q106" s="832"/>
      <c r="R106" s="48">
        <f>F106</f>
        <v>910.12</v>
      </c>
      <c r="S106" s="40" t="s">
        <v>12</v>
      </c>
      <c r="T106" s="529">
        <f>ROUND(O106*P106*R106,2)</f>
        <v>68865.289999999994</v>
      </c>
      <c r="U106" s="51"/>
    </row>
    <row r="107" spans="1:21" ht="16.2" thickBot="1" x14ac:dyDescent="0.35">
      <c r="A107" s="55"/>
      <c r="B107" s="122" t="s">
        <v>102</v>
      </c>
      <c r="C107" s="787">
        <f>SUM(C104:C106)</f>
        <v>126.2963</v>
      </c>
      <c r="D107" s="787"/>
      <c r="E107" s="123"/>
      <c r="F107" s="123"/>
      <c r="G107" s="123"/>
      <c r="H107" s="124" t="s">
        <v>100</v>
      </c>
      <c r="I107" s="101">
        <f>IF(A1=75,0,H106+H105+H104)</f>
        <v>119634.54</v>
      </c>
      <c r="N107" s="56" t="s">
        <v>89</v>
      </c>
      <c r="O107" s="57">
        <f>SUM(O104:O106)</f>
        <v>72.7</v>
      </c>
      <c r="P107" s="827" t="s">
        <v>16</v>
      </c>
      <c r="Q107" s="828"/>
      <c r="R107" s="828"/>
      <c r="S107" s="828"/>
      <c r="T107" s="828"/>
      <c r="U107" s="523">
        <f>IF(N1=75,0,T106+T105+T104)</f>
        <v>68865.289999999994</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8"/>
      <c r="D110" s="8"/>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36</v>
      </c>
      <c r="D113" s="143">
        <v>34</v>
      </c>
      <c r="E113" s="116">
        <f>(C113+D113)/2</f>
        <v>35</v>
      </c>
      <c r="F113" s="126" t="s">
        <v>30</v>
      </c>
      <c r="G113" s="303">
        <f>'1461'!G113</f>
        <v>584</v>
      </c>
      <c r="I113" s="101">
        <f>ROUND(G113*E113,2)</f>
        <v>20440</v>
      </c>
      <c r="N113" s="826" t="s">
        <v>52</v>
      </c>
      <c r="O113" s="826"/>
      <c r="P113" s="825">
        <f>IF(H133=1,E113,0)</f>
        <v>35</v>
      </c>
      <c r="Q113" s="825"/>
      <c r="R113" s="825"/>
      <c r="S113" s="83" t="s">
        <v>30</v>
      </c>
      <c r="T113" s="58">
        <f>G113</f>
        <v>584</v>
      </c>
      <c r="U113" s="523">
        <f>ROUND(T113*P113,2)</f>
        <v>20440</v>
      </c>
    </row>
    <row r="114" spans="1:21" x14ac:dyDescent="0.3">
      <c r="A114" s="788" t="s">
        <v>444</v>
      </c>
      <c r="B114" s="809"/>
      <c r="C114" s="143">
        <v>0</v>
      </c>
      <c r="D114" s="143">
        <v>0</v>
      </c>
      <c r="E114" s="116">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1342867.1300000004</v>
      </c>
      <c r="N128" s="503"/>
      <c r="O128" s="502"/>
      <c r="P128" s="502"/>
      <c r="Q128" s="305"/>
      <c r="R128" s="305"/>
      <c r="S128" s="305"/>
      <c r="T128" s="305"/>
      <c r="U128" s="530">
        <f>SUM(U30,U85,U88,U90,U92,U94,U96,U107,U113,U114,U124,U126,U98)</f>
        <v>593846.69000000006</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1306806.9000000004</v>
      </c>
      <c r="N130" s="818" t="s">
        <v>494</v>
      </c>
      <c r="O130" s="818"/>
      <c r="P130" s="818"/>
      <c r="Q130" s="818"/>
      <c r="R130" s="818"/>
      <c r="S130" s="818"/>
      <c r="T130" s="818"/>
      <c r="U130" s="132">
        <f>U128-U53</f>
        <v>557786.46000000008</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557786.46000000008</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557786.46000000008</v>
      </c>
      <c r="I135" s="94">
        <f>ROUND(IF(E30=0,0,IF(E30&gt;250,-(((250/E30)*H135)*IF(G135="H",0.02,0.05)),IF(G135="H",-0.02*H135,-0.05*H135))),2)</f>
        <v>-27889.32</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1314977.8100000003</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Payments'!Q74</f>
        <v>-1346406.4300000002</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-31428.619999999879</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-31428.62</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57" t="str">
        <f>'1461'!A152</f>
        <v>(a) Additional FTE includes FTE earned through Advanced Placement, International Baccalaureate, Advanced International Certificate of Education, Industry Certified Career</v>
      </c>
      <c r="B152" s="358"/>
      <c r="C152" s="358"/>
      <c r="D152" s="358"/>
      <c r="E152" s="358"/>
      <c r="F152" s="358"/>
      <c r="G152" s="358"/>
      <c r="H152" s="358"/>
      <c r="I152" s="358"/>
      <c r="J152" s="77"/>
      <c r="K152" s="76"/>
      <c r="L152" s="76"/>
      <c r="M152" s="76"/>
      <c r="N152" s="73"/>
      <c r="O152" s="73"/>
      <c r="P152" s="73"/>
      <c r="Q152" s="73"/>
      <c r="R152" s="73"/>
      <c r="S152" s="73"/>
      <c r="T152" s="73"/>
      <c r="U152" s="73"/>
    </row>
    <row r="153" spans="1:21" ht="15.75" customHeight="1" x14ac:dyDescent="0.3">
      <c r="A153" s="363" t="s">
        <v>434</v>
      </c>
      <c r="B153" s="358"/>
      <c r="C153" s="358"/>
      <c r="D153" s="358"/>
      <c r="E153" s="358"/>
      <c r="F153" s="358"/>
      <c r="G153" s="358"/>
      <c r="H153" s="358"/>
      <c r="I153" s="358"/>
      <c r="J153" s="77"/>
      <c r="K153" s="76"/>
      <c r="L153" s="76"/>
      <c r="M153" s="76"/>
      <c r="N153" s="73"/>
      <c r="O153" s="73"/>
      <c r="P153" s="73"/>
      <c r="Q153" s="73"/>
      <c r="R153" s="73"/>
      <c r="S153" s="73"/>
      <c r="T153" s="73"/>
      <c r="U153" s="73"/>
    </row>
    <row r="154" spans="1:21" x14ac:dyDescent="0.3">
      <c r="A154" s="357" t="s">
        <v>435</v>
      </c>
      <c r="B154" s="359"/>
      <c r="C154" s="359"/>
      <c r="D154" s="359"/>
      <c r="E154" s="359"/>
      <c r="F154" s="359"/>
      <c r="G154" s="359"/>
      <c r="H154" s="359"/>
      <c r="I154" s="359"/>
      <c r="J154" s="76"/>
      <c r="K154" s="76"/>
      <c r="L154" s="76"/>
      <c r="M154" s="76"/>
      <c r="N154" s="73"/>
      <c r="O154" s="73"/>
      <c r="P154" s="73"/>
      <c r="Q154" s="73"/>
      <c r="R154" s="73"/>
      <c r="S154" s="73"/>
      <c r="T154" s="73"/>
      <c r="U154" s="73"/>
    </row>
    <row r="155" spans="1:21" s="76" customFormat="1" x14ac:dyDescent="0.3">
      <c r="A155" s="357" t="s">
        <v>436</v>
      </c>
      <c r="B155" s="359"/>
      <c r="C155" s="359"/>
      <c r="D155" s="359"/>
      <c r="E155" s="359"/>
      <c r="F155" s="359"/>
      <c r="G155" s="359"/>
      <c r="H155" s="359"/>
      <c r="I155" s="359"/>
      <c r="N155" s="816"/>
      <c r="O155" s="816"/>
      <c r="P155" s="816"/>
      <c r="Q155" s="816"/>
      <c r="R155" s="816"/>
      <c r="S155" s="816"/>
      <c r="T155" s="816"/>
      <c r="U155" s="816"/>
    </row>
    <row r="156" spans="1:21" s="76" customFormat="1" x14ac:dyDescent="0.3">
      <c r="A156" s="357" t="s">
        <v>437</v>
      </c>
      <c r="B156" s="359"/>
      <c r="C156" s="359"/>
      <c r="D156" s="359"/>
      <c r="E156" s="359"/>
      <c r="F156" s="359"/>
      <c r="G156" s="359"/>
      <c r="H156" s="359"/>
      <c r="I156" s="359"/>
      <c r="N156" s="73"/>
      <c r="O156" s="73"/>
      <c r="P156" s="73"/>
      <c r="Q156" s="73"/>
      <c r="R156" s="73"/>
      <c r="S156" s="73"/>
      <c r="T156" s="73"/>
      <c r="U156" s="73"/>
    </row>
    <row r="157" spans="1:21" s="76" customFormat="1" x14ac:dyDescent="0.25">
      <c r="A157" s="357" t="s">
        <v>438</v>
      </c>
      <c r="B157" s="359"/>
      <c r="C157" s="359"/>
      <c r="D157" s="359"/>
      <c r="E157" s="359"/>
      <c r="F157" s="359"/>
      <c r="G157" s="359"/>
      <c r="H157" s="359"/>
      <c r="I157" s="359"/>
      <c r="N157" s="78"/>
      <c r="O157" s="79"/>
      <c r="P157" s="79"/>
      <c r="Q157" s="79"/>
      <c r="R157" s="79"/>
      <c r="S157" s="79"/>
      <c r="T157" s="79"/>
      <c r="U157" s="79"/>
    </row>
    <row r="158" spans="1:21" s="76" customFormat="1" x14ac:dyDescent="0.25">
      <c r="A158" s="357" t="s">
        <v>439</v>
      </c>
      <c r="B158" s="359"/>
      <c r="C158" s="359"/>
      <c r="D158" s="359"/>
      <c r="E158" s="359"/>
      <c r="F158" s="359"/>
      <c r="G158" s="359"/>
      <c r="H158" s="359"/>
      <c r="I158" s="359"/>
      <c r="N158" s="78"/>
    </row>
    <row r="159" spans="1:21" s="76" customFormat="1" x14ac:dyDescent="0.25">
      <c r="A159" s="357" t="s">
        <v>441</v>
      </c>
      <c r="B159" s="359"/>
      <c r="C159" s="359"/>
      <c r="D159" s="359"/>
      <c r="E159" s="359"/>
      <c r="F159" s="359"/>
      <c r="G159" s="359"/>
      <c r="H159" s="359"/>
      <c r="I159" s="359"/>
      <c r="N159" s="78"/>
    </row>
    <row r="160" spans="1:21" s="76" customFormat="1" x14ac:dyDescent="0.25">
      <c r="A160" s="363" t="s">
        <v>440</v>
      </c>
      <c r="B160" s="359"/>
      <c r="C160" s="359"/>
      <c r="D160" s="359"/>
      <c r="E160" s="359"/>
      <c r="F160" s="359"/>
      <c r="G160" s="359"/>
      <c r="H160" s="359"/>
      <c r="I160" s="359"/>
      <c r="N160" s="78"/>
    </row>
    <row r="161" spans="1:14" s="76" customFormat="1" x14ac:dyDescent="0.25">
      <c r="A161" s="357" t="s">
        <v>442</v>
      </c>
      <c r="B161" s="359"/>
      <c r="C161" s="359"/>
      <c r="D161" s="359"/>
      <c r="E161" s="359"/>
      <c r="F161" s="359"/>
      <c r="G161" s="359"/>
      <c r="H161" s="359"/>
      <c r="I161" s="359"/>
      <c r="N161" s="78"/>
    </row>
    <row r="162" spans="1:14" s="76" customFormat="1" x14ac:dyDescent="0.25">
      <c r="A162" s="363" t="str">
        <f>'1461'!A162</f>
        <v>"All Adjusted ESE Riders" should include only ESE Riders.</v>
      </c>
      <c r="B162" s="359"/>
      <c r="C162" s="359"/>
      <c r="D162" s="359"/>
      <c r="E162" s="359"/>
      <c r="F162" s="359"/>
      <c r="G162" s="359"/>
      <c r="H162" s="359"/>
      <c r="I162" s="359"/>
      <c r="N162" s="78"/>
    </row>
    <row r="163" spans="1:14" s="76" customFormat="1" x14ac:dyDescent="0.25">
      <c r="A163" s="357" t="s">
        <v>445</v>
      </c>
      <c r="B163" s="359"/>
      <c r="C163" s="359"/>
      <c r="D163" s="359"/>
      <c r="E163" s="359"/>
      <c r="F163" s="359"/>
      <c r="G163" s="359"/>
      <c r="H163" s="359"/>
      <c r="I163" s="359"/>
      <c r="N163" s="78"/>
    </row>
    <row r="164" spans="1:14" s="76" customFormat="1" ht="15.75" customHeight="1" x14ac:dyDescent="0.25">
      <c r="A164" s="357" t="str">
        <f>'1461'!A164</f>
        <v xml:space="preserve">(j) Funding based on student eligibility and meals provided, if participating in the National School Lunch Program. </v>
      </c>
      <c r="B164" s="359"/>
      <c r="C164" s="359"/>
      <c r="D164" s="359"/>
      <c r="E164" s="359"/>
      <c r="F164" s="359"/>
      <c r="G164" s="359"/>
      <c r="H164" s="359"/>
      <c r="I164" s="359"/>
      <c r="N164" s="78"/>
    </row>
    <row r="165" spans="1:14" s="76" customFormat="1" ht="15.75" customHeight="1" x14ac:dyDescent="0.25">
      <c r="A165" s="357" t="s">
        <v>447</v>
      </c>
      <c r="B165" s="359"/>
      <c r="C165" s="359"/>
      <c r="D165" s="359"/>
      <c r="E165" s="359"/>
      <c r="F165" s="359"/>
      <c r="G165" s="359"/>
      <c r="H165" s="359"/>
      <c r="I165" s="359"/>
      <c r="N165" s="78"/>
    </row>
    <row r="166" spans="1:14" s="76" customFormat="1" ht="15.75" customHeight="1" x14ac:dyDescent="0.25">
      <c r="A166" s="363" t="s">
        <v>446</v>
      </c>
      <c r="B166" s="359"/>
      <c r="C166" s="359"/>
      <c r="D166" s="359"/>
      <c r="E166" s="359"/>
      <c r="F166" s="359"/>
      <c r="G166" s="359"/>
      <c r="H166" s="359"/>
      <c r="I166" s="359"/>
      <c r="N166" s="78"/>
    </row>
    <row r="167" spans="1:14" s="76" customFormat="1" ht="15.75" customHeight="1" x14ac:dyDescent="0.25">
      <c r="A167" s="357" t="s">
        <v>448</v>
      </c>
      <c r="B167" s="359"/>
      <c r="C167" s="359"/>
      <c r="D167" s="359"/>
      <c r="E167" s="359"/>
      <c r="F167" s="359"/>
      <c r="G167" s="359"/>
      <c r="H167" s="359"/>
      <c r="I167" s="359"/>
      <c r="N167" s="78"/>
    </row>
    <row r="168" spans="1:14" s="76" customFormat="1" ht="15.75" customHeight="1" x14ac:dyDescent="0.25">
      <c r="A168" s="363" t="str">
        <f>'1461'!A168</f>
        <v xml:space="preserve">unweighted full-time equivalent students. </v>
      </c>
      <c r="B168" s="359"/>
      <c r="C168" s="359"/>
      <c r="D168" s="359"/>
      <c r="E168" s="359"/>
      <c r="F168" s="359"/>
      <c r="G168" s="359"/>
      <c r="H168" s="359"/>
      <c r="I168" s="359"/>
      <c r="N168" s="78"/>
    </row>
    <row r="169" spans="1:14" s="76" customFormat="1" ht="15.75" customHeight="1" x14ac:dyDescent="0.25">
      <c r="A169" s="357" t="s">
        <v>450</v>
      </c>
      <c r="B169" s="359"/>
      <c r="C169" s="359"/>
      <c r="D169" s="359"/>
      <c r="E169" s="359"/>
      <c r="F169" s="359"/>
      <c r="G169" s="359"/>
      <c r="H169" s="359"/>
      <c r="I169" s="359"/>
      <c r="N169" s="78"/>
    </row>
    <row r="170" spans="1:14" s="76" customFormat="1" ht="15.75" customHeight="1" x14ac:dyDescent="0.25">
      <c r="A170" s="363" t="s">
        <v>449</v>
      </c>
      <c r="B170" s="359"/>
      <c r="C170" s="359"/>
      <c r="D170" s="359"/>
      <c r="E170" s="359"/>
      <c r="F170" s="359"/>
      <c r="G170" s="359"/>
      <c r="H170" s="359"/>
      <c r="I170" s="359"/>
      <c r="N170" s="78"/>
    </row>
    <row r="171" spans="1:14" s="76" customFormat="1" ht="15.75" customHeight="1" x14ac:dyDescent="0.25">
      <c r="A171" s="357"/>
      <c r="B171" s="359"/>
      <c r="C171" s="359"/>
      <c r="D171" s="359"/>
      <c r="E171" s="359"/>
      <c r="F171" s="359"/>
      <c r="G171" s="359"/>
      <c r="H171" s="359"/>
      <c r="I171" s="359"/>
      <c r="N171" s="78"/>
    </row>
    <row r="172" spans="1:14" s="76" customFormat="1" ht="15.75" customHeight="1" x14ac:dyDescent="0.3">
      <c r="A172" s="370" t="str">
        <f>'1461'!A172</f>
        <v>Administrative fees:</v>
      </c>
      <c r="B172" s="359"/>
      <c r="C172" s="359"/>
      <c r="D172" s="359"/>
      <c r="E172" s="359"/>
      <c r="F172" s="359"/>
      <c r="G172" s="359"/>
      <c r="H172" s="359"/>
      <c r="I172" s="359"/>
      <c r="J172" s="3"/>
      <c r="K172" s="3"/>
      <c r="L172" s="3"/>
      <c r="M172" s="3"/>
      <c r="N172" s="78"/>
    </row>
    <row r="173" spans="1:14" s="76" customFormat="1" ht="15.75" customHeight="1" x14ac:dyDescent="0.3">
      <c r="A173" s="374" t="str">
        <f>'1461'!A173</f>
        <v xml:space="preserve">Administrative fees charged by the school district pursuant to s. 1002.33(20)(a), F.S., shall be calculated based upon 5% of available funds from the FEFP and categorical </v>
      </c>
      <c r="B173" s="362"/>
      <c r="C173" s="362"/>
      <c r="D173" s="362"/>
      <c r="E173" s="362"/>
      <c r="F173" s="362"/>
      <c r="G173" s="362"/>
      <c r="H173" s="362"/>
      <c r="I173" s="362"/>
      <c r="J173" s="3"/>
      <c r="K173" s="3"/>
      <c r="L173" s="3"/>
      <c r="M173" s="3"/>
      <c r="N173" s="78"/>
    </row>
    <row r="174" spans="1:14" s="76" customFormat="1" ht="15.75" customHeight="1" x14ac:dyDescent="0.3">
      <c r="A174" s="375" t="str">
        <f>'1461'!A174</f>
        <v>funding for which charter students may be eligible.  To calculate the administrative fee to be withheld for schools with more than 250 students, divide the school</v>
      </c>
      <c r="B174" s="369"/>
      <c r="C174" s="369"/>
      <c r="D174" s="369"/>
      <c r="E174" s="369"/>
      <c r="F174" s="369"/>
      <c r="G174" s="369"/>
      <c r="H174" s="369"/>
      <c r="I174" s="369"/>
      <c r="J174" s="3"/>
      <c r="K174" s="3"/>
      <c r="L174" s="3"/>
      <c r="M174" s="3"/>
      <c r="N174" s="78"/>
    </row>
    <row r="175" spans="1:14" s="76" customFormat="1" ht="15.75" customHeight="1" x14ac:dyDescent="0.3">
      <c r="A175" s="375" t="s">
        <v>451</v>
      </c>
      <c r="B175" s="369"/>
      <c r="C175" s="369"/>
      <c r="D175" s="369"/>
      <c r="E175" s="369"/>
      <c r="F175" s="369"/>
      <c r="G175" s="369"/>
      <c r="H175" s="369"/>
      <c r="I175" s="369"/>
      <c r="J175" s="3"/>
      <c r="K175" s="3"/>
      <c r="L175" s="3"/>
      <c r="M175" s="3"/>
      <c r="N175" s="78"/>
    </row>
    <row r="176" spans="1:14" s="76" customFormat="1" ht="15.75" customHeight="1" x14ac:dyDescent="0.25">
      <c r="A176" s="375" t="s">
        <v>452</v>
      </c>
      <c r="B176" s="369"/>
      <c r="C176" s="369"/>
      <c r="D176" s="369"/>
      <c r="E176" s="369"/>
      <c r="F176" s="369"/>
      <c r="G176" s="369"/>
      <c r="H176" s="369"/>
      <c r="I176" s="369"/>
      <c r="N176" s="78"/>
    </row>
    <row r="177" spans="1:21" s="76" customFormat="1" ht="15.75" customHeight="1" x14ac:dyDescent="0.25">
      <c r="A177" s="374"/>
      <c r="B177" s="369"/>
      <c r="C177" s="369"/>
      <c r="D177" s="369"/>
      <c r="E177" s="369"/>
      <c r="F177" s="369"/>
      <c r="G177" s="369"/>
      <c r="H177" s="369"/>
      <c r="I177" s="369"/>
      <c r="N177" s="78"/>
    </row>
    <row r="178" spans="1:21" ht="15.75" customHeight="1" x14ac:dyDescent="0.3">
      <c r="A178" s="374" t="str">
        <f>'1461'!A178</f>
        <v xml:space="preserve">For high performing charter schools, administrative fees charged by the school district shall be calculated based upon 2% of available funds from the FEFP and categorical </v>
      </c>
      <c r="B178" s="362"/>
      <c r="C178" s="362"/>
      <c r="D178" s="362"/>
      <c r="E178" s="362"/>
      <c r="F178" s="362"/>
      <c r="G178" s="362"/>
      <c r="H178" s="362"/>
      <c r="I178" s="362"/>
      <c r="J178" s="76"/>
      <c r="K178" s="76"/>
      <c r="L178" s="76"/>
      <c r="M178" s="76"/>
      <c r="N178" s="78"/>
      <c r="O178" s="76"/>
      <c r="P178" s="76"/>
      <c r="Q178" s="76"/>
      <c r="R178" s="76"/>
      <c r="S178" s="76"/>
      <c r="T178" s="76"/>
      <c r="U178" s="76"/>
    </row>
    <row r="179" spans="1:21" ht="15.75" customHeight="1" x14ac:dyDescent="0.3">
      <c r="A179" s="375" t="str">
        <f>'1461'!A179</f>
        <v>funding for which charter students may be eligible.  To calculate the administrative fee to be withheld for schools with more than 250 students, divide the school</v>
      </c>
      <c r="B179" s="362"/>
      <c r="C179" s="362"/>
      <c r="D179" s="362"/>
      <c r="E179" s="362"/>
      <c r="F179" s="362"/>
      <c r="G179" s="362"/>
      <c r="H179" s="362"/>
      <c r="I179" s="362"/>
      <c r="J179" s="76"/>
      <c r="K179" s="76"/>
      <c r="L179" s="76"/>
      <c r="M179" s="76"/>
      <c r="N179" s="74"/>
    </row>
    <row r="180" spans="1:21" s="76" customFormat="1" ht="15.75" customHeight="1" x14ac:dyDescent="0.3">
      <c r="A180" s="375" t="str">
        <f>'1461'!A180</f>
        <v xml:space="preserve">population into 250. Multiply that fraction times the funds available, then times 2%.  </v>
      </c>
      <c r="B180" s="362"/>
      <c r="C180" s="362"/>
      <c r="D180" s="362"/>
      <c r="E180" s="362"/>
      <c r="F180" s="362"/>
      <c r="G180" s="362"/>
      <c r="H180" s="362"/>
      <c r="I180" s="362"/>
      <c r="N180" s="74"/>
      <c r="O180" s="3"/>
      <c r="P180" s="3"/>
      <c r="Q180" s="3"/>
      <c r="R180" s="3"/>
      <c r="S180" s="3"/>
      <c r="T180" s="3"/>
      <c r="U180" s="3"/>
    </row>
    <row r="181" spans="1:21" x14ac:dyDescent="0.3">
      <c r="A181" s="357"/>
      <c r="B181" s="362"/>
      <c r="C181" s="362"/>
      <c r="D181" s="362"/>
      <c r="E181" s="362"/>
      <c r="F181" s="362"/>
      <c r="G181" s="362"/>
      <c r="H181" s="362"/>
      <c r="I181" s="362"/>
      <c r="N181" s="78"/>
      <c r="O181" s="76"/>
      <c r="P181" s="76"/>
      <c r="Q181" s="76"/>
      <c r="R181" s="76"/>
      <c r="S181" s="76"/>
      <c r="T181" s="76"/>
      <c r="U181" s="76"/>
    </row>
    <row r="182" spans="1:21" x14ac:dyDescent="0.3">
      <c r="A182" s="370" t="str">
        <f>'1461'!A182</f>
        <v>Other:</v>
      </c>
      <c r="B182" s="368"/>
      <c r="C182" s="368"/>
      <c r="D182" s="368"/>
      <c r="E182" s="368"/>
      <c r="F182" s="368"/>
      <c r="G182" s="368"/>
      <c r="H182" s="368"/>
      <c r="I182" s="368"/>
      <c r="N182" s="78"/>
      <c r="O182" s="76"/>
      <c r="P182" s="76"/>
      <c r="Q182" s="76"/>
      <c r="R182" s="76"/>
      <c r="S182" s="76"/>
      <c r="T182" s="76"/>
      <c r="U182" s="76"/>
    </row>
    <row r="183" spans="1:21" x14ac:dyDescent="0.3">
      <c r="A183" s="374" t="str">
        <f>'1461'!A183</f>
        <v>FEFP and categorical funding are recalculated during the year to reflect the revised number of full-time equivalent students reported during the survey periods designated</v>
      </c>
      <c r="B183" s="362"/>
      <c r="C183" s="362"/>
      <c r="D183" s="362"/>
      <c r="E183" s="362"/>
      <c r="F183" s="362"/>
      <c r="G183" s="362"/>
      <c r="H183" s="362"/>
      <c r="I183" s="362"/>
      <c r="N183" s="78"/>
      <c r="O183" s="76"/>
      <c r="P183" s="76"/>
      <c r="Q183" s="76"/>
      <c r="R183" s="76"/>
      <c r="S183" s="76"/>
      <c r="T183" s="76"/>
      <c r="U183" s="76"/>
    </row>
    <row r="184" spans="1:21" x14ac:dyDescent="0.3">
      <c r="A184" s="375" t="str">
        <f>'1461'!A184</f>
        <v>by the Commissioner of Education.</v>
      </c>
      <c r="B184" s="369"/>
      <c r="C184" s="369"/>
      <c r="D184" s="369"/>
      <c r="E184" s="369"/>
      <c r="F184" s="369"/>
      <c r="G184" s="369"/>
      <c r="H184" s="369"/>
      <c r="I184" s="369"/>
      <c r="N184" s="74"/>
    </row>
    <row r="185" spans="1:21" x14ac:dyDescent="0.3">
      <c r="A185" s="374" t="str">
        <f>'1461'!A185</f>
        <v>Revenues flow to districts from state sources and from county tax collectors on various distribution schedules.</v>
      </c>
      <c r="B185" s="362"/>
      <c r="C185" s="362"/>
      <c r="D185" s="362"/>
      <c r="E185" s="362"/>
      <c r="F185" s="362"/>
      <c r="G185" s="362"/>
      <c r="H185" s="362"/>
      <c r="I185" s="362"/>
      <c r="N185" s="74"/>
    </row>
    <row r="186" spans="1:21" x14ac:dyDescent="0.3">
      <c r="A186" s="292"/>
      <c r="B186" s="292"/>
      <c r="C186" s="292"/>
      <c r="D186" s="292"/>
      <c r="E186" s="292"/>
      <c r="F186" s="292"/>
      <c r="G186" s="292"/>
      <c r="H186" s="292"/>
      <c r="I186" s="292"/>
      <c r="N186" s="74"/>
    </row>
    <row r="187" spans="1:21" x14ac:dyDescent="0.3">
      <c r="A187" s="74"/>
      <c r="N187" s="74"/>
    </row>
    <row r="188" spans="1:21" x14ac:dyDescent="0.3">
      <c r="A188" s="74"/>
      <c r="N188" s="74"/>
    </row>
    <row r="189" spans="1:21" x14ac:dyDescent="0.3">
      <c r="A189" s="74"/>
      <c r="N189" s="74"/>
    </row>
    <row r="190" spans="1:21" x14ac:dyDescent="0.3">
      <c r="A190" s="74"/>
      <c r="B190" s="135"/>
      <c r="C190" s="135"/>
      <c r="D190" s="135"/>
      <c r="E190" s="135"/>
      <c r="F190" s="135"/>
      <c r="G190" s="135"/>
      <c r="H190" s="135"/>
      <c r="I190" s="135"/>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132:T132"/>
    <mergeCell ref="N133:T133"/>
    <mergeCell ref="P56:Q56"/>
    <mergeCell ref="P57:Q57"/>
    <mergeCell ref="P58:Q58"/>
    <mergeCell ref="P59:Q59"/>
    <mergeCell ref="P60:Q60"/>
    <mergeCell ref="P61:Q61"/>
    <mergeCell ref="P62:Q62"/>
    <mergeCell ref="P63:Q63"/>
    <mergeCell ref="P64:Q64"/>
    <mergeCell ref="N88:P88"/>
    <mergeCell ref="N76:S76"/>
    <mergeCell ref="T76:U76"/>
    <mergeCell ref="N124:O124"/>
    <mergeCell ref="N121:O121"/>
    <mergeCell ref="P121:Q121"/>
    <mergeCell ref="N8:O8"/>
    <mergeCell ref="P8:Q8"/>
    <mergeCell ref="R8:S8"/>
    <mergeCell ref="T8:U8"/>
    <mergeCell ref="F11:G11"/>
    <mergeCell ref="R11:S11"/>
    <mergeCell ref="A7:I7"/>
    <mergeCell ref="N12:O12"/>
    <mergeCell ref="P12:Q12"/>
    <mergeCell ref="R12:S12"/>
    <mergeCell ref="T9:U9"/>
    <mergeCell ref="B1:I1"/>
    <mergeCell ref="O1:U1"/>
    <mergeCell ref="N2:U2"/>
    <mergeCell ref="N3:U3"/>
    <mergeCell ref="A4:B4"/>
    <mergeCell ref="C4:E4"/>
    <mergeCell ref="N4:O4"/>
    <mergeCell ref="P4:Q4"/>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F20:G20"/>
    <mergeCell ref="N20:O20"/>
    <mergeCell ref="P20:Q20"/>
    <mergeCell ref="R20:S20"/>
    <mergeCell ref="A21:B21"/>
    <mergeCell ref="F21:G21"/>
    <mergeCell ref="N21:O21"/>
    <mergeCell ref="P21:Q21"/>
    <mergeCell ref="R21:S21"/>
    <mergeCell ref="A20:B20"/>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R120:S12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A124:B124"/>
    <mergeCell ref="R121:S121"/>
    <mergeCell ref="A122:B122"/>
    <mergeCell ref="F122:G122"/>
    <mergeCell ref="N122:O122"/>
    <mergeCell ref="P122:Q122"/>
    <mergeCell ref="N155:U155"/>
    <mergeCell ref="N135:U135"/>
    <mergeCell ref="N126:P126"/>
    <mergeCell ref="A126:C126"/>
    <mergeCell ref="F126:H126"/>
    <mergeCell ref="N130:T130"/>
    <mergeCell ref="A128:H128"/>
    <mergeCell ref="A132:G132"/>
    <mergeCell ref="A133:G133"/>
    <mergeCell ref="N136:U136"/>
    <mergeCell ref="A123:B123"/>
    <mergeCell ref="F123:G123"/>
    <mergeCell ref="N123:O123"/>
    <mergeCell ref="P123:Q123"/>
    <mergeCell ref="R123:S123"/>
    <mergeCell ref="R122:S122"/>
    <mergeCell ref="A121:B121"/>
    <mergeCell ref="F121:G121"/>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FFCCCC"/>
    <pageSetUpPr fitToPage="1"/>
  </sheetPr>
  <dimension ref="A1:V221"/>
  <sheetViews>
    <sheetView topLeftCell="A127" workbookViewId="0">
      <selection activeCell="I139" sqref="I139"/>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bestFit="1"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593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IF(D$30=0,C15*2,C15+D15)</f>
        <v>0</v>
      </c>
      <c r="F15" s="859">
        <f>'1461'!F15:G15</f>
        <v>1.1180000000000001</v>
      </c>
      <c r="G15" s="859"/>
      <c r="H15" s="80">
        <f t="shared" ref="H15:H29" si="1">ROUND(E15*F15,4)</f>
        <v>0</v>
      </c>
      <c r="I15" s="101">
        <f t="shared" ref="I15:I29" si="2">ROUND(ROUND(ROUND(H15*$C$8,4)*($H$8),2)*(MAX($H$9,1)),2)</f>
        <v>0</v>
      </c>
      <c r="J15" s="65" t="str">
        <f>IF(ROUND(E15,2)=ROUND(SUM(E57:E59),2)," ","CHECK PK-3 LINES BELOW")</f>
        <v xml:space="preserve"> </v>
      </c>
      <c r="N15" s="818" t="s">
        <v>21</v>
      </c>
      <c r="O15" s="818"/>
      <c r="P15" s="860">
        <f t="shared" si="0"/>
        <v>0</v>
      </c>
      <c r="Q15" s="860"/>
      <c r="R15" s="864">
        <v>1</v>
      </c>
      <c r="S15" s="864"/>
      <c r="T15" s="95">
        <f t="shared" ref="T15:T29" si="3">ROUND(P15*R15,4)</f>
        <v>0</v>
      </c>
      <c r="U15" s="523">
        <f t="shared" ref="U15:U29" si="4">ROUND(ROUND(ROUND(T15*$C$8,4)*($H$8),2)*(MAX($H$9,1)),2)</f>
        <v>0</v>
      </c>
    </row>
    <row r="16" spans="1:21" x14ac:dyDescent="0.3">
      <c r="A16" s="776" t="s">
        <v>22</v>
      </c>
      <c r="B16" s="776"/>
      <c r="C16" s="143">
        <v>0</v>
      </c>
      <c r="D16" s="143">
        <v>0</v>
      </c>
      <c r="E16" s="116">
        <f t="shared" ref="E16:E29" si="5">IF(D$30=0,C16*2,C16+D16)</f>
        <v>0</v>
      </c>
      <c r="F16" s="859">
        <f>'1461'!F16:G16</f>
        <v>1</v>
      </c>
      <c r="G16" s="859"/>
      <c r="H16" s="80">
        <f t="shared" si="1"/>
        <v>0</v>
      </c>
      <c r="I16" s="101">
        <f t="shared" si="2"/>
        <v>0</v>
      </c>
      <c r="N16" s="818" t="s">
        <v>22</v>
      </c>
      <c r="O16" s="818"/>
      <c r="P16" s="860">
        <f t="shared" si="0"/>
        <v>0</v>
      </c>
      <c r="Q16" s="860"/>
      <c r="R16" s="864">
        <v>1</v>
      </c>
      <c r="S16" s="864"/>
      <c r="T16" s="95">
        <f t="shared" si="3"/>
        <v>0</v>
      </c>
      <c r="U16" s="523">
        <f t="shared" si="4"/>
        <v>0</v>
      </c>
    </row>
    <row r="17" spans="1:21" x14ac:dyDescent="0.3">
      <c r="A17" s="776" t="s">
        <v>23</v>
      </c>
      <c r="B17" s="776"/>
      <c r="C17" s="143">
        <v>0</v>
      </c>
      <c r="D17" s="143">
        <v>0.47</v>
      </c>
      <c r="E17" s="116">
        <f t="shared" si="5"/>
        <v>0.47</v>
      </c>
      <c r="F17" s="859">
        <f>'1461'!F17:G17</f>
        <v>1</v>
      </c>
      <c r="G17" s="859"/>
      <c r="H17" s="80">
        <f t="shared" si="1"/>
        <v>0.47</v>
      </c>
      <c r="I17" s="101">
        <f t="shared" si="2"/>
        <v>2607.79</v>
      </c>
      <c r="J17" s="65" t="str">
        <f>IF(ROUND(E17,2)=ROUND(SUM(E60:E62),2)," ","CHECK 4-8 LINES BELOW")</f>
        <v xml:space="preserve"> </v>
      </c>
      <c r="N17" s="818" t="s">
        <v>23</v>
      </c>
      <c r="O17" s="818"/>
      <c r="P17" s="860">
        <f t="shared" si="0"/>
        <v>0.47</v>
      </c>
      <c r="Q17" s="860"/>
      <c r="R17" s="864">
        <v>1</v>
      </c>
      <c r="S17" s="864"/>
      <c r="T17" s="95">
        <f t="shared" si="3"/>
        <v>0.47</v>
      </c>
      <c r="U17" s="523">
        <f t="shared" si="4"/>
        <v>2607.79</v>
      </c>
    </row>
    <row r="18" spans="1:21" x14ac:dyDescent="0.3">
      <c r="A18" s="776" t="s">
        <v>24</v>
      </c>
      <c r="B18" s="776"/>
      <c r="C18" s="143">
        <v>0</v>
      </c>
      <c r="D18" s="143">
        <v>0</v>
      </c>
      <c r="E18" s="116">
        <f t="shared" si="5"/>
        <v>0</v>
      </c>
      <c r="F18" s="859">
        <f>'1461'!F18:G18</f>
        <v>0.97799999999999998</v>
      </c>
      <c r="G18" s="859"/>
      <c r="H18" s="80">
        <f t="shared" si="1"/>
        <v>0</v>
      </c>
      <c r="I18" s="101">
        <f t="shared" si="2"/>
        <v>0</v>
      </c>
      <c r="N18" s="818" t="s">
        <v>24</v>
      </c>
      <c r="O18" s="818"/>
      <c r="P18" s="860">
        <f t="shared" si="0"/>
        <v>0</v>
      </c>
      <c r="Q18" s="860"/>
      <c r="R18" s="864">
        <v>1</v>
      </c>
      <c r="S18" s="864"/>
      <c r="T18" s="95">
        <f t="shared" si="3"/>
        <v>0</v>
      </c>
      <c r="U18" s="523">
        <f t="shared" si="4"/>
        <v>0</v>
      </c>
    </row>
    <row r="19" spans="1:21" x14ac:dyDescent="0.3">
      <c r="A19" s="776" t="s">
        <v>25</v>
      </c>
      <c r="B19" s="776"/>
      <c r="C19" s="143">
        <v>9.4700000000000006</v>
      </c>
      <c r="D19" s="143">
        <v>9.9700000000000006</v>
      </c>
      <c r="E19" s="116">
        <f t="shared" si="5"/>
        <v>19.440000000000001</v>
      </c>
      <c r="F19" s="859">
        <f>'1461'!F19:G19</f>
        <v>0.97799999999999998</v>
      </c>
      <c r="G19" s="859"/>
      <c r="H19" s="80">
        <f t="shared" si="1"/>
        <v>19.0123</v>
      </c>
      <c r="I19" s="101">
        <f t="shared" si="2"/>
        <v>105489.44</v>
      </c>
      <c r="J19" s="65" t="str">
        <f>IF(ROUND(E19,2)=ROUND(SUM(E63:E65),2)," ","CHECK 4-8 LINES BELOW")</f>
        <v xml:space="preserve"> </v>
      </c>
      <c r="N19" s="818" t="s">
        <v>25</v>
      </c>
      <c r="O19" s="818"/>
      <c r="P19" s="860">
        <f t="shared" si="0"/>
        <v>19.440000000000001</v>
      </c>
      <c r="Q19" s="860"/>
      <c r="R19" s="864">
        <v>1</v>
      </c>
      <c r="S19" s="864"/>
      <c r="T19" s="95">
        <f t="shared" si="3"/>
        <v>19.440000000000001</v>
      </c>
      <c r="U19" s="522">
        <f t="shared" si="4"/>
        <v>107862.53</v>
      </c>
    </row>
    <row r="20" spans="1:21" x14ac:dyDescent="0.3">
      <c r="A20" s="776" t="s">
        <v>79</v>
      </c>
      <c r="B20" s="776"/>
      <c r="C20" s="143">
        <v>0.5</v>
      </c>
      <c r="D20" s="143">
        <v>0.7</v>
      </c>
      <c r="E20" s="116">
        <f t="shared" si="5"/>
        <v>1.2</v>
      </c>
      <c r="F20" s="859">
        <f>'1461'!F20:G20</f>
        <v>3.6970000000000001</v>
      </c>
      <c r="G20" s="859"/>
      <c r="H20" s="80">
        <f t="shared" si="1"/>
        <v>4.4363999999999999</v>
      </c>
      <c r="I20" s="101">
        <f t="shared" si="2"/>
        <v>24615.29</v>
      </c>
      <c r="N20" s="818" t="s">
        <v>79</v>
      </c>
      <c r="O20" s="818"/>
      <c r="P20" s="860">
        <f t="shared" si="0"/>
        <v>1.2</v>
      </c>
      <c r="Q20" s="860"/>
      <c r="R20" s="864">
        <v>1</v>
      </c>
      <c r="S20" s="864"/>
      <c r="T20" s="95">
        <f t="shared" si="3"/>
        <v>1.2</v>
      </c>
      <c r="U20" s="523">
        <f t="shared" si="4"/>
        <v>6658.18</v>
      </c>
    </row>
    <row r="21" spans="1:21" x14ac:dyDescent="0.3">
      <c r="A21" s="776" t="s">
        <v>80</v>
      </c>
      <c r="B21" s="776"/>
      <c r="C21" s="143">
        <v>1</v>
      </c>
      <c r="D21" s="143">
        <v>1.4</v>
      </c>
      <c r="E21" s="116">
        <f t="shared" si="5"/>
        <v>2.4</v>
      </c>
      <c r="F21" s="859">
        <f>'1461'!F21:G21</f>
        <v>3.6970000000000001</v>
      </c>
      <c r="G21" s="859"/>
      <c r="H21" s="80">
        <f t="shared" si="1"/>
        <v>8.8727999999999998</v>
      </c>
      <c r="I21" s="101">
        <f t="shared" si="2"/>
        <v>49230.59</v>
      </c>
      <c r="N21" s="818" t="s">
        <v>80</v>
      </c>
      <c r="O21" s="818"/>
      <c r="P21" s="860">
        <f t="shared" si="0"/>
        <v>2.4</v>
      </c>
      <c r="Q21" s="860"/>
      <c r="R21" s="864">
        <v>1</v>
      </c>
      <c r="S21" s="864"/>
      <c r="T21" s="95">
        <f t="shared" si="3"/>
        <v>2.4</v>
      </c>
      <c r="U21" s="523">
        <f t="shared" si="4"/>
        <v>13316.36</v>
      </c>
    </row>
    <row r="22" spans="1:21" x14ac:dyDescent="0.3">
      <c r="A22" s="776" t="s">
        <v>81</v>
      </c>
      <c r="B22" s="776"/>
      <c r="C22" s="143">
        <v>1</v>
      </c>
      <c r="D22" s="143">
        <v>1.4</v>
      </c>
      <c r="E22" s="116">
        <f t="shared" si="5"/>
        <v>2.4</v>
      </c>
      <c r="F22" s="859">
        <f>'1461'!F22:G22</f>
        <v>3.6970000000000001</v>
      </c>
      <c r="G22" s="859"/>
      <c r="H22" s="80">
        <f t="shared" si="1"/>
        <v>8.8727999999999998</v>
      </c>
      <c r="I22" s="101">
        <f t="shared" si="2"/>
        <v>49230.59</v>
      </c>
      <c r="N22" s="818" t="s">
        <v>81</v>
      </c>
      <c r="O22" s="818"/>
      <c r="P22" s="860">
        <f t="shared" si="0"/>
        <v>2.4</v>
      </c>
      <c r="Q22" s="860"/>
      <c r="R22" s="864">
        <v>1</v>
      </c>
      <c r="S22" s="864"/>
      <c r="T22" s="95">
        <f t="shared" si="3"/>
        <v>2.4</v>
      </c>
      <c r="U22" s="523">
        <f t="shared" si="4"/>
        <v>13316.36</v>
      </c>
    </row>
    <row r="23" spans="1:21" x14ac:dyDescent="0.3">
      <c r="A23" s="776" t="s">
        <v>82</v>
      </c>
      <c r="B23" s="776"/>
      <c r="C23" s="143">
        <v>4.01</v>
      </c>
      <c r="D23" s="143">
        <v>3.99</v>
      </c>
      <c r="E23" s="116">
        <f t="shared" si="5"/>
        <v>8</v>
      </c>
      <c r="F23" s="859">
        <f>'1461'!F23:G23</f>
        <v>5.992</v>
      </c>
      <c r="G23" s="859"/>
      <c r="H23" s="80">
        <f t="shared" si="1"/>
        <v>47.936</v>
      </c>
      <c r="I23" s="101">
        <f t="shared" si="2"/>
        <v>265972.13</v>
      </c>
      <c r="N23" s="818" t="s">
        <v>82</v>
      </c>
      <c r="O23" s="818"/>
      <c r="P23" s="860">
        <f t="shared" si="0"/>
        <v>8</v>
      </c>
      <c r="Q23" s="860"/>
      <c r="R23" s="864">
        <v>1</v>
      </c>
      <c r="S23" s="864"/>
      <c r="T23" s="95">
        <f t="shared" si="3"/>
        <v>8</v>
      </c>
      <c r="U23" s="523">
        <f t="shared" si="4"/>
        <v>44387.87</v>
      </c>
    </row>
    <row r="24" spans="1:21" x14ac:dyDescent="0.3">
      <c r="A24" s="776" t="s">
        <v>83</v>
      </c>
      <c r="B24" s="776"/>
      <c r="C24" s="143">
        <v>3.5</v>
      </c>
      <c r="D24" s="143">
        <v>3.5</v>
      </c>
      <c r="E24" s="116">
        <f t="shared" si="5"/>
        <v>7</v>
      </c>
      <c r="F24" s="859">
        <f>'1461'!F24:G24</f>
        <v>5.992</v>
      </c>
      <c r="G24" s="859"/>
      <c r="H24" s="80">
        <f t="shared" si="1"/>
        <v>41.944000000000003</v>
      </c>
      <c r="I24" s="101">
        <f t="shared" si="2"/>
        <v>232725.61</v>
      </c>
      <c r="N24" s="818" t="s">
        <v>83</v>
      </c>
      <c r="O24" s="818"/>
      <c r="P24" s="860">
        <f t="shared" si="0"/>
        <v>7</v>
      </c>
      <c r="Q24" s="860"/>
      <c r="R24" s="864">
        <v>1</v>
      </c>
      <c r="S24" s="864"/>
      <c r="T24" s="95">
        <f t="shared" si="3"/>
        <v>7</v>
      </c>
      <c r="U24" s="523">
        <f t="shared" si="4"/>
        <v>38839.39</v>
      </c>
    </row>
    <row r="25" spans="1:21" x14ac:dyDescent="0.3">
      <c r="A25" s="776" t="s">
        <v>84</v>
      </c>
      <c r="B25" s="776"/>
      <c r="C25" s="143">
        <v>5</v>
      </c>
      <c r="D25" s="143">
        <v>5</v>
      </c>
      <c r="E25" s="116">
        <f t="shared" si="5"/>
        <v>10</v>
      </c>
      <c r="F25" s="859">
        <f>'1461'!F25:G25</f>
        <v>5.992</v>
      </c>
      <c r="G25" s="859"/>
      <c r="H25" s="80">
        <f t="shared" si="1"/>
        <v>59.92</v>
      </c>
      <c r="I25" s="101">
        <f t="shared" si="2"/>
        <v>332465.15999999997</v>
      </c>
      <c r="N25" s="818" t="s">
        <v>84</v>
      </c>
      <c r="O25" s="818"/>
      <c r="P25" s="860">
        <f t="shared" si="0"/>
        <v>10</v>
      </c>
      <c r="Q25" s="860"/>
      <c r="R25" s="864">
        <v>1</v>
      </c>
      <c r="S25" s="864"/>
      <c r="T25" s="95">
        <f t="shared" si="3"/>
        <v>10</v>
      </c>
      <c r="U25" s="523">
        <f t="shared" si="4"/>
        <v>55484.84</v>
      </c>
    </row>
    <row r="26" spans="1:21" x14ac:dyDescent="0.3">
      <c r="A26" s="776" t="s">
        <v>85</v>
      </c>
      <c r="B26" s="776"/>
      <c r="C26" s="143">
        <v>0</v>
      </c>
      <c r="D26" s="143">
        <v>0</v>
      </c>
      <c r="E26" s="116">
        <f t="shared" si="5"/>
        <v>0</v>
      </c>
      <c r="F26" s="859">
        <f>'1461'!F26:G26</f>
        <v>1.1919999999999999</v>
      </c>
      <c r="G26" s="859"/>
      <c r="H26" s="80">
        <f t="shared" si="1"/>
        <v>0</v>
      </c>
      <c r="I26" s="101">
        <f t="shared" si="2"/>
        <v>0</v>
      </c>
      <c r="N26" s="818" t="s">
        <v>85</v>
      </c>
      <c r="O26" s="818"/>
      <c r="P26" s="860">
        <f t="shared" si="0"/>
        <v>0</v>
      </c>
      <c r="Q26" s="860"/>
      <c r="R26" s="864">
        <v>1</v>
      </c>
      <c r="S26" s="864"/>
      <c r="T26" s="95">
        <f t="shared" si="3"/>
        <v>0</v>
      </c>
      <c r="U26" s="523">
        <f t="shared" si="4"/>
        <v>0</v>
      </c>
    </row>
    <row r="27" spans="1:21" x14ac:dyDescent="0.3">
      <c r="A27" s="776" t="s">
        <v>86</v>
      </c>
      <c r="B27" s="776"/>
      <c r="C27" s="143">
        <v>0</v>
      </c>
      <c r="D27" s="143">
        <v>0</v>
      </c>
      <c r="E27" s="116">
        <f t="shared" si="5"/>
        <v>0</v>
      </c>
      <c r="F27" s="859">
        <f>'1461'!F27:G27</f>
        <v>1.1919999999999999</v>
      </c>
      <c r="G27" s="859"/>
      <c r="H27" s="80">
        <f t="shared" si="1"/>
        <v>0</v>
      </c>
      <c r="I27" s="101">
        <f t="shared" si="2"/>
        <v>0</v>
      </c>
      <c r="N27" s="818" t="s">
        <v>86</v>
      </c>
      <c r="O27" s="818"/>
      <c r="P27" s="860">
        <f t="shared" si="0"/>
        <v>0</v>
      </c>
      <c r="Q27" s="860"/>
      <c r="R27" s="864">
        <v>1</v>
      </c>
      <c r="S27" s="864"/>
      <c r="T27" s="95">
        <f t="shared" si="3"/>
        <v>0</v>
      </c>
      <c r="U27" s="523">
        <f t="shared" si="4"/>
        <v>0</v>
      </c>
    </row>
    <row r="28" spans="1:21" x14ac:dyDescent="0.3">
      <c r="A28" s="776" t="s">
        <v>87</v>
      </c>
      <c r="B28" s="776"/>
      <c r="C28" s="143">
        <v>0</v>
      </c>
      <c r="D28" s="143">
        <v>0</v>
      </c>
      <c r="E28" s="116">
        <f t="shared" si="5"/>
        <v>0</v>
      </c>
      <c r="F28" s="859">
        <f>'1461'!F28:G28</f>
        <v>1.1919999999999999</v>
      </c>
      <c r="G28" s="859"/>
      <c r="H28" s="80">
        <f t="shared" si="1"/>
        <v>0</v>
      </c>
      <c r="I28" s="101">
        <f t="shared" si="2"/>
        <v>0</v>
      </c>
      <c r="N28" s="818" t="s">
        <v>87</v>
      </c>
      <c r="O28" s="818"/>
      <c r="P28" s="860">
        <f t="shared" si="0"/>
        <v>0</v>
      </c>
      <c r="Q28" s="860"/>
      <c r="R28" s="864">
        <v>1</v>
      </c>
      <c r="S28" s="864"/>
      <c r="T28" s="95">
        <f t="shared" si="3"/>
        <v>0</v>
      </c>
      <c r="U28" s="523">
        <f t="shared" si="4"/>
        <v>0</v>
      </c>
    </row>
    <row r="29" spans="1:21" x14ac:dyDescent="0.3">
      <c r="A29" s="776" t="s">
        <v>88</v>
      </c>
      <c r="B29" s="776"/>
      <c r="C29" s="110">
        <v>0</v>
      </c>
      <c r="D29" s="110">
        <v>0</v>
      </c>
      <c r="E29" s="154">
        <f t="shared" si="5"/>
        <v>0</v>
      </c>
      <c r="F29" s="859">
        <f>'1461'!F29:G29</f>
        <v>1.079</v>
      </c>
      <c r="G29" s="859"/>
      <c r="H29" s="93">
        <f t="shared" si="1"/>
        <v>0</v>
      </c>
      <c r="I29" s="94">
        <f t="shared" si="2"/>
        <v>0</v>
      </c>
      <c r="N29" s="819" t="s">
        <v>88</v>
      </c>
      <c r="O29" s="819"/>
      <c r="P29" s="860">
        <f t="shared" si="0"/>
        <v>0</v>
      </c>
      <c r="Q29" s="860"/>
      <c r="R29" s="861">
        <v>1</v>
      </c>
      <c r="S29" s="861"/>
      <c r="T29" s="95">
        <f t="shared" si="3"/>
        <v>0</v>
      </c>
      <c r="U29" s="523">
        <f t="shared" si="4"/>
        <v>0</v>
      </c>
    </row>
    <row r="30" spans="1:21" x14ac:dyDescent="0.3">
      <c r="A30" s="779" t="s">
        <v>5</v>
      </c>
      <c r="B30" s="779"/>
      <c r="C30" s="94">
        <f>SUM(C14:C29)</f>
        <v>24.48</v>
      </c>
      <c r="D30" s="94">
        <f>SUM(D14:D29)</f>
        <v>26.43</v>
      </c>
      <c r="E30" s="94">
        <f>SUM(E14:E29)</f>
        <v>50.91</v>
      </c>
      <c r="F30" s="795"/>
      <c r="G30" s="795"/>
      <c r="H30" s="99">
        <f>SUM(H14:H29)</f>
        <v>191.46430000000004</v>
      </c>
      <c r="I30" s="94">
        <f>SUM(I14:I29)</f>
        <v>1062336.5999999999</v>
      </c>
      <c r="N30" s="862" t="s">
        <v>5</v>
      </c>
      <c r="O30" s="862"/>
      <c r="P30" s="863">
        <f>SUM(P14:P29)</f>
        <v>50.91</v>
      </c>
      <c r="Q30" s="863"/>
      <c r="R30" s="852"/>
      <c r="S30" s="852"/>
      <c r="T30" s="100">
        <f>SUM(T14:T29)</f>
        <v>50.91</v>
      </c>
      <c r="U30" s="523">
        <f>SUM(U14:U29)</f>
        <v>282473.31999999995</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x14ac:dyDescent="0.3">
      <c r="A34" s="146"/>
      <c r="B34" s="26"/>
      <c r="C34" s="101"/>
      <c r="D34" s="101"/>
      <c r="E34" s="101"/>
      <c r="F34" s="885" t="s">
        <v>232</v>
      </c>
      <c r="G34" s="885"/>
      <c r="H34" s="885"/>
      <c r="I34" s="101"/>
      <c r="N34" s="28"/>
      <c r="O34" s="28"/>
      <c r="P34" s="29"/>
      <c r="Q34" s="29"/>
      <c r="R34" s="30"/>
      <c r="S34" s="30"/>
      <c r="T34" s="102"/>
      <c r="U34" s="103"/>
    </row>
    <row r="35" spans="1:21" x14ac:dyDescent="0.3">
      <c r="A35" s="3"/>
      <c r="B35" s="69"/>
      <c r="C35" s="69"/>
      <c r="D35" s="69"/>
      <c r="E35" s="69"/>
      <c r="F35" s="885"/>
      <c r="G35" s="885"/>
      <c r="H35" s="885"/>
      <c r="I35" s="24" t="s">
        <v>61</v>
      </c>
      <c r="N35" s="822" t="s">
        <v>26</v>
      </c>
      <c r="O35" s="822"/>
      <c r="P35" s="822"/>
      <c r="Q35" s="822"/>
      <c r="R35" s="822"/>
      <c r="S35" s="822"/>
      <c r="T35" s="822"/>
      <c r="U35" s="25" t="str">
        <f>I35</f>
        <v>2015-16</v>
      </c>
    </row>
    <row r="36" spans="1:2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thickBot="1" x14ac:dyDescent="0.35">
      <c r="A45" s="3"/>
      <c r="B45" s="52"/>
      <c r="C45" s="101"/>
      <c r="D45" s="101"/>
      <c r="E45" s="111"/>
      <c r="F45" s="32"/>
      <c r="G45" s="106"/>
      <c r="H45" s="107"/>
      <c r="I45" s="101"/>
      <c r="N45" s="28"/>
      <c r="O45" s="28"/>
      <c r="P45" s="28"/>
      <c r="Q45" s="28"/>
      <c r="R45" s="33"/>
      <c r="S45" s="30"/>
      <c r="T45" s="30"/>
      <c r="U45" s="103"/>
    </row>
    <row r="46" spans="1:21" ht="16.2" thickBot="1" x14ac:dyDescent="0.35">
      <c r="A46" s="3"/>
      <c r="B46" s="52" t="s">
        <v>96</v>
      </c>
      <c r="E46" s="152">
        <f>H30+E44</f>
        <v>191.46430000000004</v>
      </c>
      <c r="F46" s="34"/>
      <c r="G46" s="106"/>
      <c r="H46" s="107" t="s">
        <v>98</v>
      </c>
      <c r="I46" s="94">
        <f>SUM(I44,I30)</f>
        <v>1062336.5999999999</v>
      </c>
      <c r="N46" s="847" t="s">
        <v>44</v>
      </c>
      <c r="O46" s="847"/>
      <c r="P46" s="847"/>
      <c r="Q46" s="847"/>
      <c r="R46" s="35">
        <f>R44+T30</f>
        <v>50.91</v>
      </c>
      <c r="S46" s="852" t="s">
        <v>42</v>
      </c>
      <c r="T46" s="852"/>
      <c r="U46" s="108">
        <f>SUM(U44,U30)</f>
        <v>282473.31999999995</v>
      </c>
    </row>
    <row r="47" spans="1:21" ht="16.2"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1036828.56</v>
      </c>
      <c r="G51" s="109" t="s">
        <v>6</v>
      </c>
      <c r="H51" s="452">
        <v>5.5899999999999998E-2</v>
      </c>
      <c r="I51" s="101">
        <f>ROUND(F51*H51,2)</f>
        <v>57958.720000000001</v>
      </c>
      <c r="N51" s="457"/>
      <c r="O51" s="458" t="s">
        <v>576</v>
      </c>
      <c r="P51" s="28"/>
      <c r="Q51" s="44" t="s">
        <v>461</v>
      </c>
      <c r="R51" s="459">
        <f>U30</f>
        <v>282473.31999999995</v>
      </c>
      <c r="S51" s="460" t="s">
        <v>6</v>
      </c>
      <c r="T51" s="461">
        <v>5.5899999999999998E-2</v>
      </c>
      <c r="U51" s="453">
        <f>I51</f>
        <v>57958.720000000001</v>
      </c>
    </row>
    <row r="52" spans="1:22" x14ac:dyDescent="0.3">
      <c r="A52" s="26"/>
      <c r="B52" s="617" t="s">
        <v>580</v>
      </c>
      <c r="C52" s="26"/>
      <c r="D52" s="26"/>
      <c r="E52" s="43" t="s">
        <v>461</v>
      </c>
      <c r="F52" s="451">
        <v>1036828.56</v>
      </c>
      <c r="G52" s="109" t="s">
        <v>6</v>
      </c>
      <c r="H52" s="452">
        <v>1.0699999999999999E-2</v>
      </c>
      <c r="I52" s="101">
        <f>ROUND(F52*H52,2)</f>
        <v>11094.07</v>
      </c>
      <c r="N52" s="28"/>
      <c r="O52" s="618" t="s">
        <v>579</v>
      </c>
      <c r="P52" s="28"/>
      <c r="Q52" s="44" t="s">
        <v>461</v>
      </c>
      <c r="R52" s="459">
        <f>U30</f>
        <v>282473.31999999995</v>
      </c>
      <c r="S52" s="460" t="s">
        <v>6</v>
      </c>
      <c r="T52" s="461">
        <v>1.0699999999999999E-2</v>
      </c>
      <c r="U52" s="462">
        <f>I52</f>
        <v>11094.07</v>
      </c>
    </row>
    <row r="53" spans="1:22" x14ac:dyDescent="0.3">
      <c r="A53" s="26"/>
      <c r="B53" s="81" t="s">
        <v>462</v>
      </c>
      <c r="C53" s="26"/>
      <c r="D53" s="26"/>
      <c r="E53" s="43"/>
      <c r="F53" s="451"/>
      <c r="G53" s="109"/>
      <c r="H53" s="452"/>
      <c r="I53" s="97">
        <f>SUM(I51:I52)</f>
        <v>69052.790000000008</v>
      </c>
      <c r="N53" s="28"/>
      <c r="O53" s="434" t="s">
        <v>462</v>
      </c>
      <c r="P53" s="28"/>
      <c r="Q53" s="44"/>
      <c r="R53" s="459"/>
      <c r="S53" s="460"/>
      <c r="T53" s="461"/>
      <c r="U53" s="453">
        <f>SUM(U51:U52)</f>
        <v>69052.790000000008</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2" si="10">IF(D$72=0,C57*2,C57+D57)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0.47</v>
      </c>
      <c r="E60" s="116">
        <f t="shared" si="10"/>
        <v>0.47</v>
      </c>
      <c r="F60" s="494" t="s">
        <v>13</v>
      </c>
      <c r="G60" s="493">
        <v>251</v>
      </c>
      <c r="H60" s="507">
        <f>'1461'!H60</f>
        <v>1173</v>
      </c>
      <c r="I60" s="101">
        <f t="shared" si="11"/>
        <v>551.30999999999995</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IF(D$66=0,C63*2,C63+D63)</f>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1</v>
      </c>
      <c r="D64" s="143">
        <v>1.05</v>
      </c>
      <c r="E64" s="116">
        <f>IF(D$66=0,C64*2,C64+D64)</f>
        <v>2.0499999999999998</v>
      </c>
      <c r="F64" s="494" t="s">
        <v>14</v>
      </c>
      <c r="G64" s="493">
        <v>252</v>
      </c>
      <c r="H64" s="507">
        <f>'1461'!H64</f>
        <v>3168</v>
      </c>
      <c r="I64" s="101">
        <f t="shared" si="11"/>
        <v>6494.4</v>
      </c>
      <c r="N64" s="850"/>
      <c r="O64" s="850"/>
      <c r="P64" s="844"/>
      <c r="Q64" s="844"/>
      <c r="R64" s="40" t="s">
        <v>14</v>
      </c>
      <c r="S64" s="499">
        <v>252</v>
      </c>
      <c r="T64" s="510">
        <f t="shared" si="12"/>
        <v>3168</v>
      </c>
      <c r="U64" s="524">
        <f t="shared" si="13"/>
        <v>0</v>
      </c>
      <c r="V64" s="474"/>
    </row>
    <row r="65" spans="1:22" ht="16.2" thickBot="1" x14ac:dyDescent="0.35">
      <c r="A65" s="792"/>
      <c r="B65" s="792"/>
      <c r="C65" s="143">
        <v>8.4700000000000006</v>
      </c>
      <c r="D65" s="143">
        <v>8.92</v>
      </c>
      <c r="E65" s="116">
        <f>IF(D$66=0,C65*2,C65+D65)</f>
        <v>17.39</v>
      </c>
      <c r="F65" s="494" t="s">
        <v>14</v>
      </c>
      <c r="G65" s="493">
        <v>253</v>
      </c>
      <c r="H65" s="507">
        <f>'1461'!H65</f>
        <v>6685</v>
      </c>
      <c r="I65" s="101">
        <f t="shared" si="11"/>
        <v>116252.15</v>
      </c>
      <c r="N65" s="850"/>
      <c r="O65" s="850"/>
      <c r="P65" s="845"/>
      <c r="Q65" s="845"/>
      <c r="R65" s="40" t="s">
        <v>14</v>
      </c>
      <c r="S65" s="499">
        <v>253</v>
      </c>
      <c r="T65" s="510">
        <f t="shared" si="12"/>
        <v>6685</v>
      </c>
      <c r="U65" s="525">
        <f t="shared" si="13"/>
        <v>0</v>
      </c>
      <c r="V65" s="474"/>
    </row>
    <row r="66" spans="1:22" ht="16.2" thickBot="1" x14ac:dyDescent="0.35">
      <c r="A66" s="490"/>
      <c r="C66" s="97">
        <f>SUM(C57:C65)</f>
        <v>9.4700000000000006</v>
      </c>
      <c r="D66" s="97">
        <f>SUM(D57:D65)</f>
        <v>10.44</v>
      </c>
      <c r="E66" s="97">
        <f>SUM(E57:E65)</f>
        <v>19.91</v>
      </c>
      <c r="F66" s="779" t="s">
        <v>507</v>
      </c>
      <c r="G66" s="779"/>
      <c r="H66" s="779"/>
      <c r="I66" s="97">
        <f>SUM(I57:I65)</f>
        <v>123297.85999999999</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50.91</v>
      </c>
      <c r="D69" s="789" t="s">
        <v>474</v>
      </c>
      <c r="E69" s="789"/>
      <c r="F69" s="789"/>
      <c r="G69" s="789"/>
      <c r="H69" s="299">
        <f>'1461'!H69</f>
        <v>210166.87</v>
      </c>
      <c r="I69" s="113"/>
      <c r="N69" s="817" t="s">
        <v>467</v>
      </c>
      <c r="O69" s="818"/>
      <c r="P69" s="41">
        <f>P30</f>
        <v>50.91</v>
      </c>
      <c r="Q69" s="842" t="s">
        <v>469</v>
      </c>
      <c r="R69" s="843"/>
      <c r="S69" s="843"/>
      <c r="T69" s="831">
        <f>H69</f>
        <v>210166.87</v>
      </c>
      <c r="U69" s="831"/>
    </row>
    <row r="70" spans="1:22" x14ac:dyDescent="0.3">
      <c r="B70" s="69"/>
      <c r="G70" s="42" t="s">
        <v>12</v>
      </c>
      <c r="H70" s="114">
        <f>ROUND(C69/H69,6)</f>
        <v>2.42E-4</v>
      </c>
      <c r="I70" s="115"/>
      <c r="N70" s="818"/>
      <c r="O70" s="818"/>
      <c r="P70" s="818"/>
      <c r="Q70" s="818"/>
      <c r="R70" s="818"/>
      <c r="S70" s="818"/>
      <c r="T70" s="836">
        <f>ROUND(P69/T69,6)</f>
        <v>2.42E-4</v>
      </c>
      <c r="U70" s="836"/>
    </row>
    <row r="71" spans="1:22" x14ac:dyDescent="0.3">
      <c r="A71" s="492" t="s">
        <v>510</v>
      </c>
      <c r="N71" s="503" t="s">
        <v>518</v>
      </c>
      <c r="O71" s="51"/>
      <c r="P71" s="51"/>
      <c r="Q71" s="51"/>
      <c r="R71" s="51"/>
      <c r="S71" s="51"/>
      <c r="T71" s="51"/>
      <c r="U71" s="51"/>
    </row>
    <row r="72" spans="1:22" x14ac:dyDescent="0.3">
      <c r="A72" s="775" t="s">
        <v>464</v>
      </c>
      <c r="B72" s="776"/>
      <c r="C72" s="112">
        <f>H30</f>
        <v>191.46430000000004</v>
      </c>
      <c r="D72" s="789" t="s">
        <v>475</v>
      </c>
      <c r="E72" s="789"/>
      <c r="F72" s="789"/>
      <c r="G72" s="789"/>
      <c r="H72" s="300">
        <f>'1461'!H72</f>
        <v>237198.6</v>
      </c>
      <c r="I72" s="116"/>
      <c r="N72" s="817" t="s">
        <v>468</v>
      </c>
      <c r="O72" s="818"/>
      <c r="P72" s="41">
        <f>T30</f>
        <v>50.91</v>
      </c>
      <c r="Q72" s="842" t="s">
        <v>470</v>
      </c>
      <c r="R72" s="843"/>
      <c r="S72" s="843"/>
      <c r="T72" s="831">
        <f>H72</f>
        <v>237198.6</v>
      </c>
      <c r="U72" s="831"/>
    </row>
    <row r="73" spans="1:22" x14ac:dyDescent="0.3">
      <c r="G73" s="42" t="s">
        <v>12</v>
      </c>
      <c r="H73" s="114">
        <f>ROUND(C72/H72,6)</f>
        <v>8.0699999999999999E-4</v>
      </c>
      <c r="I73" s="114"/>
      <c r="N73" s="818"/>
      <c r="O73" s="818"/>
      <c r="P73" s="818"/>
      <c r="Q73" s="818"/>
      <c r="R73" s="818"/>
      <c r="S73" s="818"/>
      <c r="T73" s="836">
        <f>ROUND(P72/T72,6)</f>
        <v>2.1499999999999999E-4</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50.91</v>
      </c>
      <c r="D75" s="788" t="s">
        <v>476</v>
      </c>
      <c r="E75" s="788"/>
      <c r="F75" s="788"/>
      <c r="G75" s="788"/>
      <c r="H75" s="299">
        <f>'1461'!H75</f>
        <v>185588.37</v>
      </c>
      <c r="I75" s="113"/>
      <c r="N75" s="817" t="s">
        <v>466</v>
      </c>
      <c r="O75" s="818"/>
      <c r="P75" s="41">
        <f>P30</f>
        <v>50.91</v>
      </c>
      <c r="Q75" s="838" t="s">
        <v>471</v>
      </c>
      <c r="R75" s="839"/>
      <c r="S75" s="839"/>
      <c r="T75" s="831">
        <f>H75</f>
        <v>185588.37</v>
      </c>
      <c r="U75" s="831"/>
    </row>
    <row r="76" spans="1:22" x14ac:dyDescent="0.3">
      <c r="B76" s="69"/>
      <c r="G76" s="42" t="s">
        <v>12</v>
      </c>
      <c r="H76" s="114">
        <f>ROUND(C75/H75,6)</f>
        <v>2.7399999999999999E-4</v>
      </c>
      <c r="I76" s="115"/>
      <c r="N76" s="818"/>
      <c r="O76" s="818"/>
      <c r="P76" s="818"/>
      <c r="Q76" s="818"/>
      <c r="R76" s="818"/>
      <c r="S76" s="818"/>
      <c r="T76" s="836">
        <f>ROUND(P75/T75,6)</f>
        <v>2.7399999999999999E-4</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50.91</v>
      </c>
      <c r="D78" s="784" t="s">
        <v>477</v>
      </c>
      <c r="E78" s="784"/>
      <c r="F78" s="784"/>
      <c r="G78" s="784"/>
      <c r="H78" s="299">
        <f>'1461'!H78</f>
        <v>209834.86</v>
      </c>
      <c r="I78" s="113"/>
      <c r="N78" s="817" t="s">
        <v>466</v>
      </c>
      <c r="O78" s="818"/>
      <c r="P78" s="41">
        <f>P30</f>
        <v>50.91</v>
      </c>
      <c r="Q78" s="840" t="s">
        <v>472</v>
      </c>
      <c r="R78" s="841"/>
      <c r="S78" s="841"/>
      <c r="T78" s="831">
        <f>H78</f>
        <v>209834.86</v>
      </c>
      <c r="U78" s="831"/>
    </row>
    <row r="79" spans="1:22" x14ac:dyDescent="0.3">
      <c r="B79" s="69"/>
      <c r="G79" s="42" t="s">
        <v>12</v>
      </c>
      <c r="H79" s="114">
        <f>ROUND(C78/H78,6)</f>
        <v>2.43E-4</v>
      </c>
      <c r="I79" s="115"/>
      <c r="N79" s="818"/>
      <c r="O79" s="818"/>
      <c r="P79" s="818"/>
      <c r="Q79" s="818"/>
      <c r="R79" s="818"/>
      <c r="S79" s="818"/>
      <c r="T79" s="836">
        <f>ROUND(P78/T78,6)</f>
        <v>2.43E-4</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50.91</v>
      </c>
      <c r="D81" s="788" t="s">
        <v>478</v>
      </c>
      <c r="E81" s="788"/>
      <c r="F81" s="788"/>
      <c r="G81" s="788"/>
      <c r="H81" s="299">
        <f>'1461'!H81</f>
        <v>185256.36</v>
      </c>
      <c r="I81" s="113"/>
      <c r="N81" s="817" t="s">
        <v>479</v>
      </c>
      <c r="O81" s="818"/>
      <c r="P81" s="41">
        <f>P30</f>
        <v>50.91</v>
      </c>
      <c r="Q81" s="838" t="s">
        <v>480</v>
      </c>
      <c r="R81" s="839"/>
      <c r="S81" s="839"/>
      <c r="T81" s="831">
        <f>H81</f>
        <v>185256.36</v>
      </c>
      <c r="U81" s="831"/>
    </row>
    <row r="82" spans="1:21" x14ac:dyDescent="0.3">
      <c r="B82" s="69"/>
      <c r="G82" s="42" t="s">
        <v>12</v>
      </c>
      <c r="H82" s="114">
        <f>ROUND(C81/H81,6)</f>
        <v>2.7500000000000002E-4</v>
      </c>
      <c r="I82" s="115"/>
      <c r="N82" s="818"/>
      <c r="O82" s="818"/>
      <c r="P82" s="818"/>
      <c r="Q82" s="818"/>
      <c r="R82" s="818"/>
      <c r="S82" s="818"/>
      <c r="T82" s="836">
        <f>ROUND(P81/T81,6)</f>
        <v>2.7500000000000002E-4</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2.43E-4</v>
      </c>
      <c r="I85" s="101">
        <f>ROUND(F85*H85,2)</f>
        <v>11214.71</v>
      </c>
      <c r="N85" s="503" t="s">
        <v>514</v>
      </c>
      <c r="O85" s="51"/>
      <c r="P85" s="51"/>
      <c r="Q85" s="44"/>
      <c r="R85" s="469">
        <f>F85</f>
        <v>46151079</v>
      </c>
      <c r="S85" s="38" t="s">
        <v>6</v>
      </c>
      <c r="T85" s="471">
        <f>T79</f>
        <v>2.43E-4</v>
      </c>
      <c r="U85" s="523">
        <f>ROUND(R85*T85,2)</f>
        <v>11214.71</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2.42E-4</v>
      </c>
      <c r="I88" s="101">
        <f>ROUND(F88*H88,2)</f>
        <v>0</v>
      </c>
      <c r="N88" s="837" t="s">
        <v>99</v>
      </c>
      <c r="O88" s="818"/>
      <c r="P88" s="818"/>
      <c r="Q88" s="44"/>
      <c r="R88" s="469">
        <f>F88</f>
        <v>0</v>
      </c>
      <c r="S88" s="38" t="s">
        <v>6</v>
      </c>
      <c r="T88" s="471">
        <f>T70</f>
        <v>2.42E-4</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2.7500000000000002E-4</v>
      </c>
      <c r="I90" s="101">
        <f>ROUND(F90*H90,2)</f>
        <v>5250.94</v>
      </c>
      <c r="N90" s="503" t="s">
        <v>515</v>
      </c>
      <c r="O90" s="51"/>
      <c r="P90" s="51"/>
      <c r="Q90" s="44"/>
      <c r="R90" s="469">
        <f>F90</f>
        <v>19094340</v>
      </c>
      <c r="S90" s="38" t="s">
        <v>6</v>
      </c>
      <c r="T90" s="471">
        <f>T82</f>
        <v>2.7500000000000002E-4</v>
      </c>
      <c r="U90" s="523">
        <f>ROUND(R90*T90,2)</f>
        <v>5250.94</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2.7399999999999999E-4</v>
      </c>
      <c r="I92" s="101">
        <f t="shared" ref="I92:I96" si="14">ROUND(F92*H92,2)</f>
        <v>3140.57</v>
      </c>
      <c r="N92" s="503" t="s">
        <v>516</v>
      </c>
      <c r="O92" s="51"/>
      <c r="P92" s="51"/>
      <c r="Q92" s="44"/>
      <c r="R92" s="469">
        <f t="shared" ref="R92:R96" si="15">F92</f>
        <v>11461928</v>
      </c>
      <c r="S92" s="38" t="s">
        <v>6</v>
      </c>
      <c r="T92" s="471">
        <f>T76</f>
        <v>2.7399999999999999E-4</v>
      </c>
      <c r="U92" s="523">
        <f>ROUND(R92*T92,2)</f>
        <v>3140.57</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8.0699999999999999E-4</v>
      </c>
      <c r="I94" s="101">
        <f t="shared" si="14"/>
        <v>206395.75</v>
      </c>
      <c r="N94" s="818" t="s">
        <v>482</v>
      </c>
      <c r="O94" s="818"/>
      <c r="P94" s="818"/>
      <c r="Q94" s="44"/>
      <c r="R94" s="469">
        <f t="shared" si="15"/>
        <v>255756816</v>
      </c>
      <c r="S94" s="38" t="s">
        <v>6</v>
      </c>
      <c r="T94" s="471">
        <f>T73</f>
        <v>2.1499999999999999E-4</v>
      </c>
      <c r="U94" s="523">
        <f>ROUND(R94*T94,2)</f>
        <v>54987.72</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8.0699999999999999E-4</v>
      </c>
      <c r="I96" s="101">
        <f t="shared" si="14"/>
        <v>-13481.23</v>
      </c>
      <c r="N96" s="817" t="s">
        <v>483</v>
      </c>
      <c r="O96" s="818"/>
      <c r="P96" s="818"/>
      <c r="Q96" s="44"/>
      <c r="R96" s="469">
        <f t="shared" si="15"/>
        <v>-16705366</v>
      </c>
      <c r="S96" s="38" t="s">
        <v>6</v>
      </c>
      <c r="T96" s="471">
        <f>T73</f>
        <v>2.1499999999999999E-4</v>
      </c>
      <c r="U96" s="523">
        <f>ROUND(R96*T96,2)</f>
        <v>-3591.65</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2.42E-4</v>
      </c>
      <c r="I98" s="101">
        <f t="shared" ref="I98" si="16">ROUND(F98*H98,2)</f>
        <v>49.33</v>
      </c>
      <c r="N98" s="585" t="s">
        <v>556</v>
      </c>
      <c r="O98" s="585"/>
      <c r="P98" s="585"/>
      <c r="Q98" s="44"/>
      <c r="R98" s="588">
        <f>F98</f>
        <v>203862</v>
      </c>
      <c r="S98" s="586" t="s">
        <v>6</v>
      </c>
      <c r="T98" s="471">
        <f>T70</f>
        <v>2.42E-4</v>
      </c>
      <c r="U98" s="523">
        <f>ROUND(R98*T98,2)</f>
        <v>49.33</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52.372399999999999</v>
      </c>
      <c r="D104" s="774"/>
      <c r="E104" s="46">
        <f>H8</f>
        <v>1.0407999999999999</v>
      </c>
      <c r="F104" s="302">
        <f>'1461'!F104</f>
        <v>950.92</v>
      </c>
      <c r="G104" s="39" t="s">
        <v>12</v>
      </c>
      <c r="H104" s="101">
        <f>ROUND(C104*E104*F104,2)</f>
        <v>51833.88</v>
      </c>
      <c r="I104" s="104"/>
      <c r="N104" s="28" t="s">
        <v>17</v>
      </c>
      <c r="O104" s="47">
        <f>T14+T15+T20+T23+T26</f>
        <v>9.1999999999999993</v>
      </c>
      <c r="P104" s="832">
        <f>T8</f>
        <v>1.0407999999999999</v>
      </c>
      <c r="Q104" s="832"/>
      <c r="R104" s="48">
        <f>F104</f>
        <v>950.92</v>
      </c>
      <c r="S104" s="40" t="s">
        <v>12</v>
      </c>
      <c r="T104" s="529">
        <f>ROUND(O104*P104*R104,2)</f>
        <v>9105.4</v>
      </c>
      <c r="U104" s="102"/>
    </row>
    <row r="105" spans="1:21" x14ac:dyDescent="0.3">
      <c r="A105" s="49"/>
      <c r="B105" s="49" t="s">
        <v>104</v>
      </c>
      <c r="C105" s="774">
        <f>H16+H17+H21+H24+H27</f>
        <v>51.286799999999999</v>
      </c>
      <c r="D105" s="774"/>
      <c r="E105" s="46">
        <f>H8</f>
        <v>1.0407999999999999</v>
      </c>
      <c r="F105" s="302">
        <f>'1461'!F105</f>
        <v>907.92</v>
      </c>
      <c r="G105" s="39" t="s">
        <v>12</v>
      </c>
      <c r="H105" s="101">
        <f>ROUND(C105*E105*F105,2)</f>
        <v>48464.14</v>
      </c>
      <c r="N105" s="50" t="s">
        <v>13</v>
      </c>
      <c r="O105" s="47">
        <f>T16+T17+T21+T24+T27</f>
        <v>9.870000000000001</v>
      </c>
      <c r="P105" s="832">
        <f>T8</f>
        <v>1.0407999999999999</v>
      </c>
      <c r="Q105" s="832"/>
      <c r="R105" s="48">
        <f>F105</f>
        <v>907.92</v>
      </c>
      <c r="S105" s="40" t="s">
        <v>12</v>
      </c>
      <c r="T105" s="529">
        <f>ROUND(O105*P105*R105,2)</f>
        <v>9326.7900000000009</v>
      </c>
      <c r="U105" s="51"/>
    </row>
    <row r="106" spans="1:21" ht="16.2" thickBot="1" x14ac:dyDescent="0.35">
      <c r="A106" s="52"/>
      <c r="B106" s="52" t="s">
        <v>103</v>
      </c>
      <c r="C106" s="774">
        <f>H18+H19+H22+H25+H28+H29</f>
        <v>87.80510000000001</v>
      </c>
      <c r="D106" s="774"/>
      <c r="E106" s="46">
        <f>H8</f>
        <v>1.0407999999999999</v>
      </c>
      <c r="F106" s="302">
        <f>'1461'!F106</f>
        <v>910.12</v>
      </c>
      <c r="G106" s="39" t="s">
        <v>12</v>
      </c>
      <c r="H106" s="94">
        <f>ROUND(C106*E106*F106,2)</f>
        <v>83173.64</v>
      </c>
      <c r="N106" s="53" t="s">
        <v>14</v>
      </c>
      <c r="O106" s="54">
        <f>T18+T19+T22+T25+T28+T29</f>
        <v>31.84</v>
      </c>
      <c r="P106" s="832">
        <f>T8</f>
        <v>1.0407999999999999</v>
      </c>
      <c r="Q106" s="832"/>
      <c r="R106" s="48">
        <f>F106</f>
        <v>910.12</v>
      </c>
      <c r="S106" s="40" t="s">
        <v>12</v>
      </c>
      <c r="T106" s="529">
        <f>ROUND(O106*P106*R106,2)</f>
        <v>30160.53</v>
      </c>
      <c r="U106" s="51"/>
    </row>
    <row r="107" spans="1:21" ht="16.2" thickBot="1" x14ac:dyDescent="0.35">
      <c r="A107" s="55"/>
      <c r="B107" s="122" t="s">
        <v>102</v>
      </c>
      <c r="C107" s="787">
        <f>SUM(C104:C106)</f>
        <v>191.46430000000001</v>
      </c>
      <c r="D107" s="787"/>
      <c r="E107" s="123"/>
      <c r="F107" s="123"/>
      <c r="G107" s="123"/>
      <c r="H107" s="124" t="s">
        <v>100</v>
      </c>
      <c r="I107" s="101">
        <f>IF(A1=75,0,H106+H105+H104)</f>
        <v>183471.66</v>
      </c>
      <c r="N107" s="56" t="s">
        <v>89</v>
      </c>
      <c r="O107" s="57">
        <f>SUM(O104:O106)</f>
        <v>50.91</v>
      </c>
      <c r="P107" s="827" t="s">
        <v>16</v>
      </c>
      <c r="Q107" s="828"/>
      <c r="R107" s="828"/>
      <c r="S107" s="828"/>
      <c r="T107" s="828"/>
      <c r="U107" s="523">
        <f>IF(N1=75,0,T106+T105+T104)</f>
        <v>48592.72</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24</v>
      </c>
      <c r="D113" s="143">
        <v>23</v>
      </c>
      <c r="E113" s="116">
        <f>(C113+D113)/2</f>
        <v>23.5</v>
      </c>
      <c r="F113" s="126" t="s">
        <v>30</v>
      </c>
      <c r="G113" s="303">
        <f>'1461'!G113</f>
        <v>584</v>
      </c>
      <c r="I113" s="101">
        <f>ROUND(G113*E113,2)</f>
        <v>13724</v>
      </c>
      <c r="N113" s="826" t="s">
        <v>52</v>
      </c>
      <c r="O113" s="826"/>
      <c r="P113" s="825">
        <f>IF(H133=1,E113,0)</f>
        <v>23.5</v>
      </c>
      <c r="Q113" s="825"/>
      <c r="R113" s="825"/>
      <c r="S113" s="83" t="s">
        <v>30</v>
      </c>
      <c r="T113" s="58">
        <f>G113</f>
        <v>584</v>
      </c>
      <c r="U113" s="523">
        <f>ROUND(T113*P113,2)</f>
        <v>13724</v>
      </c>
    </row>
    <row r="114" spans="1:21" x14ac:dyDescent="0.3">
      <c r="A114" s="788" t="s">
        <v>444</v>
      </c>
      <c r="B114" s="809"/>
      <c r="C114" s="143">
        <v>1</v>
      </c>
      <c r="D114" s="143">
        <v>1</v>
      </c>
      <c r="E114" s="116">
        <f>C114</f>
        <v>1</v>
      </c>
      <c r="F114" s="126" t="s">
        <v>30</v>
      </c>
      <c r="G114" s="303">
        <f>'1461'!G114</f>
        <v>1838</v>
      </c>
      <c r="I114" s="101">
        <f>ROUND(G114*E114,2)</f>
        <v>1838</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606</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1597238.19</v>
      </c>
      <c r="N128" s="503"/>
      <c r="O128" s="502"/>
      <c r="P128" s="502"/>
      <c r="Q128" s="305"/>
      <c r="R128" s="305"/>
      <c r="S128" s="305"/>
      <c r="T128" s="305"/>
      <c r="U128" s="530">
        <f>SUM(U30,U85,U88,U90,U92,U94,U96,U107,U113,U114,U124,U126,U98)</f>
        <v>415841.66</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1528185.4</v>
      </c>
      <c r="N130" s="817" t="s">
        <v>494</v>
      </c>
      <c r="O130" s="818"/>
      <c r="P130" s="818"/>
      <c r="Q130" s="818"/>
      <c r="R130" s="818"/>
      <c r="S130" s="818"/>
      <c r="T130" s="818"/>
      <c r="U130" s="132">
        <f>U128-U53</f>
        <v>346788.87</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563</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346788.87</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346788.87</v>
      </c>
      <c r="I135" s="94">
        <f>ROUND(IF(E30=0,0,IF(E30&gt;250,-(((250/E30)*H135)*IF(G135="H",0.02,0.05)),IF(G135="H",-0.02*H135,-0.05*H135))),2)</f>
        <v>-17339.439999999999</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1579898.75</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Payments'!Q75</f>
        <v>-1541584.5799999998</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38314.170000000158</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38314.17</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57" t="str">
        <f>'1461'!A152</f>
        <v>(a) Additional FTE includes FTE earned through Advanced Placement, International Baccalaureate, Advanced International Certificate of Education, Industry Certified Career</v>
      </c>
      <c r="B152" s="358"/>
      <c r="C152" s="358"/>
      <c r="D152" s="358"/>
      <c r="E152" s="358"/>
      <c r="F152" s="358"/>
      <c r="G152" s="358"/>
      <c r="H152" s="358"/>
      <c r="I152" s="358"/>
      <c r="J152" s="77"/>
      <c r="K152" s="76"/>
      <c r="L152" s="76"/>
      <c r="M152" s="76"/>
      <c r="N152" s="73"/>
      <c r="O152" s="73"/>
      <c r="P152" s="73"/>
      <c r="Q152" s="73"/>
      <c r="R152" s="73"/>
      <c r="S152" s="73"/>
      <c r="T152" s="73"/>
      <c r="U152" s="73"/>
    </row>
    <row r="153" spans="1:21" ht="15.75" customHeight="1" x14ac:dyDescent="0.3">
      <c r="A153" s="363" t="s">
        <v>434</v>
      </c>
      <c r="B153" s="358"/>
      <c r="C153" s="358"/>
      <c r="D153" s="358"/>
      <c r="E153" s="358"/>
      <c r="F153" s="358"/>
      <c r="G153" s="358"/>
      <c r="H153" s="358"/>
      <c r="I153" s="358"/>
      <c r="J153" s="77"/>
      <c r="K153" s="76"/>
      <c r="L153" s="76"/>
      <c r="M153" s="76"/>
      <c r="N153" s="73"/>
      <c r="O153" s="73"/>
      <c r="P153" s="73"/>
      <c r="Q153" s="73"/>
      <c r="R153" s="73"/>
      <c r="S153" s="73"/>
      <c r="T153" s="73"/>
      <c r="U153" s="73"/>
    </row>
    <row r="154" spans="1:21" x14ac:dyDescent="0.3">
      <c r="A154" s="357" t="s">
        <v>435</v>
      </c>
      <c r="B154" s="359"/>
      <c r="C154" s="359"/>
      <c r="D154" s="359"/>
      <c r="E154" s="359"/>
      <c r="F154" s="359"/>
      <c r="G154" s="359"/>
      <c r="H154" s="359"/>
      <c r="I154" s="359"/>
      <c r="J154" s="76"/>
      <c r="K154" s="76"/>
      <c r="L154" s="76"/>
      <c r="M154" s="76"/>
      <c r="N154" s="73"/>
      <c r="O154" s="73"/>
      <c r="P154" s="73"/>
      <c r="Q154" s="73"/>
      <c r="R154" s="73"/>
      <c r="S154" s="73"/>
      <c r="T154" s="73"/>
      <c r="U154" s="73"/>
    </row>
    <row r="155" spans="1:21" s="76" customFormat="1" x14ac:dyDescent="0.3">
      <c r="A155" s="357" t="s">
        <v>436</v>
      </c>
      <c r="B155" s="359"/>
      <c r="C155" s="359"/>
      <c r="D155" s="359"/>
      <c r="E155" s="359"/>
      <c r="F155" s="359"/>
      <c r="G155" s="359"/>
      <c r="H155" s="359"/>
      <c r="I155" s="359"/>
      <c r="N155" s="816"/>
      <c r="O155" s="816"/>
      <c r="P155" s="816"/>
      <c r="Q155" s="816"/>
      <c r="R155" s="816"/>
      <c r="S155" s="816"/>
      <c r="T155" s="816"/>
      <c r="U155" s="816"/>
    </row>
    <row r="156" spans="1:21" s="76" customFormat="1" x14ac:dyDescent="0.3">
      <c r="A156" s="357" t="s">
        <v>437</v>
      </c>
      <c r="B156" s="359"/>
      <c r="C156" s="359"/>
      <c r="D156" s="359"/>
      <c r="E156" s="359"/>
      <c r="F156" s="359"/>
      <c r="G156" s="359"/>
      <c r="H156" s="359"/>
      <c r="I156" s="359"/>
      <c r="N156" s="73"/>
      <c r="O156" s="73"/>
      <c r="P156" s="73"/>
      <c r="Q156" s="73"/>
      <c r="R156" s="73"/>
      <c r="S156" s="73"/>
      <c r="T156" s="73"/>
      <c r="U156" s="73"/>
    </row>
    <row r="157" spans="1:21" s="76" customFormat="1" x14ac:dyDescent="0.25">
      <c r="A157" s="357" t="s">
        <v>438</v>
      </c>
      <c r="B157" s="359"/>
      <c r="C157" s="359"/>
      <c r="D157" s="359"/>
      <c r="E157" s="359"/>
      <c r="F157" s="359"/>
      <c r="G157" s="359"/>
      <c r="H157" s="359"/>
      <c r="I157" s="359"/>
      <c r="N157" s="78"/>
      <c r="O157" s="79"/>
      <c r="P157" s="79"/>
      <c r="Q157" s="79"/>
      <c r="R157" s="79"/>
      <c r="S157" s="79"/>
      <c r="T157" s="79"/>
      <c r="U157" s="79"/>
    </row>
    <row r="158" spans="1:21" s="76" customFormat="1" x14ac:dyDescent="0.25">
      <c r="A158" s="357" t="s">
        <v>439</v>
      </c>
      <c r="B158" s="359"/>
      <c r="C158" s="359"/>
      <c r="D158" s="359"/>
      <c r="E158" s="359"/>
      <c r="F158" s="359"/>
      <c r="G158" s="359"/>
      <c r="H158" s="359"/>
      <c r="I158" s="359"/>
      <c r="N158" s="78"/>
    </row>
    <row r="159" spans="1:21" s="76" customFormat="1" x14ac:dyDescent="0.25">
      <c r="A159" s="357" t="s">
        <v>441</v>
      </c>
      <c r="B159" s="359"/>
      <c r="C159" s="359"/>
      <c r="D159" s="359"/>
      <c r="E159" s="359"/>
      <c r="F159" s="359"/>
      <c r="G159" s="359"/>
      <c r="H159" s="359"/>
      <c r="I159" s="359"/>
      <c r="N159" s="78"/>
    </row>
    <row r="160" spans="1:21" s="76" customFormat="1" x14ac:dyDescent="0.25">
      <c r="A160" s="363" t="s">
        <v>440</v>
      </c>
      <c r="B160" s="359"/>
      <c r="C160" s="359"/>
      <c r="D160" s="359"/>
      <c r="E160" s="359"/>
      <c r="F160" s="359"/>
      <c r="G160" s="359"/>
      <c r="H160" s="359"/>
      <c r="I160" s="359"/>
      <c r="N160" s="78"/>
    </row>
    <row r="161" spans="1:14" s="76" customFormat="1" x14ac:dyDescent="0.25">
      <c r="A161" s="357" t="s">
        <v>442</v>
      </c>
      <c r="B161" s="359"/>
      <c r="C161" s="359"/>
      <c r="D161" s="359"/>
      <c r="E161" s="359"/>
      <c r="F161" s="359"/>
      <c r="G161" s="359"/>
      <c r="H161" s="359"/>
      <c r="I161" s="359"/>
      <c r="N161" s="78"/>
    </row>
    <row r="162" spans="1:14" s="76" customFormat="1" x14ac:dyDescent="0.25">
      <c r="A162" s="363" t="str">
        <f>'1461'!A162</f>
        <v>"All Adjusted ESE Riders" should include only ESE Riders.</v>
      </c>
      <c r="B162" s="359"/>
      <c r="C162" s="359"/>
      <c r="D162" s="359"/>
      <c r="E162" s="359"/>
      <c r="F162" s="359"/>
      <c r="G162" s="359"/>
      <c r="H162" s="359"/>
      <c r="I162" s="359"/>
      <c r="N162" s="78"/>
    </row>
    <row r="163" spans="1:14" s="76" customFormat="1" x14ac:dyDescent="0.25">
      <c r="A163" s="357" t="s">
        <v>445</v>
      </c>
      <c r="B163" s="359"/>
      <c r="C163" s="359"/>
      <c r="D163" s="359"/>
      <c r="E163" s="359"/>
      <c r="F163" s="359"/>
      <c r="G163" s="359"/>
      <c r="H163" s="359"/>
      <c r="I163" s="359"/>
      <c r="N163" s="78"/>
    </row>
    <row r="164" spans="1:14" s="76" customFormat="1" ht="15.75" customHeight="1" x14ac:dyDescent="0.25">
      <c r="A164" s="357" t="str">
        <f>'1461'!A164</f>
        <v xml:space="preserve">(j) Funding based on student eligibility and meals provided, if participating in the National School Lunch Program. </v>
      </c>
      <c r="B164" s="359"/>
      <c r="C164" s="359"/>
      <c r="D164" s="359"/>
      <c r="E164" s="359"/>
      <c r="F164" s="359"/>
      <c r="G164" s="359"/>
      <c r="H164" s="359"/>
      <c r="I164" s="359"/>
      <c r="N164" s="78"/>
    </row>
    <row r="165" spans="1:14" s="76" customFormat="1" ht="15.75" customHeight="1" x14ac:dyDescent="0.25">
      <c r="A165" s="357" t="s">
        <v>447</v>
      </c>
      <c r="B165" s="359"/>
      <c r="C165" s="359"/>
      <c r="D165" s="359"/>
      <c r="E165" s="359"/>
      <c r="F165" s="359"/>
      <c r="G165" s="359"/>
      <c r="H165" s="359"/>
      <c r="I165" s="359"/>
      <c r="N165" s="78"/>
    </row>
    <row r="166" spans="1:14" s="76" customFormat="1" ht="15.75" customHeight="1" x14ac:dyDescent="0.25">
      <c r="A166" s="363" t="s">
        <v>446</v>
      </c>
      <c r="B166" s="359"/>
      <c r="C166" s="359"/>
      <c r="D166" s="359"/>
      <c r="E166" s="359"/>
      <c r="F166" s="359"/>
      <c r="G166" s="359"/>
      <c r="H166" s="359"/>
      <c r="I166" s="359"/>
      <c r="N166" s="78"/>
    </row>
    <row r="167" spans="1:14" s="76" customFormat="1" ht="15.75" customHeight="1" x14ac:dyDescent="0.25">
      <c r="A167" s="357" t="s">
        <v>448</v>
      </c>
      <c r="B167" s="359"/>
      <c r="C167" s="359"/>
      <c r="D167" s="359"/>
      <c r="E167" s="359"/>
      <c r="F167" s="359"/>
      <c r="G167" s="359"/>
      <c r="H167" s="359"/>
      <c r="I167" s="359"/>
      <c r="N167" s="78"/>
    </row>
    <row r="168" spans="1:14" s="76" customFormat="1" ht="15.75" customHeight="1" x14ac:dyDescent="0.25">
      <c r="A168" s="363" t="str">
        <f>'1461'!A168</f>
        <v xml:space="preserve">unweighted full-time equivalent students. </v>
      </c>
      <c r="B168" s="359"/>
      <c r="C168" s="359"/>
      <c r="D168" s="359"/>
      <c r="E168" s="359"/>
      <c r="F168" s="359"/>
      <c r="G168" s="359"/>
      <c r="H168" s="359"/>
      <c r="I168" s="359"/>
      <c r="N168" s="78"/>
    </row>
    <row r="169" spans="1:14" s="76" customFormat="1" ht="15.75" customHeight="1" x14ac:dyDescent="0.25">
      <c r="A169" s="357" t="s">
        <v>450</v>
      </c>
      <c r="B169" s="359"/>
      <c r="C169" s="359"/>
      <c r="D169" s="359"/>
      <c r="E169" s="359"/>
      <c r="F169" s="359"/>
      <c r="G169" s="359"/>
      <c r="H169" s="359"/>
      <c r="I169" s="359"/>
      <c r="N169" s="78"/>
    </row>
    <row r="170" spans="1:14" s="76" customFormat="1" ht="15.75" customHeight="1" x14ac:dyDescent="0.25">
      <c r="A170" s="363" t="s">
        <v>449</v>
      </c>
      <c r="B170" s="359"/>
      <c r="C170" s="359"/>
      <c r="D170" s="359"/>
      <c r="E170" s="359"/>
      <c r="F170" s="359"/>
      <c r="G170" s="359"/>
      <c r="H170" s="359"/>
      <c r="I170" s="359"/>
      <c r="N170" s="78"/>
    </row>
    <row r="171" spans="1:14" s="76" customFormat="1" ht="15.75" customHeight="1" x14ac:dyDescent="0.25">
      <c r="A171" s="357"/>
      <c r="B171" s="359"/>
      <c r="C171" s="359"/>
      <c r="D171" s="359"/>
      <c r="E171" s="359"/>
      <c r="F171" s="359"/>
      <c r="G171" s="359"/>
      <c r="H171" s="359"/>
      <c r="I171" s="359"/>
      <c r="N171" s="78"/>
    </row>
    <row r="172" spans="1:14" s="76" customFormat="1" ht="15.75" customHeight="1" x14ac:dyDescent="0.3">
      <c r="A172" s="370" t="str">
        <f>'1461'!A172</f>
        <v>Administrative fees:</v>
      </c>
      <c r="B172" s="359"/>
      <c r="C172" s="359"/>
      <c r="D172" s="359"/>
      <c r="E172" s="359"/>
      <c r="F172" s="359"/>
      <c r="G172" s="359"/>
      <c r="H172" s="359"/>
      <c r="I172" s="359"/>
      <c r="J172" s="3"/>
      <c r="K172" s="3"/>
      <c r="L172" s="3"/>
      <c r="M172" s="3"/>
      <c r="N172" s="78"/>
    </row>
    <row r="173" spans="1:14" s="76" customFormat="1" ht="15.75" customHeight="1" x14ac:dyDescent="0.3">
      <c r="A173" s="374" t="str">
        <f>'1461'!A173</f>
        <v xml:space="preserve">Administrative fees charged by the school district pursuant to s. 1002.33(20)(a), F.S., shall be calculated based upon 5% of available funds from the FEFP and categorical </v>
      </c>
      <c r="B173" s="362"/>
      <c r="C173" s="362"/>
      <c r="D173" s="362"/>
      <c r="E173" s="362"/>
      <c r="F173" s="362"/>
      <c r="G173" s="362"/>
      <c r="H173" s="362"/>
      <c r="I173" s="362"/>
      <c r="J173" s="3"/>
      <c r="K173" s="3"/>
      <c r="L173" s="3"/>
      <c r="M173" s="3"/>
      <c r="N173" s="78"/>
    </row>
    <row r="174" spans="1:14" s="76" customFormat="1" ht="15.75" customHeight="1" x14ac:dyDescent="0.3">
      <c r="A174" s="375" t="str">
        <f>'1461'!A174</f>
        <v>funding for which charter students may be eligible.  To calculate the administrative fee to be withheld for schools with more than 250 students, divide the school</v>
      </c>
      <c r="B174" s="369"/>
      <c r="C174" s="369"/>
      <c r="D174" s="369"/>
      <c r="E174" s="369"/>
      <c r="F174" s="369"/>
      <c r="G174" s="369"/>
      <c r="H174" s="369"/>
      <c r="I174" s="369"/>
      <c r="J174" s="3"/>
      <c r="K174" s="3"/>
      <c r="L174" s="3"/>
      <c r="M174" s="3"/>
      <c r="N174" s="78"/>
    </row>
    <row r="175" spans="1:14" s="76" customFormat="1" ht="15.75" customHeight="1" x14ac:dyDescent="0.3">
      <c r="A175" s="375" t="s">
        <v>451</v>
      </c>
      <c r="B175" s="369"/>
      <c r="C175" s="369"/>
      <c r="D175" s="369"/>
      <c r="E175" s="369"/>
      <c r="F175" s="369"/>
      <c r="G175" s="369"/>
      <c r="H175" s="369"/>
      <c r="I175" s="369"/>
      <c r="J175" s="3"/>
      <c r="K175" s="3"/>
      <c r="L175" s="3"/>
      <c r="M175" s="3"/>
      <c r="N175" s="78"/>
    </row>
    <row r="176" spans="1:14" s="76" customFormat="1" ht="15.75" customHeight="1" x14ac:dyDescent="0.25">
      <c r="A176" s="375" t="s">
        <v>452</v>
      </c>
      <c r="B176" s="369"/>
      <c r="C176" s="369"/>
      <c r="D176" s="369"/>
      <c r="E176" s="369"/>
      <c r="F176" s="369"/>
      <c r="G176" s="369"/>
      <c r="H176" s="369"/>
      <c r="I176" s="369"/>
      <c r="N176" s="78"/>
    </row>
    <row r="177" spans="1:21" s="76" customFormat="1" ht="15.75" customHeight="1" x14ac:dyDescent="0.25">
      <c r="A177" s="374"/>
      <c r="B177" s="369"/>
      <c r="C177" s="369"/>
      <c r="D177" s="369"/>
      <c r="E177" s="369"/>
      <c r="F177" s="369"/>
      <c r="G177" s="369"/>
      <c r="H177" s="369"/>
      <c r="I177" s="369"/>
      <c r="N177" s="78"/>
    </row>
    <row r="178" spans="1:21" ht="15.75" customHeight="1" x14ac:dyDescent="0.3">
      <c r="A178" s="374" t="str">
        <f>'1461'!A178</f>
        <v xml:space="preserve">For high performing charter schools, administrative fees charged by the school district shall be calculated based upon 2% of available funds from the FEFP and categorical </v>
      </c>
      <c r="B178" s="362"/>
      <c r="C178" s="362"/>
      <c r="D178" s="362"/>
      <c r="E178" s="362"/>
      <c r="F178" s="362"/>
      <c r="G178" s="362"/>
      <c r="H178" s="362"/>
      <c r="I178" s="362"/>
      <c r="J178" s="76"/>
      <c r="K178" s="76"/>
      <c r="L178" s="76"/>
      <c r="M178" s="76"/>
      <c r="N178" s="78"/>
      <c r="O178" s="76"/>
      <c r="P178" s="76"/>
      <c r="Q178" s="76"/>
      <c r="R178" s="76"/>
      <c r="S178" s="76"/>
      <c r="T178" s="76"/>
      <c r="U178" s="76"/>
    </row>
    <row r="179" spans="1:21" ht="15.75" customHeight="1" x14ac:dyDescent="0.3">
      <c r="A179" s="375" t="str">
        <f>'1461'!A179</f>
        <v>funding for which charter students may be eligible.  To calculate the administrative fee to be withheld for schools with more than 250 students, divide the school</v>
      </c>
      <c r="B179" s="362"/>
      <c r="C179" s="362"/>
      <c r="D179" s="362"/>
      <c r="E179" s="362"/>
      <c r="F179" s="362"/>
      <c r="G179" s="362"/>
      <c r="H179" s="362"/>
      <c r="I179" s="362"/>
      <c r="J179" s="76"/>
      <c r="K179" s="76"/>
      <c r="L179" s="76"/>
      <c r="M179" s="76"/>
      <c r="N179" s="74"/>
    </row>
    <row r="180" spans="1:21" s="76" customFormat="1" ht="15.75" customHeight="1" x14ac:dyDescent="0.3">
      <c r="A180" s="375" t="str">
        <f>'1461'!A180</f>
        <v xml:space="preserve">population into 250. Multiply that fraction times the funds available, then times 2%.  </v>
      </c>
      <c r="B180" s="362"/>
      <c r="C180" s="362"/>
      <c r="D180" s="362"/>
      <c r="E180" s="362"/>
      <c r="F180" s="362"/>
      <c r="G180" s="362"/>
      <c r="H180" s="362"/>
      <c r="I180" s="362"/>
      <c r="N180" s="74"/>
      <c r="O180" s="3"/>
      <c r="P180" s="3"/>
      <c r="Q180" s="3"/>
      <c r="R180" s="3"/>
      <c r="S180" s="3"/>
      <c r="T180" s="3"/>
      <c r="U180" s="3"/>
    </row>
    <row r="181" spans="1:21" x14ac:dyDescent="0.3">
      <c r="A181" s="357"/>
      <c r="B181" s="362"/>
      <c r="C181" s="362"/>
      <c r="D181" s="362"/>
      <c r="E181" s="362"/>
      <c r="F181" s="362"/>
      <c r="G181" s="362"/>
      <c r="H181" s="362"/>
      <c r="I181" s="362"/>
      <c r="N181" s="78"/>
      <c r="O181" s="76"/>
      <c r="P181" s="76"/>
      <c r="Q181" s="76"/>
      <c r="R181" s="76"/>
      <c r="S181" s="76"/>
      <c r="T181" s="76"/>
      <c r="U181" s="76"/>
    </row>
    <row r="182" spans="1:21" x14ac:dyDescent="0.3">
      <c r="A182" s="370" t="str">
        <f>'1461'!A182</f>
        <v>Other:</v>
      </c>
      <c r="B182" s="368"/>
      <c r="C182" s="368"/>
      <c r="D182" s="368"/>
      <c r="E182" s="368"/>
      <c r="F182" s="368"/>
      <c r="G182" s="368"/>
      <c r="H182" s="368"/>
      <c r="I182" s="368"/>
      <c r="N182" s="78"/>
      <c r="O182" s="76"/>
      <c r="P182" s="76"/>
      <c r="Q182" s="76"/>
      <c r="R182" s="76"/>
      <c r="S182" s="76"/>
      <c r="T182" s="76"/>
      <c r="U182" s="76"/>
    </row>
    <row r="183" spans="1:21" x14ac:dyDescent="0.3">
      <c r="A183" s="374" t="str">
        <f>'1461'!A183</f>
        <v>FEFP and categorical funding are recalculated during the year to reflect the revised number of full-time equivalent students reported during the survey periods designated</v>
      </c>
      <c r="B183" s="362"/>
      <c r="C183" s="362"/>
      <c r="D183" s="362"/>
      <c r="E183" s="362"/>
      <c r="F183" s="362"/>
      <c r="G183" s="362"/>
      <c r="H183" s="362"/>
      <c r="I183" s="362"/>
      <c r="N183" s="78"/>
      <c r="O183" s="76"/>
      <c r="P183" s="76"/>
      <c r="Q183" s="76"/>
      <c r="R183" s="76"/>
      <c r="S183" s="76"/>
      <c r="T183" s="76"/>
      <c r="U183" s="76"/>
    </row>
    <row r="184" spans="1:21" x14ac:dyDescent="0.3">
      <c r="A184" s="375" t="str">
        <f>'1461'!A184</f>
        <v>by the Commissioner of Education.</v>
      </c>
      <c r="B184" s="369"/>
      <c r="C184" s="369"/>
      <c r="D184" s="369"/>
      <c r="E184" s="369"/>
      <c r="F184" s="369"/>
      <c r="G184" s="369"/>
      <c r="H184" s="369"/>
      <c r="I184" s="369"/>
      <c r="N184" s="74"/>
    </row>
    <row r="185" spans="1:21" x14ac:dyDescent="0.3">
      <c r="A185" s="374" t="str">
        <f>'1461'!A185</f>
        <v>Revenues flow to districts from state sources and from county tax collectors on various distribution schedules.</v>
      </c>
      <c r="B185" s="362"/>
      <c r="C185" s="362"/>
      <c r="D185" s="362"/>
      <c r="E185" s="362"/>
      <c r="F185" s="362"/>
      <c r="G185" s="362"/>
      <c r="H185" s="362"/>
      <c r="I185" s="362"/>
      <c r="N185" s="74"/>
    </row>
    <row r="186" spans="1:21" x14ac:dyDescent="0.3">
      <c r="A186" s="292"/>
      <c r="B186" s="292"/>
      <c r="C186" s="292"/>
      <c r="D186" s="292"/>
      <c r="E186" s="292"/>
      <c r="F186" s="292"/>
      <c r="G186" s="292"/>
      <c r="H186" s="292"/>
      <c r="I186" s="292"/>
      <c r="N186" s="74"/>
    </row>
    <row r="187" spans="1:21" x14ac:dyDescent="0.3">
      <c r="A187" s="74"/>
      <c r="N187" s="74"/>
    </row>
    <row r="188" spans="1:21" x14ac:dyDescent="0.3">
      <c r="A188" s="74"/>
      <c r="N188" s="74"/>
    </row>
    <row r="189" spans="1:21" x14ac:dyDescent="0.3">
      <c r="A189" s="74"/>
      <c r="N189" s="74"/>
    </row>
    <row r="190" spans="1:21" x14ac:dyDescent="0.3">
      <c r="A190" s="74"/>
      <c r="B190" s="135"/>
      <c r="C190" s="135"/>
      <c r="D190" s="135"/>
      <c r="E190" s="135"/>
      <c r="F190" s="135"/>
      <c r="G190" s="135"/>
      <c r="H190" s="135"/>
      <c r="I190" s="135"/>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5" right="0.1" top="0.5" bottom="0.5" header="0" footer="0.1"/>
  <pageSetup scale="33"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CCCC"/>
  </sheetPr>
  <dimension ref="A1:V221"/>
  <sheetViews>
    <sheetView topLeftCell="A108" workbookViewId="0">
      <selection activeCell="I139" sqref="I139"/>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256</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0.5</v>
      </c>
      <c r="D15" s="143">
        <v>1.02</v>
      </c>
      <c r="E15" s="116">
        <f t="shared" ref="E15:E29" si="1">IF(D$30=0,C15*2,C15+D15)</f>
        <v>1.52</v>
      </c>
      <c r="F15" s="859">
        <f>'1461'!F15:G15</f>
        <v>1.1180000000000001</v>
      </c>
      <c r="G15" s="859"/>
      <c r="H15" s="80">
        <f t="shared" ref="H15:H29" si="2">ROUND(E15*F15,4)</f>
        <v>1.6994</v>
      </c>
      <c r="I15" s="101">
        <f t="shared" ref="I15:I29" si="3">ROUND(ROUND(ROUND(H15*$C$8,4)*($H$8),2)*(MAX($H$9,1)),2)</f>
        <v>9429.09</v>
      </c>
      <c r="J15" s="65" t="str">
        <f>IF(ROUND(E15,2)=ROUND(SUM(E57:E59),2)," ","CHECK PK-3 LINES BELOW")</f>
        <v xml:space="preserve"> </v>
      </c>
      <c r="N15" s="818" t="s">
        <v>21</v>
      </c>
      <c r="O15" s="818"/>
      <c r="P15" s="860">
        <f t="shared" si="0"/>
        <v>1.52</v>
      </c>
      <c r="Q15" s="860"/>
      <c r="R15" s="864">
        <v>1</v>
      </c>
      <c r="S15" s="864"/>
      <c r="T15" s="95">
        <f t="shared" ref="T15:T29" si="4">ROUND(P15*R15,4)</f>
        <v>1.52</v>
      </c>
      <c r="U15" s="523">
        <f t="shared" ref="U15:U29" si="5">ROUND(ROUND(ROUND(T15*$C$8,4)*($H$8),2)*(MAX($H$9,1)),2)</f>
        <v>8433.7000000000007</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0.5</v>
      </c>
      <c r="D17" s="143">
        <v>0</v>
      </c>
      <c r="E17" s="116">
        <f t="shared" si="1"/>
        <v>0.5</v>
      </c>
      <c r="F17" s="859">
        <f>'1461'!F17:G17</f>
        <v>1</v>
      </c>
      <c r="G17" s="859"/>
      <c r="H17" s="80">
        <f t="shared" si="2"/>
        <v>0.5</v>
      </c>
      <c r="I17" s="101">
        <f t="shared" si="3"/>
        <v>2774.24</v>
      </c>
      <c r="J17" s="65" t="str">
        <f>IF(ROUND(E17,2)=ROUND(SUM(E60:E62),2)," ","CHECK 4-8 LINES BELOW")</f>
        <v xml:space="preserve"> </v>
      </c>
      <c r="N17" s="818" t="s">
        <v>23</v>
      </c>
      <c r="O17" s="818"/>
      <c r="P17" s="860">
        <f t="shared" si="0"/>
        <v>0.5</v>
      </c>
      <c r="Q17" s="860"/>
      <c r="R17" s="864">
        <v>1</v>
      </c>
      <c r="S17" s="864"/>
      <c r="T17" s="95">
        <f t="shared" si="4"/>
        <v>0.5</v>
      </c>
      <c r="U17" s="523">
        <f t="shared" si="5"/>
        <v>2774.24</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30.54</v>
      </c>
      <c r="D20" s="143">
        <v>29.21</v>
      </c>
      <c r="E20" s="116">
        <f t="shared" si="1"/>
        <v>59.75</v>
      </c>
      <c r="F20" s="859">
        <f>'1461'!F20:G20</f>
        <v>3.6970000000000001</v>
      </c>
      <c r="G20" s="859"/>
      <c r="H20" s="80">
        <f t="shared" si="2"/>
        <v>220.89580000000001</v>
      </c>
      <c r="I20" s="101">
        <f t="shared" si="3"/>
        <v>1225636.81</v>
      </c>
      <c r="N20" s="818" t="s">
        <v>79</v>
      </c>
      <c r="O20" s="818"/>
      <c r="P20" s="860">
        <f t="shared" si="0"/>
        <v>59.75</v>
      </c>
      <c r="Q20" s="860"/>
      <c r="R20" s="864">
        <v>1</v>
      </c>
      <c r="S20" s="864"/>
      <c r="T20" s="95">
        <f t="shared" si="4"/>
        <v>59.75</v>
      </c>
      <c r="U20" s="523">
        <f t="shared" si="5"/>
        <v>331521.91999999998</v>
      </c>
    </row>
    <row r="21" spans="1:21" x14ac:dyDescent="0.3">
      <c r="A21" s="776" t="s">
        <v>80</v>
      </c>
      <c r="B21" s="776"/>
      <c r="C21" s="143">
        <v>29.04</v>
      </c>
      <c r="D21" s="143">
        <v>27.78</v>
      </c>
      <c r="E21" s="116">
        <f t="shared" si="1"/>
        <v>56.82</v>
      </c>
      <c r="F21" s="859">
        <f>'1461'!F21:G21</f>
        <v>3.6970000000000001</v>
      </c>
      <c r="G21" s="859"/>
      <c r="H21" s="80">
        <f t="shared" si="2"/>
        <v>210.0635</v>
      </c>
      <c r="I21" s="101">
        <f t="shared" si="3"/>
        <v>1165533.97</v>
      </c>
      <c r="N21" s="818" t="s">
        <v>80</v>
      </c>
      <c r="O21" s="818"/>
      <c r="P21" s="860">
        <f t="shared" si="0"/>
        <v>56.82</v>
      </c>
      <c r="Q21" s="860"/>
      <c r="R21" s="864">
        <v>1</v>
      </c>
      <c r="S21" s="864"/>
      <c r="T21" s="95">
        <f t="shared" si="4"/>
        <v>56.82</v>
      </c>
      <c r="U21" s="523">
        <f t="shared" si="5"/>
        <v>315264.86</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10.5</v>
      </c>
      <c r="D23" s="143">
        <v>11.97</v>
      </c>
      <c r="E23" s="116">
        <f t="shared" si="1"/>
        <v>22.47</v>
      </c>
      <c r="F23" s="859">
        <f>'1461'!F23:G23</f>
        <v>5.992</v>
      </c>
      <c r="G23" s="859"/>
      <c r="H23" s="80">
        <f t="shared" si="2"/>
        <v>134.64019999999999</v>
      </c>
      <c r="I23" s="101">
        <f t="shared" si="3"/>
        <v>747048.99</v>
      </c>
      <c r="N23" s="818" t="s">
        <v>82</v>
      </c>
      <c r="O23" s="818"/>
      <c r="P23" s="860">
        <f t="shared" si="0"/>
        <v>22.47</v>
      </c>
      <c r="Q23" s="860"/>
      <c r="R23" s="864">
        <v>1</v>
      </c>
      <c r="S23" s="864"/>
      <c r="T23" s="95">
        <f t="shared" si="4"/>
        <v>22.47</v>
      </c>
      <c r="U23" s="523">
        <f t="shared" si="5"/>
        <v>124674.44</v>
      </c>
    </row>
    <row r="24" spans="1:21" x14ac:dyDescent="0.3">
      <c r="A24" s="776" t="s">
        <v>83</v>
      </c>
      <c r="B24" s="776"/>
      <c r="C24" s="143">
        <v>11</v>
      </c>
      <c r="D24" s="143">
        <v>12.53</v>
      </c>
      <c r="E24" s="116">
        <f t="shared" si="1"/>
        <v>23.53</v>
      </c>
      <c r="F24" s="859">
        <f>'1461'!F24:G24</f>
        <v>5.992</v>
      </c>
      <c r="G24" s="859"/>
      <c r="H24" s="80">
        <f t="shared" si="2"/>
        <v>140.99180000000001</v>
      </c>
      <c r="I24" s="101">
        <f t="shared" si="3"/>
        <v>782290.74</v>
      </c>
      <c r="N24" s="818" t="s">
        <v>83</v>
      </c>
      <c r="O24" s="818"/>
      <c r="P24" s="860">
        <f t="shared" si="0"/>
        <v>23.53</v>
      </c>
      <c r="Q24" s="860"/>
      <c r="R24" s="864">
        <v>1</v>
      </c>
      <c r="S24" s="864"/>
      <c r="T24" s="95">
        <f t="shared" si="4"/>
        <v>23.53</v>
      </c>
      <c r="U24" s="523">
        <f t="shared" si="5"/>
        <v>130555.83</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82.08</v>
      </c>
      <c r="D30" s="94">
        <f>SUM(D14:D29)</f>
        <v>82.51</v>
      </c>
      <c r="E30" s="94">
        <f>SUM(E14:E29)</f>
        <v>164.59</v>
      </c>
      <c r="F30" s="795"/>
      <c r="G30" s="795"/>
      <c r="H30" s="99">
        <f>SUM(H14:H29)</f>
        <v>708.79070000000002</v>
      </c>
      <c r="I30" s="94">
        <f>SUM(I14:I29)</f>
        <v>3932713.8400000008</v>
      </c>
      <c r="N30" s="862" t="s">
        <v>5</v>
      </c>
      <c r="O30" s="862"/>
      <c r="P30" s="863">
        <f>SUM(P14:P29)</f>
        <v>164.59</v>
      </c>
      <c r="Q30" s="863"/>
      <c r="R30" s="852"/>
      <c r="S30" s="852"/>
      <c r="T30" s="100">
        <f>SUM(T14:T29)</f>
        <v>164.59</v>
      </c>
      <c r="U30" s="523">
        <f>SUM(U14:U29)</f>
        <v>913224.98999999987</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708.79070000000002</v>
      </c>
      <c r="F46" s="34"/>
      <c r="G46" s="106"/>
      <c r="H46" s="107" t="s">
        <v>98</v>
      </c>
      <c r="I46" s="94">
        <f>SUM(I44,I30)</f>
        <v>3932713.8400000008</v>
      </c>
      <c r="N46" s="847" t="s">
        <v>44</v>
      </c>
      <c r="O46" s="847"/>
      <c r="P46" s="847"/>
      <c r="Q46" s="847"/>
      <c r="R46" s="35">
        <f>R44+T30</f>
        <v>164.59</v>
      </c>
      <c r="S46" s="852" t="s">
        <v>42</v>
      </c>
      <c r="T46" s="852"/>
      <c r="U46" s="108">
        <f>SUM(U44,U30)</f>
        <v>913224.98999999987</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3280803.5900000003</v>
      </c>
      <c r="G51" s="109" t="s">
        <v>6</v>
      </c>
      <c r="H51" s="452">
        <v>5.5899999999999998E-2</v>
      </c>
      <c r="I51" s="101">
        <f>ROUND(F51*H51,2)</f>
        <v>183396.92</v>
      </c>
      <c r="N51" s="457"/>
      <c r="O51" s="458" t="s">
        <v>576</v>
      </c>
      <c r="P51" s="28"/>
      <c r="Q51" s="44" t="s">
        <v>461</v>
      </c>
      <c r="R51" s="459">
        <f>U30</f>
        <v>913224.98999999987</v>
      </c>
      <c r="S51" s="460" t="s">
        <v>6</v>
      </c>
      <c r="T51" s="461">
        <v>5.5899999999999998E-2</v>
      </c>
      <c r="U51" s="453">
        <f>I51</f>
        <v>183396.92</v>
      </c>
    </row>
    <row r="52" spans="1:22" x14ac:dyDescent="0.3">
      <c r="A52" s="26"/>
      <c r="B52" s="617" t="s">
        <v>580</v>
      </c>
      <c r="C52" s="26"/>
      <c r="D52" s="26"/>
      <c r="E52" s="43" t="s">
        <v>461</v>
      </c>
      <c r="F52" s="451">
        <v>3280803.5900000003</v>
      </c>
      <c r="G52" s="109" t="s">
        <v>6</v>
      </c>
      <c r="H52" s="452">
        <v>1.0699999999999999E-2</v>
      </c>
      <c r="I52" s="101">
        <f>ROUND(F52*H52,2)</f>
        <v>35104.6</v>
      </c>
      <c r="N52" s="28"/>
      <c r="O52" s="618" t="s">
        <v>579</v>
      </c>
      <c r="P52" s="28"/>
      <c r="Q52" s="44" t="s">
        <v>461</v>
      </c>
      <c r="R52" s="459">
        <f>U30</f>
        <v>913224.98999999987</v>
      </c>
      <c r="S52" s="460" t="s">
        <v>6</v>
      </c>
      <c r="T52" s="461">
        <v>1.0699999999999999E-2</v>
      </c>
      <c r="U52" s="462">
        <f>I52</f>
        <v>35104.6</v>
      </c>
    </row>
    <row r="53" spans="1:22" x14ac:dyDescent="0.3">
      <c r="A53" s="26"/>
      <c r="B53" s="81" t="s">
        <v>462</v>
      </c>
      <c r="C53" s="26"/>
      <c r="D53" s="26"/>
      <c r="E53" s="43"/>
      <c r="F53" s="451"/>
      <c r="G53" s="109"/>
      <c r="H53" s="452"/>
      <c r="I53" s="97">
        <f>SUM(I51:I52)</f>
        <v>218501.52000000002</v>
      </c>
      <c r="N53" s="28"/>
      <c r="O53" s="434" t="s">
        <v>462</v>
      </c>
      <c r="P53" s="28"/>
      <c r="Q53" s="44"/>
      <c r="R53" s="459"/>
      <c r="S53" s="460"/>
      <c r="T53" s="461"/>
      <c r="U53" s="453">
        <f>SUM(U51:U52)</f>
        <v>218501.52000000002</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IF(D$72=0,C57*2,C57+D57)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0.5</v>
      </c>
      <c r="D59" s="143">
        <v>1.02</v>
      </c>
      <c r="E59" s="116">
        <f>IF(D$66=0,C59*2,C59+D59)</f>
        <v>1.52</v>
      </c>
      <c r="F59" s="493" t="s">
        <v>498</v>
      </c>
      <c r="G59" s="493">
        <v>253</v>
      </c>
      <c r="H59" s="507">
        <f>'1461'!H59</f>
        <v>6896</v>
      </c>
      <c r="I59" s="101">
        <f t="shared" si="11"/>
        <v>10481.92</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IF(D$66=0,C60*2,C60+D60)</f>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0.5</v>
      </c>
      <c r="D61" s="143">
        <v>0</v>
      </c>
      <c r="E61" s="116">
        <f>IF(D$66=0,C61*2,C61+D61)</f>
        <v>0.5</v>
      </c>
      <c r="F61" s="494" t="s">
        <v>13</v>
      </c>
      <c r="G61" s="493">
        <v>252</v>
      </c>
      <c r="H61" s="507">
        <f>'1461'!H61</f>
        <v>3506</v>
      </c>
      <c r="I61" s="101">
        <f t="shared" si="11"/>
        <v>1753</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IF(D$66=0,C62*2,C62+D62)</f>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1</v>
      </c>
      <c r="D66" s="97">
        <f>SUM(D57:D65)</f>
        <v>1.02</v>
      </c>
      <c r="E66" s="97">
        <f>SUM(E57:E65)</f>
        <v>2.02</v>
      </c>
      <c r="F66" s="779" t="s">
        <v>507</v>
      </c>
      <c r="G66" s="779"/>
      <c r="H66" s="779"/>
      <c r="I66" s="97">
        <f>SUM(I57:I65)</f>
        <v>12234.92</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164.59</v>
      </c>
      <c r="D69" s="789" t="s">
        <v>474</v>
      </c>
      <c r="E69" s="789"/>
      <c r="F69" s="789"/>
      <c r="G69" s="789"/>
      <c r="H69" s="299">
        <f>'1461'!H69</f>
        <v>210166.87</v>
      </c>
      <c r="I69" s="113"/>
      <c r="N69" s="817" t="s">
        <v>467</v>
      </c>
      <c r="O69" s="818"/>
      <c r="P69" s="41">
        <f>P30</f>
        <v>164.59</v>
      </c>
      <c r="Q69" s="842" t="s">
        <v>469</v>
      </c>
      <c r="R69" s="843"/>
      <c r="S69" s="843"/>
      <c r="T69" s="831">
        <f>H69</f>
        <v>210166.87</v>
      </c>
      <c r="U69" s="831"/>
    </row>
    <row r="70" spans="1:22" x14ac:dyDescent="0.3">
      <c r="B70" s="69"/>
      <c r="G70" s="42" t="s">
        <v>12</v>
      </c>
      <c r="H70" s="114">
        <f>ROUND(C69/H69,6)</f>
        <v>7.8299999999999995E-4</v>
      </c>
      <c r="I70" s="115"/>
      <c r="N70" s="818"/>
      <c r="O70" s="818"/>
      <c r="P70" s="818"/>
      <c r="Q70" s="818"/>
      <c r="R70" s="818"/>
      <c r="S70" s="818"/>
      <c r="T70" s="836">
        <f>ROUND(P69/T69,6)</f>
        <v>7.8299999999999995E-4</v>
      </c>
      <c r="U70" s="836"/>
    </row>
    <row r="71" spans="1:22" x14ac:dyDescent="0.3">
      <c r="A71" s="492" t="s">
        <v>510</v>
      </c>
      <c r="N71" s="503" t="s">
        <v>518</v>
      </c>
      <c r="O71" s="51"/>
      <c r="P71" s="51"/>
      <c r="Q71" s="51"/>
      <c r="R71" s="51"/>
      <c r="S71" s="51"/>
      <c r="T71" s="51"/>
      <c r="U71" s="51"/>
    </row>
    <row r="72" spans="1:22" x14ac:dyDescent="0.3">
      <c r="A72" s="775" t="s">
        <v>464</v>
      </c>
      <c r="B72" s="776"/>
      <c r="C72" s="112">
        <f>H30</f>
        <v>708.79070000000002</v>
      </c>
      <c r="D72" s="789" t="s">
        <v>475</v>
      </c>
      <c r="E72" s="789"/>
      <c r="F72" s="789"/>
      <c r="G72" s="789"/>
      <c r="H72" s="300">
        <f>'1461'!H72</f>
        <v>237198.6</v>
      </c>
      <c r="I72" s="116"/>
      <c r="N72" s="817" t="s">
        <v>468</v>
      </c>
      <c r="O72" s="818"/>
      <c r="P72" s="41">
        <f>T30</f>
        <v>164.59</v>
      </c>
      <c r="Q72" s="842" t="s">
        <v>470</v>
      </c>
      <c r="R72" s="843"/>
      <c r="S72" s="843"/>
      <c r="T72" s="831">
        <f>H72</f>
        <v>237198.6</v>
      </c>
      <c r="U72" s="831"/>
    </row>
    <row r="73" spans="1:22" x14ac:dyDescent="0.3">
      <c r="G73" s="42" t="s">
        <v>12</v>
      </c>
      <c r="H73" s="114">
        <f>ROUND(C72/H72,6)</f>
        <v>2.9880000000000002E-3</v>
      </c>
      <c r="I73" s="114"/>
      <c r="N73" s="818"/>
      <c r="O73" s="818"/>
      <c r="P73" s="818"/>
      <c r="Q73" s="818"/>
      <c r="R73" s="818"/>
      <c r="S73" s="818"/>
      <c r="T73" s="836">
        <f>ROUND(P72/T72,6)</f>
        <v>6.9399999999999996E-4</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164.59</v>
      </c>
      <c r="D75" s="788" t="s">
        <v>476</v>
      </c>
      <c r="E75" s="788"/>
      <c r="F75" s="788"/>
      <c r="G75" s="788"/>
      <c r="H75" s="299">
        <f>'1461'!H75</f>
        <v>185588.37</v>
      </c>
      <c r="I75" s="113"/>
      <c r="N75" s="817" t="s">
        <v>466</v>
      </c>
      <c r="O75" s="818"/>
      <c r="P75" s="41">
        <f>P30</f>
        <v>164.59</v>
      </c>
      <c r="Q75" s="838" t="s">
        <v>471</v>
      </c>
      <c r="R75" s="839"/>
      <c r="S75" s="839"/>
      <c r="T75" s="831">
        <f>H75</f>
        <v>185588.37</v>
      </c>
      <c r="U75" s="831"/>
    </row>
    <row r="76" spans="1:22" x14ac:dyDescent="0.3">
      <c r="B76" s="69"/>
      <c r="G76" s="42" t="s">
        <v>12</v>
      </c>
      <c r="H76" s="114">
        <f>ROUND(C75/H75,6)</f>
        <v>8.8699999999999998E-4</v>
      </c>
      <c r="I76" s="115"/>
      <c r="N76" s="818"/>
      <c r="O76" s="818"/>
      <c r="P76" s="818"/>
      <c r="Q76" s="818"/>
      <c r="R76" s="818"/>
      <c r="S76" s="818"/>
      <c r="T76" s="836">
        <f>ROUND(P75/T75,6)</f>
        <v>8.8699999999999998E-4</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164.59</v>
      </c>
      <c r="D78" s="784" t="s">
        <v>477</v>
      </c>
      <c r="E78" s="784"/>
      <c r="F78" s="784"/>
      <c r="G78" s="784"/>
      <c r="H78" s="299">
        <f>'1461'!H78</f>
        <v>209834.86</v>
      </c>
      <c r="I78" s="113"/>
      <c r="N78" s="817" t="s">
        <v>466</v>
      </c>
      <c r="O78" s="818"/>
      <c r="P78" s="41">
        <f>P30</f>
        <v>164.59</v>
      </c>
      <c r="Q78" s="840" t="s">
        <v>472</v>
      </c>
      <c r="R78" s="841"/>
      <c r="S78" s="841"/>
      <c r="T78" s="831">
        <f>H78</f>
        <v>209834.86</v>
      </c>
      <c r="U78" s="831"/>
    </row>
    <row r="79" spans="1:22" x14ac:dyDescent="0.3">
      <c r="B79" s="69"/>
      <c r="G79" s="42" t="s">
        <v>12</v>
      </c>
      <c r="H79" s="114">
        <f>ROUND(C78/H78,6)</f>
        <v>7.8399999999999997E-4</v>
      </c>
      <c r="I79" s="115"/>
      <c r="N79" s="818"/>
      <c r="O79" s="818"/>
      <c r="P79" s="818"/>
      <c r="Q79" s="818"/>
      <c r="R79" s="818"/>
      <c r="S79" s="818"/>
      <c r="T79" s="836">
        <f>ROUND(P78/T78,6)</f>
        <v>7.8399999999999997E-4</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164.59</v>
      </c>
      <c r="D81" s="788" t="s">
        <v>478</v>
      </c>
      <c r="E81" s="788"/>
      <c r="F81" s="788"/>
      <c r="G81" s="788"/>
      <c r="H81" s="299">
        <f>'1461'!H81</f>
        <v>185256.36</v>
      </c>
      <c r="I81" s="113"/>
      <c r="N81" s="817" t="s">
        <v>479</v>
      </c>
      <c r="O81" s="818"/>
      <c r="P81" s="41">
        <f>P30</f>
        <v>164.59</v>
      </c>
      <c r="Q81" s="838" t="s">
        <v>480</v>
      </c>
      <c r="R81" s="839"/>
      <c r="S81" s="839"/>
      <c r="T81" s="831">
        <f>H81</f>
        <v>185256.36</v>
      </c>
      <c r="U81" s="831"/>
    </row>
    <row r="82" spans="1:21" x14ac:dyDescent="0.3">
      <c r="B82" s="69"/>
      <c r="G82" s="42" t="s">
        <v>12</v>
      </c>
      <c r="H82" s="114">
        <f>ROUND(C81/H81,6)</f>
        <v>8.8800000000000001E-4</v>
      </c>
      <c r="I82" s="115"/>
      <c r="N82" s="818"/>
      <c r="O82" s="818"/>
      <c r="P82" s="818"/>
      <c r="Q82" s="818"/>
      <c r="R82" s="818"/>
      <c r="S82" s="818"/>
      <c r="T82" s="836">
        <f>ROUND(P81/T81,6)</f>
        <v>8.8800000000000001E-4</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7.8399999999999997E-4</v>
      </c>
      <c r="I85" s="101">
        <f>ROUND(F85*H85,2)</f>
        <v>36182.449999999997</v>
      </c>
      <c r="N85" s="503" t="s">
        <v>514</v>
      </c>
      <c r="O85" s="51"/>
      <c r="P85" s="51"/>
      <c r="Q85" s="44"/>
      <c r="R85" s="469">
        <f>F85</f>
        <v>46151079</v>
      </c>
      <c r="S85" s="38" t="s">
        <v>6</v>
      </c>
      <c r="T85" s="471">
        <f>T79</f>
        <v>7.8399999999999997E-4</v>
      </c>
      <c r="U85" s="523">
        <f>ROUND(R85*T85,2)</f>
        <v>36182.449999999997</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7.8299999999999995E-4</v>
      </c>
      <c r="I88" s="101">
        <f>ROUND(F88*H88,2)</f>
        <v>0</v>
      </c>
      <c r="N88" s="837" t="s">
        <v>99</v>
      </c>
      <c r="O88" s="818"/>
      <c r="P88" s="818"/>
      <c r="Q88" s="44"/>
      <c r="R88" s="469">
        <f>F88</f>
        <v>0</v>
      </c>
      <c r="S88" s="38" t="s">
        <v>6</v>
      </c>
      <c r="T88" s="471">
        <f>T70</f>
        <v>7.8299999999999995E-4</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8.8800000000000001E-4</v>
      </c>
      <c r="I90" s="101">
        <f>ROUND(F90*H90,2)</f>
        <v>16955.77</v>
      </c>
      <c r="N90" s="503" t="s">
        <v>515</v>
      </c>
      <c r="O90" s="51"/>
      <c r="P90" s="51"/>
      <c r="Q90" s="44"/>
      <c r="R90" s="469">
        <f>F90</f>
        <v>19094340</v>
      </c>
      <c r="S90" s="38" t="s">
        <v>6</v>
      </c>
      <c r="T90" s="471">
        <f>T82</f>
        <v>8.8800000000000001E-4</v>
      </c>
      <c r="U90" s="523">
        <f>ROUND(R90*T90,2)</f>
        <v>16955.77</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8.8699999999999998E-4</v>
      </c>
      <c r="I92" s="101">
        <f t="shared" ref="I92:I96" si="14">ROUND(F92*H92,2)</f>
        <v>10166.73</v>
      </c>
      <c r="N92" s="503" t="s">
        <v>516</v>
      </c>
      <c r="O92" s="51"/>
      <c r="P92" s="51"/>
      <c r="Q92" s="44"/>
      <c r="R92" s="469">
        <f t="shared" ref="R92:R96" si="15">F92</f>
        <v>11461928</v>
      </c>
      <c r="S92" s="38" t="s">
        <v>6</v>
      </c>
      <c r="T92" s="471">
        <f>T76</f>
        <v>8.8699999999999998E-4</v>
      </c>
      <c r="U92" s="523">
        <f>ROUND(R92*T92,2)</f>
        <v>10166.73</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2.9880000000000002E-3</v>
      </c>
      <c r="I94" s="101">
        <f t="shared" si="14"/>
        <v>764201.37</v>
      </c>
      <c r="N94" s="818" t="s">
        <v>482</v>
      </c>
      <c r="O94" s="818"/>
      <c r="P94" s="818"/>
      <c r="Q94" s="44"/>
      <c r="R94" s="469">
        <f t="shared" si="15"/>
        <v>255756816</v>
      </c>
      <c r="S94" s="38" t="s">
        <v>6</v>
      </c>
      <c r="T94" s="471">
        <f>T73</f>
        <v>6.9399999999999996E-4</v>
      </c>
      <c r="U94" s="523">
        <f>ROUND(R94*T94,2)</f>
        <v>177495.23</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2.9880000000000002E-3</v>
      </c>
      <c r="I96" s="101">
        <f t="shared" si="14"/>
        <v>-49915.63</v>
      </c>
      <c r="N96" s="817" t="s">
        <v>483</v>
      </c>
      <c r="O96" s="818"/>
      <c r="P96" s="818"/>
      <c r="Q96" s="44"/>
      <c r="R96" s="469">
        <f t="shared" si="15"/>
        <v>-16705366</v>
      </c>
      <c r="S96" s="38" t="s">
        <v>6</v>
      </c>
      <c r="T96" s="471">
        <f>T73</f>
        <v>6.9399999999999996E-4</v>
      </c>
      <c r="U96" s="523">
        <f>ROUND(R96*T96,2)</f>
        <v>-11593.52</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7.8299999999999995E-4</v>
      </c>
      <c r="I98" s="101">
        <f t="shared" ref="I98" si="16">ROUND(F98*H98,2)</f>
        <v>159.62</v>
      </c>
      <c r="N98" s="585" t="s">
        <v>556</v>
      </c>
      <c r="O98" s="585"/>
      <c r="P98" s="585"/>
      <c r="Q98" s="44"/>
      <c r="R98" s="588">
        <f>F98</f>
        <v>203862</v>
      </c>
      <c r="S98" s="586" t="s">
        <v>6</v>
      </c>
      <c r="T98" s="471">
        <f>T70</f>
        <v>7.8299999999999995E-4</v>
      </c>
      <c r="U98" s="523">
        <f>ROUND(R98*T98,2)</f>
        <v>159.62</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357.23540000000003</v>
      </c>
      <c r="D104" s="774"/>
      <c r="E104" s="46">
        <f>H8</f>
        <v>1.0407999999999999</v>
      </c>
      <c r="F104" s="302">
        <f>'1461'!F104</f>
        <v>950.92</v>
      </c>
      <c r="G104" s="39" t="s">
        <v>12</v>
      </c>
      <c r="H104" s="101">
        <f>ROUND(C104*E104*F104,2)</f>
        <v>353562.14</v>
      </c>
      <c r="I104" s="104"/>
      <c r="N104" s="28" t="s">
        <v>17</v>
      </c>
      <c r="O104" s="47">
        <f>T14+T15+T20+T23+T26</f>
        <v>83.740000000000009</v>
      </c>
      <c r="P104" s="832">
        <f>T8</f>
        <v>1.0407999999999999</v>
      </c>
      <c r="Q104" s="832"/>
      <c r="R104" s="48">
        <f>F104</f>
        <v>950.92</v>
      </c>
      <c r="S104" s="40" t="s">
        <v>12</v>
      </c>
      <c r="T104" s="529">
        <f>ROUND(O104*P104*R104,2)</f>
        <v>82878.95</v>
      </c>
      <c r="U104" s="102"/>
    </row>
    <row r="105" spans="1:21" x14ac:dyDescent="0.3">
      <c r="A105" s="49"/>
      <c r="B105" s="49" t="s">
        <v>104</v>
      </c>
      <c r="C105" s="774">
        <f>H16+H17+H21+H24+H27</f>
        <v>351.55529999999999</v>
      </c>
      <c r="D105" s="774"/>
      <c r="E105" s="46">
        <f>H8</f>
        <v>1.0407999999999999</v>
      </c>
      <c r="F105" s="302">
        <f>'1461'!F105</f>
        <v>907.92</v>
      </c>
      <c r="G105" s="39" t="s">
        <v>12</v>
      </c>
      <c r="H105" s="101">
        <f>ROUND(C105*E105*F105,2)</f>
        <v>332206.8</v>
      </c>
      <c r="N105" s="50" t="s">
        <v>13</v>
      </c>
      <c r="O105" s="47">
        <f>T16+T17+T21+T24+T27</f>
        <v>80.849999999999994</v>
      </c>
      <c r="P105" s="832">
        <f>T8</f>
        <v>1.0407999999999999</v>
      </c>
      <c r="Q105" s="832"/>
      <c r="R105" s="48">
        <f>F105</f>
        <v>907.92</v>
      </c>
      <c r="S105" s="40" t="s">
        <v>12</v>
      </c>
      <c r="T105" s="529">
        <f>ROUND(O105*P105*R105,2)</f>
        <v>76400.27</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708.79070000000002</v>
      </c>
      <c r="D107" s="787"/>
      <c r="E107" s="123"/>
      <c r="F107" s="123"/>
      <c r="G107" s="123"/>
      <c r="H107" s="124" t="s">
        <v>100</v>
      </c>
      <c r="I107" s="101">
        <f>IF(A1=75,0,H106+H105+H104)</f>
        <v>685768.94</v>
      </c>
      <c r="N107" s="56" t="s">
        <v>89</v>
      </c>
      <c r="O107" s="57">
        <f>SUM(O104:O106)</f>
        <v>164.59</v>
      </c>
      <c r="P107" s="827" t="s">
        <v>16</v>
      </c>
      <c r="Q107" s="828"/>
      <c r="R107" s="828"/>
      <c r="S107" s="828"/>
      <c r="T107" s="828"/>
      <c r="U107" s="523">
        <f>IF(N1=75,0,T106+T105+T104)</f>
        <v>159279.22</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5408468.0100000016</v>
      </c>
      <c r="N128" s="503"/>
      <c r="O128" s="502"/>
      <c r="P128" s="502"/>
      <c r="Q128" s="305"/>
      <c r="R128" s="305"/>
      <c r="S128" s="305"/>
      <c r="T128" s="305"/>
      <c r="U128" s="530">
        <f>SUM(U30,U85,U88,U90,U92,U94,U96,U107,U113,U114,U124,U126,U98)</f>
        <v>1301870.49</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5189966.4900000021</v>
      </c>
      <c r="N130" s="817" t="s">
        <v>494</v>
      </c>
      <c r="O130" s="818"/>
      <c r="P130" s="818"/>
      <c r="Q130" s="818"/>
      <c r="R130" s="818"/>
      <c r="S130" s="818"/>
      <c r="T130" s="818"/>
      <c r="U130" s="132">
        <f>U128-U53</f>
        <v>1083368.97</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1083368.97</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1083368.97</v>
      </c>
      <c r="I135" s="94">
        <f>ROUND(IF(E30=0,0,IF(E30&gt;250,-(((250/E30)*H135)*IF(G135="H",0.02,0.05)),IF(G135="H",-0.02*H135,-0.05*H135))),2)</f>
        <v>-54168.45</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5354299.5600000015</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Payments'!Q76</f>
        <v>-5282986.3699999992</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71313.190000002272</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71313.19</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57" t="str">
        <f>'1461'!A152</f>
        <v>(a) Additional FTE includes FTE earned through Advanced Placement, International Baccalaureate, Advanced International Certificate of Education, Industry Certified Career</v>
      </c>
      <c r="B152" s="358"/>
      <c r="C152" s="358"/>
      <c r="D152" s="358"/>
      <c r="E152" s="358"/>
      <c r="F152" s="358"/>
      <c r="G152" s="358"/>
      <c r="H152" s="358"/>
      <c r="I152" s="358"/>
      <c r="J152" s="77"/>
      <c r="K152" s="76"/>
      <c r="L152" s="76"/>
      <c r="M152" s="76"/>
      <c r="N152" s="73"/>
      <c r="O152" s="73"/>
      <c r="P152" s="73"/>
      <c r="Q152" s="73"/>
      <c r="R152" s="73"/>
      <c r="S152" s="73"/>
      <c r="T152" s="73"/>
      <c r="U152" s="73"/>
    </row>
    <row r="153" spans="1:21" ht="15.75" customHeight="1" x14ac:dyDescent="0.3">
      <c r="A153" s="363" t="s">
        <v>434</v>
      </c>
      <c r="B153" s="358"/>
      <c r="C153" s="358"/>
      <c r="D153" s="358"/>
      <c r="E153" s="358"/>
      <c r="F153" s="358"/>
      <c r="G153" s="358"/>
      <c r="H153" s="358"/>
      <c r="I153" s="358"/>
      <c r="J153" s="77"/>
      <c r="K153" s="76"/>
      <c r="L153" s="76"/>
      <c r="M153" s="76"/>
      <c r="N153" s="73"/>
      <c r="O153" s="73"/>
      <c r="P153" s="73"/>
      <c r="Q153" s="73"/>
      <c r="R153" s="73"/>
      <c r="S153" s="73"/>
      <c r="T153" s="73"/>
      <c r="U153" s="73"/>
    </row>
    <row r="154" spans="1:21" x14ac:dyDescent="0.3">
      <c r="A154" s="357" t="s">
        <v>435</v>
      </c>
      <c r="B154" s="359"/>
      <c r="C154" s="359"/>
      <c r="D154" s="359"/>
      <c r="E154" s="359"/>
      <c r="F154" s="359"/>
      <c r="G154" s="359"/>
      <c r="H154" s="359"/>
      <c r="I154" s="359"/>
      <c r="J154" s="76"/>
      <c r="K154" s="76"/>
      <c r="L154" s="76"/>
      <c r="M154" s="76"/>
      <c r="N154" s="73"/>
      <c r="O154" s="73"/>
      <c r="P154" s="73"/>
      <c r="Q154" s="73"/>
      <c r="R154" s="73"/>
      <c r="S154" s="73"/>
      <c r="T154" s="73"/>
      <c r="U154" s="73"/>
    </row>
    <row r="155" spans="1:21" s="76" customFormat="1" x14ac:dyDescent="0.3">
      <c r="A155" s="357" t="s">
        <v>436</v>
      </c>
      <c r="B155" s="359"/>
      <c r="C155" s="359"/>
      <c r="D155" s="359"/>
      <c r="E155" s="359"/>
      <c r="F155" s="359"/>
      <c r="G155" s="359"/>
      <c r="H155" s="359"/>
      <c r="I155" s="359"/>
      <c r="N155" s="816"/>
      <c r="O155" s="816"/>
      <c r="P155" s="816"/>
      <c r="Q155" s="816"/>
      <c r="R155" s="816"/>
      <c r="S155" s="816"/>
      <c r="T155" s="816"/>
      <c r="U155" s="816"/>
    </row>
    <row r="156" spans="1:21" s="76" customFormat="1" x14ac:dyDescent="0.3">
      <c r="A156" s="357" t="s">
        <v>437</v>
      </c>
      <c r="B156" s="359"/>
      <c r="C156" s="359"/>
      <c r="D156" s="359"/>
      <c r="E156" s="359"/>
      <c r="F156" s="359"/>
      <c r="G156" s="359"/>
      <c r="H156" s="359"/>
      <c r="I156" s="359"/>
      <c r="N156" s="73"/>
      <c r="O156" s="73"/>
      <c r="P156" s="73"/>
      <c r="Q156" s="73"/>
      <c r="R156" s="73"/>
      <c r="S156" s="73"/>
      <c r="T156" s="73"/>
      <c r="U156" s="73"/>
    </row>
    <row r="157" spans="1:21" s="76" customFormat="1" x14ac:dyDescent="0.25">
      <c r="A157" s="357" t="s">
        <v>438</v>
      </c>
      <c r="B157" s="359"/>
      <c r="C157" s="359"/>
      <c r="D157" s="359"/>
      <c r="E157" s="359"/>
      <c r="F157" s="359"/>
      <c r="G157" s="359"/>
      <c r="H157" s="359"/>
      <c r="I157" s="359"/>
      <c r="N157" s="78"/>
      <c r="O157" s="79"/>
      <c r="P157" s="79"/>
      <c r="Q157" s="79"/>
      <c r="R157" s="79"/>
      <c r="S157" s="79"/>
      <c r="T157" s="79"/>
      <c r="U157" s="79"/>
    </row>
    <row r="158" spans="1:21" s="76" customFormat="1" x14ac:dyDescent="0.25">
      <c r="A158" s="357" t="s">
        <v>439</v>
      </c>
      <c r="B158" s="359"/>
      <c r="C158" s="359"/>
      <c r="D158" s="359"/>
      <c r="E158" s="359"/>
      <c r="F158" s="359"/>
      <c r="G158" s="359"/>
      <c r="H158" s="359"/>
      <c r="I158" s="359"/>
      <c r="N158" s="78"/>
    </row>
    <row r="159" spans="1:21" s="76" customFormat="1" x14ac:dyDescent="0.25">
      <c r="A159" s="357" t="s">
        <v>441</v>
      </c>
      <c r="B159" s="359"/>
      <c r="C159" s="359"/>
      <c r="D159" s="359"/>
      <c r="E159" s="359"/>
      <c r="F159" s="359"/>
      <c r="G159" s="359"/>
      <c r="H159" s="359"/>
      <c r="I159" s="359"/>
      <c r="N159" s="78"/>
    </row>
    <row r="160" spans="1:21" s="76" customFormat="1" x14ac:dyDescent="0.25">
      <c r="A160" s="363" t="s">
        <v>440</v>
      </c>
      <c r="B160" s="359"/>
      <c r="C160" s="359"/>
      <c r="D160" s="359"/>
      <c r="E160" s="359"/>
      <c r="F160" s="359"/>
      <c r="G160" s="359"/>
      <c r="H160" s="359"/>
      <c r="I160" s="359"/>
      <c r="N160" s="78"/>
    </row>
    <row r="161" spans="1:14" s="76" customFormat="1" x14ac:dyDescent="0.25">
      <c r="A161" s="357" t="s">
        <v>442</v>
      </c>
      <c r="B161" s="359"/>
      <c r="C161" s="359"/>
      <c r="D161" s="359"/>
      <c r="E161" s="359"/>
      <c r="F161" s="359"/>
      <c r="G161" s="359"/>
      <c r="H161" s="359"/>
      <c r="I161" s="359"/>
      <c r="N161" s="78"/>
    </row>
    <row r="162" spans="1:14" s="76" customFormat="1" x14ac:dyDescent="0.25">
      <c r="A162" s="363" t="str">
        <f>'1461'!A162</f>
        <v>"All Adjusted ESE Riders" should include only ESE Riders.</v>
      </c>
      <c r="B162" s="359"/>
      <c r="C162" s="359"/>
      <c r="D162" s="359"/>
      <c r="E162" s="359"/>
      <c r="F162" s="359"/>
      <c r="G162" s="359"/>
      <c r="H162" s="359"/>
      <c r="I162" s="359"/>
      <c r="N162" s="78"/>
    </row>
    <row r="163" spans="1:14" s="76" customFormat="1" x14ac:dyDescent="0.25">
      <c r="A163" s="357" t="s">
        <v>445</v>
      </c>
      <c r="B163" s="359"/>
      <c r="C163" s="359"/>
      <c r="D163" s="359"/>
      <c r="E163" s="359"/>
      <c r="F163" s="359"/>
      <c r="G163" s="359"/>
      <c r="H163" s="359"/>
      <c r="I163" s="359"/>
      <c r="N163" s="78"/>
    </row>
    <row r="164" spans="1:14" s="76" customFormat="1" ht="15.75" customHeight="1" x14ac:dyDescent="0.25">
      <c r="A164" s="357" t="str">
        <f>'1461'!A164</f>
        <v xml:space="preserve">(j) Funding based on student eligibility and meals provided, if participating in the National School Lunch Program. </v>
      </c>
      <c r="B164" s="359"/>
      <c r="C164" s="359"/>
      <c r="D164" s="359"/>
      <c r="E164" s="359"/>
      <c r="F164" s="359"/>
      <c r="G164" s="359"/>
      <c r="H164" s="359"/>
      <c r="I164" s="359"/>
      <c r="N164" s="78"/>
    </row>
    <row r="165" spans="1:14" s="76" customFormat="1" ht="15.75" customHeight="1" x14ac:dyDescent="0.25">
      <c r="A165" s="357" t="s">
        <v>447</v>
      </c>
      <c r="B165" s="359"/>
      <c r="C165" s="359"/>
      <c r="D165" s="359"/>
      <c r="E165" s="359"/>
      <c r="F165" s="359"/>
      <c r="G165" s="359"/>
      <c r="H165" s="359"/>
      <c r="I165" s="359"/>
      <c r="N165" s="78"/>
    </row>
    <row r="166" spans="1:14" s="76" customFormat="1" ht="15.75" customHeight="1" x14ac:dyDescent="0.25">
      <c r="A166" s="363" t="s">
        <v>446</v>
      </c>
      <c r="B166" s="359"/>
      <c r="C166" s="359"/>
      <c r="D166" s="359"/>
      <c r="E166" s="359"/>
      <c r="F166" s="359"/>
      <c r="G166" s="359"/>
      <c r="H166" s="359"/>
      <c r="I166" s="359"/>
      <c r="N166" s="78"/>
    </row>
    <row r="167" spans="1:14" s="76" customFormat="1" ht="15.75" customHeight="1" x14ac:dyDescent="0.25">
      <c r="A167" s="357" t="s">
        <v>448</v>
      </c>
      <c r="B167" s="359"/>
      <c r="C167" s="359"/>
      <c r="D167" s="359"/>
      <c r="E167" s="359"/>
      <c r="F167" s="359"/>
      <c r="G167" s="359"/>
      <c r="H167" s="359"/>
      <c r="I167" s="359"/>
      <c r="N167" s="78"/>
    </row>
    <row r="168" spans="1:14" s="76" customFormat="1" ht="15.75" customHeight="1" x14ac:dyDescent="0.25">
      <c r="A168" s="363" t="str">
        <f>'1461'!A168</f>
        <v xml:space="preserve">unweighted full-time equivalent students. </v>
      </c>
      <c r="B168" s="359"/>
      <c r="C168" s="359"/>
      <c r="D168" s="359"/>
      <c r="E168" s="359"/>
      <c r="F168" s="359"/>
      <c r="G168" s="359"/>
      <c r="H168" s="359"/>
      <c r="I168" s="359"/>
      <c r="N168" s="78"/>
    </row>
    <row r="169" spans="1:14" s="76" customFormat="1" ht="15.75" customHeight="1" x14ac:dyDescent="0.25">
      <c r="A169" s="357" t="s">
        <v>450</v>
      </c>
      <c r="B169" s="359"/>
      <c r="C169" s="359"/>
      <c r="D169" s="359"/>
      <c r="E169" s="359"/>
      <c r="F169" s="359"/>
      <c r="G169" s="359"/>
      <c r="H169" s="359"/>
      <c r="I169" s="359"/>
      <c r="N169" s="78"/>
    </row>
    <row r="170" spans="1:14" s="76" customFormat="1" ht="15.75" customHeight="1" x14ac:dyDescent="0.25">
      <c r="A170" s="363" t="s">
        <v>449</v>
      </c>
      <c r="B170" s="359"/>
      <c r="C170" s="359"/>
      <c r="D170" s="359"/>
      <c r="E170" s="359"/>
      <c r="F170" s="359"/>
      <c r="G170" s="359"/>
      <c r="H170" s="359"/>
      <c r="I170" s="359"/>
      <c r="N170" s="78"/>
    </row>
    <row r="171" spans="1:14" s="76" customFormat="1" ht="15.75" customHeight="1" x14ac:dyDescent="0.25">
      <c r="A171" s="357"/>
      <c r="B171" s="359"/>
      <c r="C171" s="359"/>
      <c r="D171" s="359"/>
      <c r="E171" s="359"/>
      <c r="F171" s="359"/>
      <c r="G171" s="359"/>
      <c r="H171" s="359"/>
      <c r="I171" s="359"/>
      <c r="N171" s="78"/>
    </row>
    <row r="172" spans="1:14" s="76" customFormat="1" ht="15.75" customHeight="1" x14ac:dyDescent="0.3">
      <c r="A172" s="370" t="str">
        <f>'1461'!A172</f>
        <v>Administrative fees:</v>
      </c>
      <c r="B172" s="359"/>
      <c r="C172" s="359"/>
      <c r="D172" s="359"/>
      <c r="E172" s="359"/>
      <c r="F172" s="359"/>
      <c r="G172" s="359"/>
      <c r="H172" s="359"/>
      <c r="I172" s="359"/>
      <c r="J172" s="3"/>
      <c r="K172" s="3"/>
      <c r="L172" s="3"/>
      <c r="M172" s="3"/>
      <c r="N172" s="78"/>
    </row>
    <row r="173" spans="1:14" s="76" customFormat="1" ht="15.75" customHeight="1" x14ac:dyDescent="0.3">
      <c r="A173" s="374" t="str">
        <f>'1461'!A173</f>
        <v xml:space="preserve">Administrative fees charged by the school district pursuant to s. 1002.33(20)(a), F.S., shall be calculated based upon 5% of available funds from the FEFP and categorical </v>
      </c>
      <c r="B173" s="362"/>
      <c r="C173" s="362"/>
      <c r="D173" s="362"/>
      <c r="E173" s="362"/>
      <c r="F173" s="362"/>
      <c r="G173" s="362"/>
      <c r="H173" s="362"/>
      <c r="I173" s="362"/>
      <c r="J173" s="3"/>
      <c r="K173" s="3"/>
      <c r="L173" s="3"/>
      <c r="M173" s="3"/>
      <c r="N173" s="78"/>
    </row>
    <row r="174" spans="1:14" s="76" customFormat="1" ht="15.75" customHeight="1" x14ac:dyDescent="0.3">
      <c r="A174" s="375" t="str">
        <f>'1461'!A174</f>
        <v>funding for which charter students may be eligible.  To calculate the administrative fee to be withheld for schools with more than 250 students, divide the school</v>
      </c>
      <c r="B174" s="369"/>
      <c r="C174" s="369"/>
      <c r="D174" s="369"/>
      <c r="E174" s="369"/>
      <c r="F174" s="369"/>
      <c r="G174" s="369"/>
      <c r="H174" s="369"/>
      <c r="I174" s="369"/>
      <c r="J174" s="3"/>
      <c r="K174" s="3"/>
      <c r="L174" s="3"/>
      <c r="M174" s="3"/>
      <c r="N174" s="78"/>
    </row>
    <row r="175" spans="1:14" s="76" customFormat="1" ht="15.75" customHeight="1" x14ac:dyDescent="0.3">
      <c r="A175" s="375" t="s">
        <v>451</v>
      </c>
      <c r="B175" s="369"/>
      <c r="C175" s="369"/>
      <c r="D175" s="369"/>
      <c r="E175" s="369"/>
      <c r="F175" s="369"/>
      <c r="G175" s="369"/>
      <c r="H175" s="369"/>
      <c r="I175" s="369"/>
      <c r="J175" s="3"/>
      <c r="K175" s="3"/>
      <c r="L175" s="3"/>
      <c r="M175" s="3"/>
      <c r="N175" s="78"/>
    </row>
    <row r="176" spans="1:14" s="76" customFormat="1" ht="15.75" customHeight="1" x14ac:dyDescent="0.25">
      <c r="A176" s="375" t="s">
        <v>452</v>
      </c>
      <c r="B176" s="369"/>
      <c r="C176" s="369"/>
      <c r="D176" s="369"/>
      <c r="E176" s="369"/>
      <c r="F176" s="369"/>
      <c r="G176" s="369"/>
      <c r="H176" s="369"/>
      <c r="I176" s="369"/>
      <c r="N176" s="78"/>
    </row>
    <row r="177" spans="1:21" s="76" customFormat="1" ht="15.75" customHeight="1" x14ac:dyDescent="0.25">
      <c r="A177" s="374"/>
      <c r="B177" s="369"/>
      <c r="C177" s="369"/>
      <c r="D177" s="369"/>
      <c r="E177" s="369"/>
      <c r="F177" s="369"/>
      <c r="G177" s="369"/>
      <c r="H177" s="369"/>
      <c r="I177" s="369"/>
      <c r="N177" s="78"/>
    </row>
    <row r="178" spans="1:21" ht="15.75" customHeight="1" x14ac:dyDescent="0.3">
      <c r="A178" s="374" t="str">
        <f>'1461'!A178</f>
        <v xml:space="preserve">For high performing charter schools, administrative fees charged by the school district shall be calculated based upon 2% of available funds from the FEFP and categorical </v>
      </c>
      <c r="B178" s="362"/>
      <c r="C178" s="362"/>
      <c r="D178" s="362"/>
      <c r="E178" s="362"/>
      <c r="F178" s="362"/>
      <c r="G178" s="362"/>
      <c r="H178" s="362"/>
      <c r="I178" s="362"/>
      <c r="J178" s="76"/>
      <c r="K178" s="76"/>
      <c r="L178" s="76"/>
      <c r="M178" s="76"/>
      <c r="N178" s="78"/>
      <c r="O178" s="76"/>
      <c r="P178" s="76"/>
      <c r="Q178" s="76"/>
      <c r="R178" s="76"/>
      <c r="S178" s="76"/>
      <c r="T178" s="76"/>
      <c r="U178" s="76"/>
    </row>
    <row r="179" spans="1:21" ht="15.75" customHeight="1" x14ac:dyDescent="0.3">
      <c r="A179" s="375" t="str">
        <f>'1461'!A179</f>
        <v>funding for which charter students may be eligible.  To calculate the administrative fee to be withheld for schools with more than 250 students, divide the school</v>
      </c>
      <c r="B179" s="362"/>
      <c r="C179" s="362"/>
      <c r="D179" s="362"/>
      <c r="E179" s="362"/>
      <c r="F179" s="362"/>
      <c r="G179" s="362"/>
      <c r="H179" s="362"/>
      <c r="I179" s="362"/>
      <c r="J179" s="76"/>
      <c r="K179" s="76"/>
      <c r="L179" s="76"/>
      <c r="M179" s="76"/>
      <c r="N179" s="74"/>
    </row>
    <row r="180" spans="1:21" s="76" customFormat="1" ht="15.75" customHeight="1" x14ac:dyDescent="0.3">
      <c r="A180" s="375" t="str">
        <f>'1461'!A180</f>
        <v xml:space="preserve">population into 250. Multiply that fraction times the funds available, then times 2%.  </v>
      </c>
      <c r="B180" s="362"/>
      <c r="C180" s="362"/>
      <c r="D180" s="362"/>
      <c r="E180" s="362"/>
      <c r="F180" s="362"/>
      <c r="G180" s="362"/>
      <c r="H180" s="362"/>
      <c r="I180" s="362"/>
      <c r="N180" s="74"/>
      <c r="O180" s="3"/>
      <c r="P180" s="3"/>
      <c r="Q180" s="3"/>
      <c r="R180" s="3"/>
      <c r="S180" s="3"/>
      <c r="T180" s="3"/>
      <c r="U180" s="3"/>
    </row>
    <row r="181" spans="1:21" x14ac:dyDescent="0.3">
      <c r="A181" s="357"/>
      <c r="B181" s="362"/>
      <c r="C181" s="362"/>
      <c r="D181" s="362"/>
      <c r="E181" s="362"/>
      <c r="F181" s="362"/>
      <c r="G181" s="362"/>
      <c r="H181" s="362"/>
      <c r="I181" s="362"/>
      <c r="N181" s="78"/>
      <c r="O181" s="76"/>
      <c r="P181" s="76"/>
      <c r="Q181" s="76"/>
      <c r="R181" s="76"/>
      <c r="S181" s="76"/>
      <c r="T181" s="76"/>
      <c r="U181" s="76"/>
    </row>
    <row r="182" spans="1:21" x14ac:dyDescent="0.3">
      <c r="A182" s="370" t="str">
        <f>'1461'!A182</f>
        <v>Other:</v>
      </c>
      <c r="B182" s="368"/>
      <c r="C182" s="368"/>
      <c r="D182" s="368"/>
      <c r="E182" s="368"/>
      <c r="F182" s="368"/>
      <c r="G182" s="368"/>
      <c r="H182" s="368"/>
      <c r="I182" s="368"/>
      <c r="N182" s="78"/>
      <c r="O182" s="76"/>
      <c r="P182" s="76"/>
      <c r="Q182" s="76"/>
      <c r="R182" s="76"/>
      <c r="S182" s="76"/>
      <c r="T182" s="76"/>
      <c r="U182" s="76"/>
    </row>
    <row r="183" spans="1:21" x14ac:dyDescent="0.3">
      <c r="A183" s="374" t="str">
        <f>'1461'!A183</f>
        <v>FEFP and categorical funding are recalculated during the year to reflect the revised number of full-time equivalent students reported during the survey periods designated</v>
      </c>
      <c r="B183" s="362"/>
      <c r="C183" s="362"/>
      <c r="D183" s="362"/>
      <c r="E183" s="362"/>
      <c r="F183" s="362"/>
      <c r="G183" s="362"/>
      <c r="H183" s="362"/>
      <c r="I183" s="362"/>
      <c r="N183" s="78"/>
      <c r="O183" s="76"/>
      <c r="P183" s="76"/>
      <c r="Q183" s="76"/>
      <c r="R183" s="76"/>
      <c r="S183" s="76"/>
      <c r="T183" s="76"/>
      <c r="U183" s="76"/>
    </row>
    <row r="184" spans="1:21" x14ac:dyDescent="0.3">
      <c r="A184" s="375" t="str">
        <f>'1461'!A184</f>
        <v>by the Commissioner of Education.</v>
      </c>
      <c r="B184" s="369"/>
      <c r="C184" s="369"/>
      <c r="D184" s="369"/>
      <c r="E184" s="369"/>
      <c r="F184" s="369"/>
      <c r="G184" s="369"/>
      <c r="H184" s="369"/>
      <c r="I184" s="369"/>
      <c r="N184" s="74"/>
    </row>
    <row r="185" spans="1:21" x14ac:dyDescent="0.3">
      <c r="A185" s="374" t="str">
        <f>'1461'!A185</f>
        <v>Revenues flow to districts from state sources and from county tax collectors on various distribution schedules.</v>
      </c>
      <c r="B185" s="362"/>
      <c r="C185" s="362"/>
      <c r="D185" s="362"/>
      <c r="E185" s="362"/>
      <c r="F185" s="362"/>
      <c r="G185" s="362"/>
      <c r="H185" s="362"/>
      <c r="I185" s="362"/>
      <c r="N185" s="74"/>
    </row>
    <row r="186" spans="1:21" x14ac:dyDescent="0.3">
      <c r="A186" s="292"/>
      <c r="B186" s="292"/>
      <c r="C186" s="292"/>
      <c r="D186" s="292"/>
      <c r="E186" s="292"/>
      <c r="F186" s="292"/>
      <c r="G186" s="292"/>
      <c r="H186" s="292"/>
      <c r="I186" s="292"/>
      <c r="N186" s="74"/>
    </row>
    <row r="187" spans="1:21" x14ac:dyDescent="0.3">
      <c r="A187" s="74"/>
      <c r="N187" s="74"/>
    </row>
    <row r="188" spans="1:21" x14ac:dyDescent="0.3">
      <c r="A188" s="74"/>
      <c r="N188" s="74"/>
    </row>
    <row r="189" spans="1:21" x14ac:dyDescent="0.3">
      <c r="A189" s="74"/>
      <c r="N189" s="74"/>
    </row>
    <row r="190" spans="1:21" x14ac:dyDescent="0.3">
      <c r="A190" s="74"/>
      <c r="B190" s="135"/>
      <c r="C190" s="135"/>
      <c r="D190" s="135"/>
      <c r="E190" s="135"/>
      <c r="F190" s="135"/>
      <c r="G190" s="135"/>
      <c r="H190" s="135"/>
      <c r="I190" s="135"/>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132:T132"/>
    <mergeCell ref="N133:T133"/>
    <mergeCell ref="P56:Q56"/>
    <mergeCell ref="P57:Q57"/>
    <mergeCell ref="P58:Q58"/>
    <mergeCell ref="P59:Q59"/>
    <mergeCell ref="P60:Q60"/>
    <mergeCell ref="P61:Q61"/>
    <mergeCell ref="P62:Q62"/>
    <mergeCell ref="P63:Q63"/>
    <mergeCell ref="P64:Q64"/>
    <mergeCell ref="N88:P88"/>
    <mergeCell ref="N76:S76"/>
    <mergeCell ref="T76:U76"/>
    <mergeCell ref="N124:O124"/>
    <mergeCell ref="N121:O121"/>
    <mergeCell ref="P121:Q121"/>
    <mergeCell ref="N8:O8"/>
    <mergeCell ref="P8:Q8"/>
    <mergeCell ref="R8:S8"/>
    <mergeCell ref="T8:U8"/>
    <mergeCell ref="F11:G11"/>
    <mergeCell ref="R11:S11"/>
    <mergeCell ref="A7:I7"/>
    <mergeCell ref="N12:O12"/>
    <mergeCell ref="P12:Q12"/>
    <mergeCell ref="R12:S12"/>
    <mergeCell ref="T9:U9"/>
    <mergeCell ref="B1:I1"/>
    <mergeCell ref="O1:U1"/>
    <mergeCell ref="N2:U2"/>
    <mergeCell ref="N3:U3"/>
    <mergeCell ref="A4:B4"/>
    <mergeCell ref="C4:E4"/>
    <mergeCell ref="N4:O4"/>
    <mergeCell ref="P4:Q4"/>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F20:G20"/>
    <mergeCell ref="N20:O20"/>
    <mergeCell ref="P20:Q20"/>
    <mergeCell ref="R20:S20"/>
    <mergeCell ref="A21:B21"/>
    <mergeCell ref="F21:G21"/>
    <mergeCell ref="N21:O21"/>
    <mergeCell ref="P21:Q21"/>
    <mergeCell ref="R21:S21"/>
    <mergeCell ref="A20:B20"/>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R120:S12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A124:B124"/>
    <mergeCell ref="R121:S121"/>
    <mergeCell ref="A122:B122"/>
    <mergeCell ref="F122:G122"/>
    <mergeCell ref="N122:O122"/>
    <mergeCell ref="P122:Q122"/>
    <mergeCell ref="N155:U155"/>
    <mergeCell ref="N135:U135"/>
    <mergeCell ref="N126:P126"/>
    <mergeCell ref="A126:C126"/>
    <mergeCell ref="F126:H126"/>
    <mergeCell ref="N130:T130"/>
    <mergeCell ref="A128:H128"/>
    <mergeCell ref="A132:G132"/>
    <mergeCell ref="A133:G133"/>
    <mergeCell ref="N136:U136"/>
    <mergeCell ref="A123:B123"/>
    <mergeCell ref="F123:G123"/>
    <mergeCell ref="N123:O123"/>
    <mergeCell ref="P123:Q123"/>
    <mergeCell ref="R123:S123"/>
    <mergeCell ref="R122:S122"/>
    <mergeCell ref="A121:B121"/>
    <mergeCell ref="F121:G121"/>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CCCC"/>
  </sheetPr>
  <dimension ref="A1:V221"/>
  <sheetViews>
    <sheetView topLeftCell="A114" workbookViewId="0">
      <selection activeCell="I139" sqref="I139"/>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2.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425</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120.11</v>
      </c>
      <c r="D14" s="141">
        <v>121.07</v>
      </c>
      <c r="E14" s="187">
        <f>IF(D$30=0,C14*2,C14+D14)</f>
        <v>241.18</v>
      </c>
      <c r="F14" s="868">
        <f>'1461'!F14:G14</f>
        <v>1.1180000000000001</v>
      </c>
      <c r="G14" s="868"/>
      <c r="H14" s="145">
        <f>ROUND(E14*F14,4)</f>
        <v>269.63920000000002</v>
      </c>
      <c r="I14" s="111">
        <f>ROUND(ROUND(ROUND(H14*$C$8,4)*($H$8),2)*(MAX($H$9,1)),2)</f>
        <v>1496088.78</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27</v>
      </c>
      <c r="D15" s="143">
        <v>27.5</v>
      </c>
      <c r="E15" s="116">
        <f t="shared" ref="E15:E29" si="1">IF(D$30=0,C15*2,C15+D15)</f>
        <v>54.5</v>
      </c>
      <c r="F15" s="859">
        <f>'1461'!F15:G15</f>
        <v>1.1180000000000001</v>
      </c>
      <c r="G15" s="859"/>
      <c r="H15" s="80">
        <f t="shared" ref="H15:H29" si="2">ROUND(E15*F15,4)</f>
        <v>60.930999999999997</v>
      </c>
      <c r="I15" s="101">
        <f t="shared" ref="I15:I29" si="3">ROUND(ROUND(ROUND(H15*$C$8,4)*($H$8),2)*(MAX($H$9,1)),2)</f>
        <v>338074.68</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54.88</v>
      </c>
      <c r="D16" s="143">
        <v>55.75</v>
      </c>
      <c r="E16" s="116">
        <f t="shared" si="1"/>
        <v>110.63</v>
      </c>
      <c r="F16" s="859">
        <f>'1461'!F16:G16</f>
        <v>1</v>
      </c>
      <c r="G16" s="859"/>
      <c r="H16" s="80">
        <f t="shared" si="2"/>
        <v>110.63</v>
      </c>
      <c r="I16" s="101">
        <f t="shared" si="3"/>
        <v>613828.78</v>
      </c>
      <c r="N16" s="818" t="s">
        <v>22</v>
      </c>
      <c r="O16" s="818"/>
      <c r="P16" s="860">
        <f t="shared" si="0"/>
        <v>0</v>
      </c>
      <c r="Q16" s="860"/>
      <c r="R16" s="864">
        <v>1</v>
      </c>
      <c r="S16" s="864"/>
      <c r="T16" s="95">
        <f t="shared" si="4"/>
        <v>0</v>
      </c>
      <c r="U16" s="523">
        <f t="shared" si="5"/>
        <v>0</v>
      </c>
    </row>
    <row r="17" spans="1:21" x14ac:dyDescent="0.3">
      <c r="A17" s="776" t="s">
        <v>23</v>
      </c>
      <c r="B17" s="776"/>
      <c r="C17" s="143">
        <v>16.5</v>
      </c>
      <c r="D17" s="143">
        <v>17</v>
      </c>
      <c r="E17" s="116">
        <f t="shared" si="1"/>
        <v>33.5</v>
      </c>
      <c r="F17" s="859">
        <f>'1461'!F17:G17</f>
        <v>1</v>
      </c>
      <c r="G17" s="859"/>
      <c r="H17" s="80">
        <f t="shared" si="2"/>
        <v>33.5</v>
      </c>
      <c r="I17" s="101">
        <f t="shared" si="3"/>
        <v>185874.21</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58.88</v>
      </c>
      <c r="D26" s="143">
        <v>59.04</v>
      </c>
      <c r="E26" s="116">
        <f t="shared" si="1"/>
        <v>117.92</v>
      </c>
      <c r="F26" s="859">
        <f>'1461'!F26:G26</f>
        <v>1.1919999999999999</v>
      </c>
      <c r="G26" s="859"/>
      <c r="H26" s="80">
        <f t="shared" si="2"/>
        <v>140.56059999999999</v>
      </c>
      <c r="I26" s="101">
        <f t="shared" si="3"/>
        <v>779898.24</v>
      </c>
      <c r="N26" s="818" t="s">
        <v>85</v>
      </c>
      <c r="O26" s="818"/>
      <c r="P26" s="860">
        <f t="shared" si="0"/>
        <v>0</v>
      </c>
      <c r="Q26" s="860"/>
      <c r="R26" s="864">
        <v>1</v>
      </c>
      <c r="S26" s="864"/>
      <c r="T26" s="95">
        <f t="shared" si="4"/>
        <v>0</v>
      </c>
      <c r="U26" s="523">
        <f t="shared" si="5"/>
        <v>0</v>
      </c>
    </row>
    <row r="27" spans="1:21" x14ac:dyDescent="0.3">
      <c r="A27" s="776" t="s">
        <v>86</v>
      </c>
      <c r="B27" s="776"/>
      <c r="C27" s="143">
        <v>12.11</v>
      </c>
      <c r="D27" s="143">
        <v>12.14</v>
      </c>
      <c r="E27" s="116">
        <f t="shared" si="1"/>
        <v>24.25</v>
      </c>
      <c r="F27" s="859">
        <f>'1461'!F27:G27</f>
        <v>1.1919999999999999</v>
      </c>
      <c r="G27" s="859"/>
      <c r="H27" s="80">
        <f t="shared" si="2"/>
        <v>28.905999999999999</v>
      </c>
      <c r="I27" s="101">
        <f t="shared" si="3"/>
        <v>160384.48000000001</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289.48</v>
      </c>
      <c r="D30" s="94">
        <f>SUM(D14:D29)</f>
        <v>292.5</v>
      </c>
      <c r="E30" s="94">
        <f>SUM(E14:E29)</f>
        <v>581.98</v>
      </c>
      <c r="F30" s="795"/>
      <c r="G30" s="795"/>
      <c r="H30" s="99">
        <f>SUM(H14:H29)</f>
        <v>644.16679999999997</v>
      </c>
      <c r="I30" s="94">
        <f>SUM(I14:I29)</f>
        <v>3574149.1700000004</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644.16679999999997</v>
      </c>
      <c r="F46" s="34"/>
      <c r="G46" s="106"/>
      <c r="H46" s="107" t="s">
        <v>98</v>
      </c>
      <c r="I46" s="94">
        <f>SUM(I44,I30)</f>
        <v>3574149.1700000004</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3604943.24</v>
      </c>
      <c r="G51" s="109" t="s">
        <v>6</v>
      </c>
      <c r="H51" s="452">
        <v>5.5899999999999998E-2</v>
      </c>
      <c r="I51" s="101">
        <f>ROUND(F51*H51,2)</f>
        <v>201516.33</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3604943.24</v>
      </c>
      <c r="G52" s="109" t="s">
        <v>6</v>
      </c>
      <c r="H52" s="452">
        <v>1.0699999999999999E-2</v>
      </c>
      <c r="I52" s="101">
        <f>ROUND(F52*H52,2)</f>
        <v>38572.89</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240089.21999999997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23.5</v>
      </c>
      <c r="D57" s="143">
        <v>23.93</v>
      </c>
      <c r="E57" s="116">
        <f>IF(D$66=0,C57*2,C57+D57)</f>
        <v>47.43</v>
      </c>
      <c r="F57" s="493" t="s">
        <v>498</v>
      </c>
      <c r="G57" s="493">
        <v>251</v>
      </c>
      <c r="H57" s="507">
        <f>'1461'!H57</f>
        <v>1047</v>
      </c>
      <c r="I57" s="101">
        <f>ROUND(E57*H57,2)</f>
        <v>49659.21</v>
      </c>
      <c r="N57" s="849" t="s">
        <v>506</v>
      </c>
      <c r="O57" s="849"/>
      <c r="P57" s="851"/>
      <c r="Q57" s="851"/>
      <c r="R57" s="499" t="s">
        <v>498</v>
      </c>
      <c r="S57" s="499">
        <v>251</v>
      </c>
      <c r="T57" s="510">
        <f>H57</f>
        <v>1047</v>
      </c>
      <c r="U57" s="524">
        <f>ROUND(P57*T57,2)</f>
        <v>0</v>
      </c>
      <c r="V57" s="474"/>
    </row>
    <row r="58" spans="1:22" x14ac:dyDescent="0.3">
      <c r="A58" s="792"/>
      <c r="B58" s="792"/>
      <c r="C58" s="143">
        <v>3</v>
      </c>
      <c r="D58" s="143">
        <v>3.06</v>
      </c>
      <c r="E58" s="116">
        <f>IF(D$66=0,C58*2,C58+D58)</f>
        <v>6.0600000000000005</v>
      </c>
      <c r="F58" s="493" t="s">
        <v>498</v>
      </c>
      <c r="G58" s="493">
        <v>252</v>
      </c>
      <c r="H58" s="507">
        <f>'1461'!H58</f>
        <v>3380</v>
      </c>
      <c r="I58" s="101">
        <f t="shared" ref="I58:I65" si="10">ROUND(E58*H58,2)</f>
        <v>20482.8</v>
      </c>
      <c r="N58" s="850"/>
      <c r="O58" s="850"/>
      <c r="P58" s="844"/>
      <c r="Q58" s="844"/>
      <c r="R58" s="499" t="s">
        <v>498</v>
      </c>
      <c r="S58" s="499">
        <v>252</v>
      </c>
      <c r="T58" s="510">
        <f t="shared" ref="T58:T65" si="11">H58</f>
        <v>3380</v>
      </c>
      <c r="U58" s="524">
        <f t="shared" ref="U58:U65" si="12">ROUND(P58*T58,2)</f>
        <v>0</v>
      </c>
      <c r="V58" s="474"/>
    </row>
    <row r="59" spans="1:22" x14ac:dyDescent="0.3">
      <c r="A59" s="792"/>
      <c r="B59" s="792"/>
      <c r="C59" s="143">
        <v>0.5</v>
      </c>
      <c r="D59" s="143">
        <v>0.51</v>
      </c>
      <c r="E59" s="116">
        <f>IF(D$66=0,C59*2,C59+D59)</f>
        <v>1.01</v>
      </c>
      <c r="F59" s="493" t="s">
        <v>498</v>
      </c>
      <c r="G59" s="493">
        <v>253</v>
      </c>
      <c r="H59" s="507">
        <f>'1461'!H59</f>
        <v>6896</v>
      </c>
      <c r="I59" s="101">
        <f t="shared" si="10"/>
        <v>6964.96</v>
      </c>
      <c r="N59" s="850"/>
      <c r="O59" s="850"/>
      <c r="P59" s="844"/>
      <c r="Q59" s="844"/>
      <c r="R59" s="499" t="s">
        <v>498</v>
      </c>
      <c r="S59" s="499">
        <v>253</v>
      </c>
      <c r="T59" s="510">
        <f t="shared" si="11"/>
        <v>6896</v>
      </c>
      <c r="U59" s="524">
        <f t="shared" si="12"/>
        <v>0</v>
      </c>
      <c r="V59" s="474"/>
    </row>
    <row r="60" spans="1:22" x14ac:dyDescent="0.3">
      <c r="A60" s="792"/>
      <c r="B60" s="792"/>
      <c r="C60" s="143">
        <v>16.5</v>
      </c>
      <c r="D60" s="143">
        <v>17</v>
      </c>
      <c r="E60" s="116">
        <f>IF(D$66=0,C60*2,C60+D60)</f>
        <v>33.5</v>
      </c>
      <c r="F60" s="494" t="s">
        <v>13</v>
      </c>
      <c r="G60" s="493">
        <v>251</v>
      </c>
      <c r="H60" s="507">
        <f>'1461'!H60</f>
        <v>1173</v>
      </c>
      <c r="I60" s="101">
        <f t="shared" si="10"/>
        <v>39295.5</v>
      </c>
      <c r="N60" s="850"/>
      <c r="O60" s="850"/>
      <c r="P60" s="844"/>
      <c r="Q60" s="844"/>
      <c r="R60" s="40" t="s">
        <v>13</v>
      </c>
      <c r="S60" s="499">
        <v>251</v>
      </c>
      <c r="T60" s="510">
        <f t="shared" si="11"/>
        <v>1173</v>
      </c>
      <c r="U60" s="524">
        <f t="shared" si="12"/>
        <v>0</v>
      </c>
      <c r="V60" s="474"/>
    </row>
    <row r="61" spans="1:22" x14ac:dyDescent="0.3">
      <c r="A61" s="792"/>
      <c r="B61" s="792"/>
      <c r="C61" s="143">
        <v>0</v>
      </c>
      <c r="D61" s="143">
        <v>0</v>
      </c>
      <c r="E61" s="116">
        <f>IF(D$66=0,C61*2,C61+D61)</f>
        <v>0</v>
      </c>
      <c r="F61" s="494" t="s">
        <v>13</v>
      </c>
      <c r="G61" s="493">
        <v>252</v>
      </c>
      <c r="H61" s="507">
        <f>'1461'!H61</f>
        <v>3506</v>
      </c>
      <c r="I61" s="101">
        <f t="shared" si="10"/>
        <v>0</v>
      </c>
      <c r="N61" s="850"/>
      <c r="O61" s="850"/>
      <c r="P61" s="844"/>
      <c r="Q61" s="844"/>
      <c r="R61" s="40" t="s">
        <v>13</v>
      </c>
      <c r="S61" s="499">
        <v>252</v>
      </c>
      <c r="T61" s="510">
        <f t="shared" si="11"/>
        <v>3506</v>
      </c>
      <c r="U61" s="524">
        <f t="shared" si="12"/>
        <v>0</v>
      </c>
      <c r="V61" s="474"/>
    </row>
    <row r="62" spans="1:22" x14ac:dyDescent="0.3">
      <c r="A62" s="792"/>
      <c r="B62" s="792"/>
      <c r="C62" s="143">
        <v>0</v>
      </c>
      <c r="D62" s="143">
        <v>0</v>
      </c>
      <c r="E62" s="116">
        <f t="shared" ref="E62:E65" si="13">IF(D$72=0,C62*2,C62+D62)</f>
        <v>0</v>
      </c>
      <c r="F62" s="494" t="s">
        <v>13</v>
      </c>
      <c r="G62" s="493">
        <v>253</v>
      </c>
      <c r="H62" s="507">
        <f>'1461'!H62</f>
        <v>7023</v>
      </c>
      <c r="I62" s="101">
        <f t="shared" si="10"/>
        <v>0</v>
      </c>
      <c r="N62" s="850"/>
      <c r="O62" s="850"/>
      <c r="P62" s="844"/>
      <c r="Q62" s="844"/>
      <c r="R62" s="40" t="s">
        <v>13</v>
      </c>
      <c r="S62" s="499">
        <v>253</v>
      </c>
      <c r="T62" s="510">
        <f t="shared" si="11"/>
        <v>7023</v>
      </c>
      <c r="U62" s="524">
        <f t="shared" si="12"/>
        <v>0</v>
      </c>
      <c r="V62" s="474"/>
    </row>
    <row r="63" spans="1:22" x14ac:dyDescent="0.3">
      <c r="A63" s="792"/>
      <c r="B63" s="792"/>
      <c r="C63" s="143">
        <v>0</v>
      </c>
      <c r="D63" s="143">
        <v>0</v>
      </c>
      <c r="E63" s="116">
        <f t="shared" si="13"/>
        <v>0</v>
      </c>
      <c r="F63" s="494" t="s">
        <v>14</v>
      </c>
      <c r="G63" s="493">
        <v>251</v>
      </c>
      <c r="H63" s="507">
        <f>'1461'!H63</f>
        <v>835</v>
      </c>
      <c r="I63" s="101">
        <f t="shared" si="10"/>
        <v>0</v>
      </c>
      <c r="N63" s="850"/>
      <c r="O63" s="850"/>
      <c r="P63" s="844"/>
      <c r="Q63" s="844"/>
      <c r="R63" s="40" t="s">
        <v>14</v>
      </c>
      <c r="S63" s="499">
        <v>251</v>
      </c>
      <c r="T63" s="510">
        <f t="shared" si="11"/>
        <v>835</v>
      </c>
      <c r="U63" s="524">
        <f t="shared" si="12"/>
        <v>0</v>
      </c>
      <c r="V63" s="474"/>
    </row>
    <row r="64" spans="1:22" x14ac:dyDescent="0.3">
      <c r="A64" s="792"/>
      <c r="B64" s="792"/>
      <c r="C64" s="143">
        <v>0</v>
      </c>
      <c r="D64" s="143">
        <v>0</v>
      </c>
      <c r="E64" s="116">
        <f t="shared" si="13"/>
        <v>0</v>
      </c>
      <c r="F64" s="494" t="s">
        <v>14</v>
      </c>
      <c r="G64" s="493">
        <v>252</v>
      </c>
      <c r="H64" s="507">
        <f>'1461'!H64</f>
        <v>3168</v>
      </c>
      <c r="I64" s="101">
        <f t="shared" si="10"/>
        <v>0</v>
      </c>
      <c r="N64" s="850"/>
      <c r="O64" s="850"/>
      <c r="P64" s="844"/>
      <c r="Q64" s="844"/>
      <c r="R64" s="40" t="s">
        <v>14</v>
      </c>
      <c r="S64" s="499">
        <v>252</v>
      </c>
      <c r="T64" s="510">
        <f t="shared" si="11"/>
        <v>3168</v>
      </c>
      <c r="U64" s="524">
        <f t="shared" si="12"/>
        <v>0</v>
      </c>
      <c r="V64" s="474"/>
    </row>
    <row r="65" spans="1:22" ht="16.2" thickBot="1" x14ac:dyDescent="0.35">
      <c r="A65" s="792"/>
      <c r="B65" s="792"/>
      <c r="C65" s="143">
        <v>0</v>
      </c>
      <c r="D65" s="143">
        <v>0</v>
      </c>
      <c r="E65" s="116">
        <f t="shared" si="13"/>
        <v>0</v>
      </c>
      <c r="F65" s="494" t="s">
        <v>14</v>
      </c>
      <c r="G65" s="493">
        <v>253</v>
      </c>
      <c r="H65" s="507">
        <f>'1461'!H65</f>
        <v>6685</v>
      </c>
      <c r="I65" s="101">
        <f t="shared" si="10"/>
        <v>0</v>
      </c>
      <c r="N65" s="850"/>
      <c r="O65" s="850"/>
      <c r="P65" s="845"/>
      <c r="Q65" s="845"/>
      <c r="R65" s="40" t="s">
        <v>14</v>
      </c>
      <c r="S65" s="499">
        <v>253</v>
      </c>
      <c r="T65" s="510">
        <f t="shared" si="11"/>
        <v>6685</v>
      </c>
      <c r="U65" s="525">
        <f t="shared" si="12"/>
        <v>0</v>
      </c>
      <c r="V65" s="474"/>
    </row>
    <row r="66" spans="1:22" ht="16.2" thickBot="1" x14ac:dyDescent="0.35">
      <c r="A66" s="490"/>
      <c r="C66" s="97">
        <f>SUM(C57:C65)</f>
        <v>43.5</v>
      </c>
      <c r="D66" s="97">
        <f>SUM(D57:D65)</f>
        <v>44.5</v>
      </c>
      <c r="E66" s="97">
        <f>SUM(E57:E65)</f>
        <v>88</v>
      </c>
      <c r="F66" s="779" t="s">
        <v>507</v>
      </c>
      <c r="G66" s="779"/>
      <c r="H66" s="779"/>
      <c r="I66" s="97">
        <f>SUM(I57:I65)</f>
        <v>116402.47</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581.98</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2.7690000000000002E-3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644.16679999999997</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2.7160000000000001E-3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581.98</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3.1359999999999999E-3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581.98</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2.774E-3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581.98</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3.1410000000000001E-3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2.774E-3</v>
      </c>
      <c r="I85" s="101">
        <f>ROUND(F85*H85,2)</f>
        <v>128023.09</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2.7690000000000002E-3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3.1410000000000001E-3</v>
      </c>
      <c r="I90" s="101">
        <f>ROUND(F90*H90,2)</f>
        <v>59975.32</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3.1359999999999999E-3</v>
      </c>
      <c r="I92" s="101">
        <f t="shared" ref="I92:I96" si="14">ROUND(F92*H92,2)</f>
        <v>35944.61</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2.7160000000000001E-3</v>
      </c>
      <c r="I94" s="101">
        <f t="shared" si="14"/>
        <v>694635.51</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2.7160000000000001E-3</v>
      </c>
      <c r="I96" s="101">
        <f t="shared" si="14"/>
        <v>-45371.77</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2.7690000000000002E-3</v>
      </c>
      <c r="I98" s="101">
        <f t="shared" ref="I98" si="16">ROUND(F98*H98,2)</f>
        <v>564.49</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471.13080000000002</v>
      </c>
      <c r="D104" s="774"/>
      <c r="E104" s="46">
        <f>H8</f>
        <v>1.0407999999999999</v>
      </c>
      <c r="F104" s="302">
        <f>'1461'!F104</f>
        <v>950.92</v>
      </c>
      <c r="G104" s="39" t="s">
        <v>12</v>
      </c>
      <c r="H104" s="101">
        <f>ROUND(C104*E104*F104,2)</f>
        <v>466286.41</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173.036</v>
      </c>
      <c r="D105" s="774"/>
      <c r="E105" s="46">
        <f>H8</f>
        <v>1.0407999999999999</v>
      </c>
      <c r="F105" s="302">
        <f>'1461'!F105</f>
        <v>907.92</v>
      </c>
      <c r="G105" s="39" t="s">
        <v>12</v>
      </c>
      <c r="H105" s="101">
        <f>ROUND(C105*E105*F105,2)</f>
        <v>163512.64000000001</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644.16679999999997</v>
      </c>
      <c r="D107" s="787"/>
      <c r="E107" s="123"/>
      <c r="F107" s="123"/>
      <c r="G107" s="123"/>
      <c r="H107" s="124" t="s">
        <v>100</v>
      </c>
      <c r="I107" s="101">
        <f>IF(A1=75,0,H106+H105+H104)</f>
        <v>629799.05000000005</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215</v>
      </c>
      <c r="D113" s="143">
        <v>217</v>
      </c>
      <c r="E113" s="116">
        <f>(C113+D113)/2</f>
        <v>216</v>
      </c>
      <c r="F113" s="126" t="s">
        <v>30</v>
      </c>
      <c r="G113" s="303">
        <f>'1461'!G113</f>
        <v>584</v>
      </c>
      <c r="I113" s="101">
        <f>ROUND(G113*E113,2)</f>
        <v>126144</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5320265.9400000004</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5080176.7200000007</v>
      </c>
      <c r="N130" s="817"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c r="H135" s="139">
        <f>IF(H133=1,I133,I130)</f>
        <v>5080176.7200000007</v>
      </c>
      <c r="I135" s="94">
        <f>ROUND(IF(E30=0,0,IF(E30&gt;250,-(((250/E30)*H135)*IF(G135="H",0.02,0.05)),IF(G135="H",-0.02*H135,-0.05*H135))),2)</f>
        <v>-109114.07</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5211151.87</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Payments'!Q77</f>
        <v>-5205334.75</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5817.1200000001118</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5817.12</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IF(G135="H",(H135*0.02)+I135,(H135*0.05)+I135)</f>
        <v>144894.76600000003</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B1:I1"/>
    <mergeCell ref="O1:U1"/>
    <mergeCell ref="N2:U2"/>
    <mergeCell ref="N3:U3"/>
    <mergeCell ref="A4:B4"/>
    <mergeCell ref="C4:E4"/>
    <mergeCell ref="N4:O4"/>
    <mergeCell ref="P4:Q4"/>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F20:G20"/>
    <mergeCell ref="N20:O20"/>
    <mergeCell ref="P20:Q20"/>
    <mergeCell ref="R20:S20"/>
    <mergeCell ref="A21:B21"/>
    <mergeCell ref="F21:G21"/>
    <mergeCell ref="N21:O21"/>
    <mergeCell ref="P21:Q21"/>
    <mergeCell ref="R21:S21"/>
    <mergeCell ref="A20:B20"/>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R120:S120"/>
    <mergeCell ref="A113:B113"/>
    <mergeCell ref="N113:O113"/>
    <mergeCell ref="P113:R113"/>
    <mergeCell ref="A114:B114"/>
    <mergeCell ref="N114:O114"/>
    <mergeCell ref="P114:R114"/>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119.85</v>
      </c>
      <c r="D14" s="143">
        <v>117.89</v>
      </c>
      <c r="E14" s="187">
        <f>IF(D$30=0,C14*2,C14+D14)</f>
        <v>237.74</v>
      </c>
      <c r="F14" s="868">
        <f>'1461'!F14:G14</f>
        <v>1.1180000000000001</v>
      </c>
      <c r="G14" s="868"/>
      <c r="H14" s="145">
        <f>ROUND(E14*F14,4)</f>
        <v>265.79329999999999</v>
      </c>
      <c r="I14" s="111">
        <f>ROUND(ROUND(ROUND(H14*$C$8,4)*($H$8),2)*(MAX($H$9,1)),2)</f>
        <v>1474749.87</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23</v>
      </c>
      <c r="D15" s="143">
        <v>25</v>
      </c>
      <c r="E15" s="116">
        <f t="shared" ref="E15:E29" si="1">IF(D$30=0,C15*2,C15+D15)</f>
        <v>48</v>
      </c>
      <c r="F15" s="859">
        <f>'1461'!F15:G15</f>
        <v>1.1180000000000001</v>
      </c>
      <c r="G15" s="859"/>
      <c r="H15" s="80">
        <f t="shared" ref="H15:H29" si="2">ROUND(E15*F15,4)</f>
        <v>53.664000000000001</v>
      </c>
      <c r="I15" s="101">
        <f t="shared" ref="I15:I29" si="3">ROUND(ROUND(ROUND(H15*$C$8,4)*($H$8),2)*(MAX($H$9,1)),2)</f>
        <v>297753.84000000003</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159.72999999999999</v>
      </c>
      <c r="D16" s="143">
        <v>156.87</v>
      </c>
      <c r="E16" s="116">
        <f t="shared" si="1"/>
        <v>316.60000000000002</v>
      </c>
      <c r="F16" s="859">
        <f>'1461'!F16:G16</f>
        <v>1</v>
      </c>
      <c r="G16" s="859"/>
      <c r="H16" s="80">
        <f t="shared" si="2"/>
        <v>316.60000000000002</v>
      </c>
      <c r="I16" s="101">
        <f t="shared" si="3"/>
        <v>1756650.03</v>
      </c>
      <c r="N16" s="818" t="s">
        <v>22</v>
      </c>
      <c r="O16" s="818"/>
      <c r="P16" s="860">
        <f t="shared" si="0"/>
        <v>0</v>
      </c>
      <c r="Q16" s="860"/>
      <c r="R16" s="864">
        <v>1</v>
      </c>
      <c r="S16" s="864"/>
      <c r="T16" s="95">
        <f t="shared" si="4"/>
        <v>0</v>
      </c>
      <c r="U16" s="523">
        <f t="shared" si="5"/>
        <v>0</v>
      </c>
    </row>
    <row r="17" spans="1:21" x14ac:dyDescent="0.3">
      <c r="A17" s="776" t="s">
        <v>23</v>
      </c>
      <c r="B17" s="776"/>
      <c r="C17" s="143">
        <v>43.47</v>
      </c>
      <c r="D17" s="143">
        <v>43.52</v>
      </c>
      <c r="E17" s="116">
        <f t="shared" si="1"/>
        <v>86.990000000000009</v>
      </c>
      <c r="F17" s="859">
        <f>'1461'!F17:G17</f>
        <v>1</v>
      </c>
      <c r="G17" s="859"/>
      <c r="H17" s="80">
        <f t="shared" si="2"/>
        <v>86.99</v>
      </c>
      <c r="I17" s="101">
        <f t="shared" si="3"/>
        <v>482662.62</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7.23</v>
      </c>
      <c r="D26" s="143">
        <v>7.22</v>
      </c>
      <c r="E26" s="116">
        <f t="shared" si="1"/>
        <v>14.45</v>
      </c>
      <c r="F26" s="859">
        <f>'1461'!F26:G26</f>
        <v>1.1919999999999999</v>
      </c>
      <c r="G26" s="859"/>
      <c r="H26" s="80">
        <f t="shared" si="2"/>
        <v>17.224399999999999</v>
      </c>
      <c r="I26" s="101">
        <f t="shared" si="3"/>
        <v>95569.31</v>
      </c>
      <c r="N26" s="818" t="s">
        <v>85</v>
      </c>
      <c r="O26" s="818"/>
      <c r="P26" s="860">
        <f t="shared" si="0"/>
        <v>0</v>
      </c>
      <c r="Q26" s="860"/>
      <c r="R26" s="864">
        <v>1</v>
      </c>
      <c r="S26" s="864"/>
      <c r="T26" s="95">
        <f t="shared" si="4"/>
        <v>0</v>
      </c>
      <c r="U26" s="523">
        <f t="shared" si="5"/>
        <v>0</v>
      </c>
    </row>
    <row r="27" spans="1:21" x14ac:dyDescent="0.3">
      <c r="A27" s="776" t="s">
        <v>86</v>
      </c>
      <c r="B27" s="776"/>
      <c r="C27" s="143">
        <v>1.41</v>
      </c>
      <c r="D27" s="143">
        <v>1.41</v>
      </c>
      <c r="E27" s="116">
        <f t="shared" si="1"/>
        <v>2.82</v>
      </c>
      <c r="F27" s="859">
        <f>'1461'!F27:G27</f>
        <v>1.1919999999999999</v>
      </c>
      <c r="G27" s="859"/>
      <c r="H27" s="80">
        <f t="shared" si="2"/>
        <v>3.3614000000000002</v>
      </c>
      <c r="I27" s="101">
        <f t="shared" si="3"/>
        <v>18650.669999999998</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354.69</v>
      </c>
      <c r="D30" s="94">
        <f>SUM(D14:D29)</f>
        <v>351.91</v>
      </c>
      <c r="E30" s="94">
        <f>SUM(E14:E29)</f>
        <v>706.60000000000014</v>
      </c>
      <c r="F30" s="795"/>
      <c r="G30" s="795"/>
      <c r="H30" s="99">
        <f>SUM(H14:H29)</f>
        <v>743.6330999999999</v>
      </c>
      <c r="I30" s="94">
        <f>SUM(I14:I29)</f>
        <v>4126036.3400000003</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743.6330999999999</v>
      </c>
      <c r="F46" s="34"/>
      <c r="G46" s="106"/>
      <c r="H46" s="107" t="s">
        <v>98</v>
      </c>
      <c r="I46" s="94">
        <f>SUM(I44,I30)</f>
        <v>4126036.3400000003</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3740192.5500000003</v>
      </c>
      <c r="G51" s="109" t="s">
        <v>6</v>
      </c>
      <c r="H51" s="452">
        <v>5.5899999999999998E-2</v>
      </c>
      <c r="I51" s="101">
        <f>ROUND(F51*H51,2)</f>
        <v>209076.76</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3740192.5500000003</v>
      </c>
      <c r="G52" s="109" t="s">
        <v>6</v>
      </c>
      <c r="H52" s="452">
        <v>1.0699999999999999E-2</v>
      </c>
      <c r="I52" s="101">
        <f>ROUND(F52*H52,2)</f>
        <v>40020.06</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249096.82</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19</v>
      </c>
      <c r="D57" s="143">
        <v>20.65</v>
      </c>
      <c r="E57" s="116">
        <f t="shared" ref="E57:E65" si="10">IF(D$66=0,C57*2,C57+D57)</f>
        <v>39.65</v>
      </c>
      <c r="F57" s="493" t="s">
        <v>498</v>
      </c>
      <c r="G57" s="493">
        <v>251</v>
      </c>
      <c r="H57" s="507">
        <f>'1461'!H57</f>
        <v>1047</v>
      </c>
      <c r="I57" s="101">
        <f>ROUND(E57*H57,2)</f>
        <v>41513.550000000003</v>
      </c>
      <c r="N57" s="849" t="s">
        <v>506</v>
      </c>
      <c r="O57" s="849"/>
      <c r="P57" s="851"/>
      <c r="Q57" s="851"/>
      <c r="R57" s="499" t="s">
        <v>498</v>
      </c>
      <c r="S57" s="499">
        <v>251</v>
      </c>
      <c r="T57" s="510">
        <f>H57</f>
        <v>1047</v>
      </c>
      <c r="U57" s="524">
        <f>ROUND(P57*T57,2)</f>
        <v>0</v>
      </c>
      <c r="V57" s="474"/>
    </row>
    <row r="58" spans="1:22" x14ac:dyDescent="0.3">
      <c r="A58" s="792"/>
      <c r="B58" s="792"/>
      <c r="C58" s="143">
        <v>4</v>
      </c>
      <c r="D58" s="143">
        <v>4.3499999999999996</v>
      </c>
      <c r="E58" s="116">
        <f t="shared" si="10"/>
        <v>8.35</v>
      </c>
      <c r="F58" s="493" t="s">
        <v>498</v>
      </c>
      <c r="G58" s="493">
        <v>252</v>
      </c>
      <c r="H58" s="507">
        <f>'1461'!H58</f>
        <v>3380</v>
      </c>
      <c r="I58" s="101">
        <f t="shared" ref="I58:I65" si="11">ROUND(E58*H58,2)</f>
        <v>28223</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36.44</v>
      </c>
      <c r="D60" s="143">
        <v>36.479999999999997</v>
      </c>
      <c r="E60" s="116">
        <f t="shared" si="10"/>
        <v>72.919999999999987</v>
      </c>
      <c r="F60" s="494" t="s">
        <v>13</v>
      </c>
      <c r="G60" s="493">
        <v>251</v>
      </c>
      <c r="H60" s="507">
        <f>'1461'!H60</f>
        <v>1173</v>
      </c>
      <c r="I60" s="101">
        <f t="shared" si="11"/>
        <v>85535.16</v>
      </c>
      <c r="N60" s="850"/>
      <c r="O60" s="850"/>
      <c r="P60" s="844"/>
      <c r="Q60" s="844"/>
      <c r="R60" s="40" t="s">
        <v>13</v>
      </c>
      <c r="S60" s="499">
        <v>251</v>
      </c>
      <c r="T60" s="510">
        <f t="shared" si="12"/>
        <v>1173</v>
      </c>
      <c r="U60" s="524">
        <f t="shared" si="13"/>
        <v>0</v>
      </c>
      <c r="V60" s="474"/>
    </row>
    <row r="61" spans="1:22" x14ac:dyDescent="0.3">
      <c r="A61" s="792"/>
      <c r="B61" s="792"/>
      <c r="C61" s="143">
        <v>7.03</v>
      </c>
      <c r="D61" s="143">
        <v>7.04</v>
      </c>
      <c r="E61" s="116">
        <f t="shared" si="10"/>
        <v>14.07</v>
      </c>
      <c r="F61" s="494" t="s">
        <v>13</v>
      </c>
      <c r="G61" s="493">
        <v>252</v>
      </c>
      <c r="H61" s="507">
        <f>'1461'!H61</f>
        <v>3506</v>
      </c>
      <c r="I61" s="101">
        <f t="shared" si="11"/>
        <v>49329.42</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66.47</v>
      </c>
      <c r="D66" s="97">
        <f>SUM(D57:D65)</f>
        <v>68.52</v>
      </c>
      <c r="E66" s="97">
        <f>SUM(E57:E65)</f>
        <v>134.98999999999998</v>
      </c>
      <c r="F66" s="779" t="s">
        <v>507</v>
      </c>
      <c r="G66" s="779"/>
      <c r="H66" s="779"/>
      <c r="I66" s="97">
        <f>SUM(I57:I65)</f>
        <v>204601.13</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706.60000000000014</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3.362E-3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743.6330999999999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3.1350000000000002E-3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706.60000000000014</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3.8070000000000001E-3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706.60000000000014</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3.3670000000000002E-3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706.60000000000014</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3.8140000000000001E-3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3.3670000000000002E-3</v>
      </c>
      <c r="I85" s="101">
        <f>ROUND(F85*H85,2)</f>
        <v>155390.68</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3.362E-3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3.8140000000000001E-3</v>
      </c>
      <c r="I90" s="101">
        <f>ROUND(F90*H90,2)</f>
        <v>72825.81</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3.8070000000000001E-3</v>
      </c>
      <c r="I92" s="101">
        <f t="shared" ref="I92:I96" si="14">ROUND(F92*H92,2)</f>
        <v>43635.56</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3.1350000000000002E-3</v>
      </c>
      <c r="I94" s="101">
        <f t="shared" si="14"/>
        <v>801797.62</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3.1350000000000002E-3</v>
      </c>
      <c r="I96" s="101">
        <f t="shared" si="14"/>
        <v>-52371.32</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3.362E-3</v>
      </c>
      <c r="I98" s="101">
        <f t="shared" ref="I98" si="16">ROUND(F98*H98,2)</f>
        <v>685.38</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336.68169999999998</v>
      </c>
      <c r="D104" s="774"/>
      <c r="E104" s="46">
        <f>H8</f>
        <v>1.0407999999999999</v>
      </c>
      <c r="F104" s="302">
        <f>'1461'!F104</f>
        <v>950.92</v>
      </c>
      <c r="G104" s="39" t="s">
        <v>12</v>
      </c>
      <c r="H104" s="101">
        <f>ROUND(C104*E104*F104,2)</f>
        <v>333219.78000000003</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406.95140000000004</v>
      </c>
      <c r="D105" s="774"/>
      <c r="E105" s="46">
        <f>H8</f>
        <v>1.0407999999999999</v>
      </c>
      <c r="F105" s="302">
        <f>'1461'!F105</f>
        <v>907.92</v>
      </c>
      <c r="G105" s="39" t="s">
        <v>12</v>
      </c>
      <c r="H105" s="101">
        <f>ROUND(C105*E105*F105,2)</f>
        <v>384554.07</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743.63310000000001</v>
      </c>
      <c r="D107" s="787"/>
      <c r="E107" s="123"/>
      <c r="F107" s="123"/>
      <c r="G107" s="123"/>
      <c r="H107" s="124" t="s">
        <v>100</v>
      </c>
      <c r="I107" s="101">
        <f>IF(A1=75,0,H106+H105+H104)</f>
        <v>717773.85000000009</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6070375.0499999989</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5821278.2299999986</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5821278.2299999986</v>
      </c>
      <c r="I135" s="94">
        <f>ROUND(IF(E30=0,0,IF(E30&gt;250,-(((250/E30)*H135)*IF(G135="H",0.02,0.05)),IF(G135="H",-0.02*H135,-0.05*H135))),2)</f>
        <v>-41192.18</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6029182.8699999992</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Payments'!Q78</f>
        <v>-6063191.1299999999</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-34008.260000000708</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-34008.26</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IF(G135="H",(H135*0.02)+I135,(H135*0.05)+I135)</f>
        <v>75233.384599999961</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F13:G13"/>
    <mergeCell ref="N13:O13"/>
    <mergeCell ref="P13:Q13"/>
    <mergeCell ref="R13:S13"/>
    <mergeCell ref="A14:B14"/>
    <mergeCell ref="F14:G14"/>
    <mergeCell ref="N14:O14"/>
    <mergeCell ref="P14:Q14"/>
    <mergeCell ref="R14:S14"/>
    <mergeCell ref="A13:B13"/>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CCCC"/>
  </sheetPr>
  <dimension ref="A1:V221"/>
  <sheetViews>
    <sheetView topLeftCell="A111"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2.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114</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0.5</v>
      </c>
      <c r="D14" s="143">
        <v>0</v>
      </c>
      <c r="E14" s="187">
        <f>IF(D$30=0,C14*2,C14+D14)</f>
        <v>0.5</v>
      </c>
      <c r="F14" s="868">
        <f>'1461'!F14:G14</f>
        <v>1.1180000000000001</v>
      </c>
      <c r="G14" s="868"/>
      <c r="H14" s="145">
        <f>ROUND(E14*F14,4)</f>
        <v>0.55900000000000005</v>
      </c>
      <c r="I14" s="111">
        <f>ROUND(ROUND(ROUND(H14*$C$8,4)*($H$8),2)*(MAX($H$9,1)),2)</f>
        <v>3101.6</v>
      </c>
      <c r="N14" s="858" t="s">
        <v>20</v>
      </c>
      <c r="O14" s="858"/>
      <c r="P14" s="860">
        <f t="shared" ref="P14:P29" si="0">IF($H$133=1,E14,0)</f>
        <v>0.5</v>
      </c>
      <c r="Q14" s="860"/>
      <c r="R14" s="869">
        <v>1</v>
      </c>
      <c r="S14" s="869"/>
      <c r="T14" s="95">
        <f>ROUND(P14*R14,4)</f>
        <v>0.5</v>
      </c>
      <c r="U14" s="523">
        <f>ROUND(ROUND(ROUND(T14*$C$8,4)*($H$8),2)*(MAX($H$9,1)),2)</f>
        <v>2774.24</v>
      </c>
    </row>
    <row r="15" spans="1:21" x14ac:dyDescent="0.3">
      <c r="A15" s="776" t="s">
        <v>21</v>
      </c>
      <c r="B15" s="776"/>
      <c r="C15" s="143">
        <v>10.5</v>
      </c>
      <c r="D15" s="143">
        <v>6.5</v>
      </c>
      <c r="E15" s="116">
        <f t="shared" ref="E15:E29" si="1">IF(D$30=0,C15*2,C15+D15)</f>
        <v>17</v>
      </c>
      <c r="F15" s="859">
        <f>'1461'!F15:G15</f>
        <v>1.1180000000000001</v>
      </c>
      <c r="G15" s="859"/>
      <c r="H15" s="80">
        <f t="shared" ref="H15:H29" si="2">ROUND(E15*F15,4)</f>
        <v>19.006</v>
      </c>
      <c r="I15" s="101">
        <f t="shared" ref="I15:I29" si="3">ROUND(ROUND(ROUND(H15*$C$8,4)*($H$8),2)*(MAX($H$9,1)),2)</f>
        <v>105454.49</v>
      </c>
      <c r="J15" s="65" t="str">
        <f>IF(ROUND(E15,2)=ROUND(SUM(E57:E59),2)," ","CHECK PK-3 LINES BELOW")</f>
        <v xml:space="preserve"> </v>
      </c>
      <c r="N15" s="818" t="s">
        <v>21</v>
      </c>
      <c r="O15" s="818"/>
      <c r="P15" s="860">
        <f t="shared" si="0"/>
        <v>17</v>
      </c>
      <c r="Q15" s="860"/>
      <c r="R15" s="864">
        <v>1</v>
      </c>
      <c r="S15" s="864"/>
      <c r="T15" s="95">
        <f t="shared" ref="T15:T29" si="4">ROUND(P15*R15,4)</f>
        <v>17</v>
      </c>
      <c r="U15" s="523">
        <f t="shared" ref="U15:U29" si="5">ROUND(ROUND(ROUND(T15*$C$8,4)*($H$8),2)*(MAX($H$9,1)),2)</f>
        <v>94324.23</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12.93</v>
      </c>
      <c r="D17" s="143">
        <v>11.02</v>
      </c>
      <c r="E17" s="116">
        <f t="shared" si="1"/>
        <v>23.95</v>
      </c>
      <c r="F17" s="859">
        <f>'1461'!F17:G17</f>
        <v>1</v>
      </c>
      <c r="G17" s="859"/>
      <c r="H17" s="80">
        <f t="shared" si="2"/>
        <v>23.95</v>
      </c>
      <c r="I17" s="101">
        <f t="shared" si="3"/>
        <v>132886.19</v>
      </c>
      <c r="J17" s="65" t="str">
        <f>IF(ROUND(E17,2)=ROUND(SUM(E60:E62),2)," ","CHECK 4-8 LINES BELOW")</f>
        <v xml:space="preserve"> </v>
      </c>
      <c r="N17" s="818" t="s">
        <v>23</v>
      </c>
      <c r="O17" s="818"/>
      <c r="P17" s="860">
        <f t="shared" si="0"/>
        <v>23.95</v>
      </c>
      <c r="Q17" s="860"/>
      <c r="R17" s="864">
        <v>1</v>
      </c>
      <c r="S17" s="864"/>
      <c r="T17" s="95">
        <f t="shared" si="4"/>
        <v>23.95</v>
      </c>
      <c r="U17" s="523">
        <f t="shared" si="5"/>
        <v>132886.19</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33.5</v>
      </c>
      <c r="D19" s="143">
        <v>30</v>
      </c>
      <c r="E19" s="116">
        <f t="shared" si="1"/>
        <v>63.5</v>
      </c>
      <c r="F19" s="859">
        <f>'1461'!F19:G19</f>
        <v>0.97799999999999998</v>
      </c>
      <c r="G19" s="859"/>
      <c r="H19" s="80">
        <f t="shared" si="2"/>
        <v>62.103000000000002</v>
      </c>
      <c r="I19" s="101">
        <f t="shared" si="3"/>
        <v>344577.5</v>
      </c>
      <c r="J19" s="65" t="str">
        <f>IF(ROUND(E19,2)=ROUND(SUM(E63:E65),2)," ","CHECK 4-8 LINES BELOW")</f>
        <v xml:space="preserve"> </v>
      </c>
      <c r="N19" s="818" t="s">
        <v>25</v>
      </c>
      <c r="O19" s="818"/>
      <c r="P19" s="860">
        <f t="shared" si="0"/>
        <v>63.5</v>
      </c>
      <c r="Q19" s="860"/>
      <c r="R19" s="864">
        <v>1</v>
      </c>
      <c r="S19" s="864"/>
      <c r="T19" s="95">
        <f t="shared" si="4"/>
        <v>63.5</v>
      </c>
      <c r="U19" s="522">
        <f t="shared" si="5"/>
        <v>352328.73</v>
      </c>
    </row>
    <row r="20" spans="1:21" x14ac:dyDescent="0.3">
      <c r="A20" s="776" t="s">
        <v>79</v>
      </c>
      <c r="B20" s="776"/>
      <c r="C20" s="143">
        <v>41.45</v>
      </c>
      <c r="D20" s="143">
        <v>40.22</v>
      </c>
      <c r="E20" s="116">
        <f t="shared" si="1"/>
        <v>81.67</v>
      </c>
      <c r="F20" s="859">
        <f>'1461'!F20:G20</f>
        <v>3.6970000000000001</v>
      </c>
      <c r="G20" s="859"/>
      <c r="H20" s="80">
        <f t="shared" si="2"/>
        <v>301.93400000000003</v>
      </c>
      <c r="I20" s="101">
        <f t="shared" si="3"/>
        <v>1675275.96</v>
      </c>
      <c r="N20" s="818" t="s">
        <v>79</v>
      </c>
      <c r="O20" s="818"/>
      <c r="P20" s="860">
        <f t="shared" si="0"/>
        <v>81.67</v>
      </c>
      <c r="Q20" s="860"/>
      <c r="R20" s="864">
        <v>1</v>
      </c>
      <c r="S20" s="864"/>
      <c r="T20" s="95">
        <f t="shared" si="4"/>
        <v>81.67</v>
      </c>
      <c r="U20" s="523">
        <f t="shared" si="5"/>
        <v>453144.69</v>
      </c>
    </row>
    <row r="21" spans="1:21" x14ac:dyDescent="0.3">
      <c r="A21" s="776" t="s">
        <v>80</v>
      </c>
      <c r="B21" s="776"/>
      <c r="C21" s="143">
        <v>32.46</v>
      </c>
      <c r="D21" s="143">
        <v>31.5</v>
      </c>
      <c r="E21" s="116">
        <f t="shared" si="1"/>
        <v>63.96</v>
      </c>
      <c r="F21" s="859">
        <f>'1461'!F21:G21</f>
        <v>3.6970000000000001</v>
      </c>
      <c r="G21" s="859"/>
      <c r="H21" s="80">
        <f t="shared" si="2"/>
        <v>236.46010000000001</v>
      </c>
      <c r="I21" s="101">
        <f t="shared" si="3"/>
        <v>1311995.08</v>
      </c>
      <c r="N21" s="818" t="s">
        <v>80</v>
      </c>
      <c r="O21" s="818"/>
      <c r="P21" s="860">
        <f t="shared" si="0"/>
        <v>63.96</v>
      </c>
      <c r="Q21" s="860"/>
      <c r="R21" s="864">
        <v>1</v>
      </c>
      <c r="S21" s="864"/>
      <c r="T21" s="95">
        <f t="shared" si="4"/>
        <v>63.96</v>
      </c>
      <c r="U21" s="523">
        <f t="shared" si="5"/>
        <v>354881.04</v>
      </c>
    </row>
    <row r="22" spans="1:21" x14ac:dyDescent="0.3">
      <c r="A22" s="776" t="s">
        <v>81</v>
      </c>
      <c r="B22" s="776"/>
      <c r="C22" s="143">
        <v>23.47</v>
      </c>
      <c r="D22" s="143">
        <v>22.78</v>
      </c>
      <c r="E22" s="116">
        <f t="shared" si="1"/>
        <v>46.25</v>
      </c>
      <c r="F22" s="859">
        <f>'1461'!F22:G22</f>
        <v>3.6970000000000001</v>
      </c>
      <c r="G22" s="859"/>
      <c r="H22" s="80">
        <f t="shared" si="2"/>
        <v>170.9863</v>
      </c>
      <c r="I22" s="101">
        <f t="shared" si="3"/>
        <v>948714.75</v>
      </c>
      <c r="N22" s="818" t="s">
        <v>81</v>
      </c>
      <c r="O22" s="818"/>
      <c r="P22" s="860">
        <f t="shared" si="0"/>
        <v>46.25</v>
      </c>
      <c r="Q22" s="860"/>
      <c r="R22" s="864">
        <v>1</v>
      </c>
      <c r="S22" s="864"/>
      <c r="T22" s="95">
        <f t="shared" si="4"/>
        <v>46.25</v>
      </c>
      <c r="U22" s="523">
        <f t="shared" si="5"/>
        <v>256617.38</v>
      </c>
    </row>
    <row r="23" spans="1:21" x14ac:dyDescent="0.3">
      <c r="A23" s="776" t="s">
        <v>82</v>
      </c>
      <c r="B23" s="776"/>
      <c r="C23" s="143">
        <v>13.51</v>
      </c>
      <c r="D23" s="143">
        <v>16.940000000000001</v>
      </c>
      <c r="E23" s="116">
        <f t="shared" si="1"/>
        <v>30.450000000000003</v>
      </c>
      <c r="F23" s="859">
        <f>'1461'!F23:G23</f>
        <v>5.992</v>
      </c>
      <c r="G23" s="859"/>
      <c r="H23" s="80">
        <f t="shared" si="2"/>
        <v>182.4564</v>
      </c>
      <c r="I23" s="101">
        <f t="shared" si="3"/>
        <v>1012356.41</v>
      </c>
      <c r="N23" s="818" t="s">
        <v>82</v>
      </c>
      <c r="O23" s="818"/>
      <c r="P23" s="860">
        <f t="shared" si="0"/>
        <v>30.450000000000003</v>
      </c>
      <c r="Q23" s="860"/>
      <c r="R23" s="864">
        <v>1</v>
      </c>
      <c r="S23" s="864"/>
      <c r="T23" s="95">
        <f t="shared" si="4"/>
        <v>30.45</v>
      </c>
      <c r="U23" s="523">
        <f t="shared" si="5"/>
        <v>168951.34</v>
      </c>
    </row>
    <row r="24" spans="1:21" x14ac:dyDescent="0.3">
      <c r="A24" s="776" t="s">
        <v>83</v>
      </c>
      <c r="B24" s="776"/>
      <c r="C24" s="143">
        <v>12.5</v>
      </c>
      <c r="D24" s="143">
        <v>15.68</v>
      </c>
      <c r="E24" s="116">
        <f t="shared" si="1"/>
        <v>28.18</v>
      </c>
      <c r="F24" s="859">
        <f>'1461'!F24:G24</f>
        <v>5.992</v>
      </c>
      <c r="G24" s="859"/>
      <c r="H24" s="80">
        <f t="shared" si="2"/>
        <v>168.8546</v>
      </c>
      <c r="I24" s="101">
        <f t="shared" si="3"/>
        <v>936887.04</v>
      </c>
      <c r="N24" s="818" t="s">
        <v>83</v>
      </c>
      <c r="O24" s="818"/>
      <c r="P24" s="860">
        <f t="shared" si="0"/>
        <v>28.18</v>
      </c>
      <c r="Q24" s="860"/>
      <c r="R24" s="864">
        <v>1</v>
      </c>
      <c r="S24" s="864"/>
      <c r="T24" s="95">
        <f t="shared" si="4"/>
        <v>28.18</v>
      </c>
      <c r="U24" s="523">
        <f t="shared" si="5"/>
        <v>156356.28</v>
      </c>
    </row>
    <row r="25" spans="1:21" x14ac:dyDescent="0.3">
      <c r="A25" s="776" t="s">
        <v>84</v>
      </c>
      <c r="B25" s="776"/>
      <c r="C25" s="143">
        <v>9.5</v>
      </c>
      <c r="D25" s="143">
        <v>11.92</v>
      </c>
      <c r="E25" s="116">
        <f t="shared" si="1"/>
        <v>21.42</v>
      </c>
      <c r="F25" s="859">
        <f>'1461'!F25:G25</f>
        <v>5.992</v>
      </c>
      <c r="G25" s="859"/>
      <c r="H25" s="80">
        <f t="shared" si="2"/>
        <v>128.3486</v>
      </c>
      <c r="I25" s="101">
        <f t="shared" si="3"/>
        <v>712140.15</v>
      </c>
      <c r="N25" s="818" t="s">
        <v>84</v>
      </c>
      <c r="O25" s="818"/>
      <c r="P25" s="860">
        <f t="shared" si="0"/>
        <v>21.42</v>
      </c>
      <c r="Q25" s="860"/>
      <c r="R25" s="864">
        <v>1</v>
      </c>
      <c r="S25" s="864"/>
      <c r="T25" s="95">
        <f t="shared" si="4"/>
        <v>21.42</v>
      </c>
      <c r="U25" s="523">
        <f t="shared" si="5"/>
        <v>118848.53</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190.32</v>
      </c>
      <c r="D30" s="94">
        <f>SUM(D14:D29)</f>
        <v>186.55999999999997</v>
      </c>
      <c r="E30" s="94">
        <f>SUM(E14:E29)</f>
        <v>376.88000000000005</v>
      </c>
      <c r="F30" s="795"/>
      <c r="G30" s="795"/>
      <c r="H30" s="99">
        <f>SUM(H14:H29)</f>
        <v>1294.6580000000001</v>
      </c>
      <c r="I30" s="94">
        <f>SUM(I14:I29)</f>
        <v>7183389.1700000009</v>
      </c>
      <c r="N30" s="862" t="s">
        <v>5</v>
      </c>
      <c r="O30" s="862"/>
      <c r="P30" s="863">
        <f>SUM(P14:P29)</f>
        <v>376.88000000000005</v>
      </c>
      <c r="Q30" s="863"/>
      <c r="R30" s="852"/>
      <c r="S30" s="852"/>
      <c r="T30" s="100">
        <f>SUM(T14:T29)</f>
        <v>376.88000000000005</v>
      </c>
      <c r="U30" s="523">
        <f>SUM(U14:U29)</f>
        <v>2091112.6500000001</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1294.6580000000001</v>
      </c>
      <c r="F46" s="34"/>
      <c r="G46" s="106"/>
      <c r="H46" s="107" t="s">
        <v>98</v>
      </c>
      <c r="I46" s="94">
        <f>SUM(I44,I30)</f>
        <v>7183389.1700000009</v>
      </c>
      <c r="N46" s="847" t="s">
        <v>44</v>
      </c>
      <c r="O46" s="847"/>
      <c r="P46" s="847"/>
      <c r="Q46" s="847"/>
      <c r="R46" s="35">
        <f>R44+T30</f>
        <v>376.88000000000005</v>
      </c>
      <c r="S46" s="852" t="s">
        <v>42</v>
      </c>
      <c r="T46" s="852"/>
      <c r="U46" s="108">
        <f>SUM(U44,U30)</f>
        <v>2091112.6500000001</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7171690.2000000002</v>
      </c>
      <c r="G51" s="109" t="s">
        <v>6</v>
      </c>
      <c r="H51" s="452">
        <v>5.5899999999999998E-2</v>
      </c>
      <c r="I51" s="101">
        <f>ROUND(F51*H51,2)</f>
        <v>400897.48</v>
      </c>
      <c r="N51" s="457"/>
      <c r="O51" s="458" t="s">
        <v>576</v>
      </c>
      <c r="P51" s="28"/>
      <c r="Q51" s="44" t="s">
        <v>461</v>
      </c>
      <c r="R51" s="459">
        <f>U30</f>
        <v>2091112.6500000001</v>
      </c>
      <c r="S51" s="460" t="s">
        <v>6</v>
      </c>
      <c r="T51" s="461">
        <v>5.5899999999999998E-2</v>
      </c>
      <c r="U51" s="453">
        <f>I51</f>
        <v>400897.48</v>
      </c>
    </row>
    <row r="52" spans="1:22" x14ac:dyDescent="0.3">
      <c r="A52" s="26"/>
      <c r="B52" s="617" t="s">
        <v>580</v>
      </c>
      <c r="C52" s="26"/>
      <c r="D52" s="26"/>
      <c r="E52" s="43" t="s">
        <v>461</v>
      </c>
      <c r="F52" s="451">
        <v>7171690.2000000002</v>
      </c>
      <c r="G52" s="109" t="s">
        <v>6</v>
      </c>
      <c r="H52" s="452">
        <v>1.0699999999999999E-2</v>
      </c>
      <c r="I52" s="101">
        <f>ROUND(F52*H52,2)</f>
        <v>76737.09</v>
      </c>
      <c r="N52" s="28"/>
      <c r="O52" s="618" t="s">
        <v>579</v>
      </c>
      <c r="P52" s="28"/>
      <c r="Q52" s="44" t="s">
        <v>461</v>
      </c>
      <c r="R52" s="459">
        <f>U30</f>
        <v>2091112.6500000001</v>
      </c>
      <c r="S52" s="460" t="s">
        <v>6</v>
      </c>
      <c r="T52" s="461">
        <v>1.0699999999999999E-2</v>
      </c>
      <c r="U52" s="462">
        <f>I52</f>
        <v>76737.09</v>
      </c>
    </row>
    <row r="53" spans="1:22" x14ac:dyDescent="0.3">
      <c r="A53" s="26"/>
      <c r="B53" s="81" t="s">
        <v>462</v>
      </c>
      <c r="C53" s="26"/>
      <c r="D53" s="26"/>
      <c r="E53" s="43"/>
      <c r="F53" s="451"/>
      <c r="G53" s="109"/>
      <c r="H53" s="452"/>
      <c r="I53" s="97">
        <f>SUM(I51:I52)</f>
        <v>477634.56999999995</v>
      </c>
      <c r="N53" s="28"/>
      <c r="O53" s="434" t="s">
        <v>462</v>
      </c>
      <c r="P53" s="28"/>
      <c r="Q53" s="44"/>
      <c r="R53" s="459"/>
      <c r="S53" s="460"/>
      <c r="T53" s="461"/>
      <c r="U53" s="453">
        <f>SUM(U51:U52)</f>
        <v>477634.56999999995</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0.5</v>
      </c>
      <c r="D57" s="143">
        <v>0.31</v>
      </c>
      <c r="E57" s="116">
        <f t="shared" ref="E57:E65" si="10">IF(D$66=0,C57*2,C57+D57)</f>
        <v>0.81</v>
      </c>
      <c r="F57" s="493" t="s">
        <v>498</v>
      </c>
      <c r="G57" s="493">
        <v>251</v>
      </c>
      <c r="H57" s="507">
        <f>'1461'!H57</f>
        <v>1047</v>
      </c>
      <c r="I57" s="101">
        <f>ROUND(E57*H57,2)</f>
        <v>848.07</v>
      </c>
      <c r="N57" s="849" t="s">
        <v>506</v>
      </c>
      <c r="O57" s="849"/>
      <c r="P57" s="851"/>
      <c r="Q57" s="851"/>
      <c r="R57" s="499" t="s">
        <v>498</v>
      </c>
      <c r="S57" s="499">
        <v>251</v>
      </c>
      <c r="T57" s="510">
        <f>H57</f>
        <v>1047</v>
      </c>
      <c r="U57" s="524">
        <f>ROUND(P57*T57,2)</f>
        <v>0</v>
      </c>
      <c r="V57" s="474"/>
    </row>
    <row r="58" spans="1:22" x14ac:dyDescent="0.3">
      <c r="A58" s="792"/>
      <c r="B58" s="792"/>
      <c r="C58" s="143">
        <v>0.5</v>
      </c>
      <c r="D58" s="143">
        <v>0.31</v>
      </c>
      <c r="E58" s="116">
        <f t="shared" si="10"/>
        <v>0.81</v>
      </c>
      <c r="F58" s="493" t="s">
        <v>498</v>
      </c>
      <c r="G58" s="493">
        <v>252</v>
      </c>
      <c r="H58" s="507">
        <f>'1461'!H58</f>
        <v>3380</v>
      </c>
      <c r="I58" s="101">
        <f t="shared" ref="I58:I65" si="11">ROUND(E58*H58,2)</f>
        <v>2737.8</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9.5</v>
      </c>
      <c r="D59" s="143">
        <v>5.88</v>
      </c>
      <c r="E59" s="116">
        <f t="shared" si="10"/>
        <v>15.379999999999999</v>
      </c>
      <c r="F59" s="493" t="s">
        <v>498</v>
      </c>
      <c r="G59" s="493">
        <v>253</v>
      </c>
      <c r="H59" s="507">
        <f>'1461'!H59</f>
        <v>6896</v>
      </c>
      <c r="I59" s="101">
        <f t="shared" si="11"/>
        <v>106060.48</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0.99</v>
      </c>
      <c r="D61" s="143">
        <v>0.85</v>
      </c>
      <c r="E61" s="116">
        <f t="shared" si="10"/>
        <v>1.8399999999999999</v>
      </c>
      <c r="F61" s="494" t="s">
        <v>13</v>
      </c>
      <c r="G61" s="493">
        <v>252</v>
      </c>
      <c r="H61" s="507">
        <f>'1461'!H61</f>
        <v>3506</v>
      </c>
      <c r="I61" s="101">
        <f t="shared" si="11"/>
        <v>6451.04</v>
      </c>
      <c r="N61" s="850"/>
      <c r="O61" s="850"/>
      <c r="P61" s="844"/>
      <c r="Q61" s="844"/>
      <c r="R61" s="40" t="s">
        <v>13</v>
      </c>
      <c r="S61" s="499">
        <v>252</v>
      </c>
      <c r="T61" s="510">
        <f t="shared" si="12"/>
        <v>3506</v>
      </c>
      <c r="U61" s="524">
        <f t="shared" si="13"/>
        <v>0</v>
      </c>
      <c r="V61" s="474"/>
    </row>
    <row r="62" spans="1:22" x14ac:dyDescent="0.3">
      <c r="A62" s="792"/>
      <c r="B62" s="792"/>
      <c r="C62" s="143">
        <v>11.94</v>
      </c>
      <c r="D62" s="143">
        <v>10.17</v>
      </c>
      <c r="E62" s="116">
        <f>IF(D$66=0,C62*2,C62+D62)</f>
        <v>22.11</v>
      </c>
      <c r="F62" s="494" t="s">
        <v>13</v>
      </c>
      <c r="G62" s="493">
        <v>253</v>
      </c>
      <c r="H62" s="507">
        <f>'1461'!H62</f>
        <v>7023</v>
      </c>
      <c r="I62" s="101">
        <f t="shared" si="11"/>
        <v>155278.53</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2</v>
      </c>
      <c r="D64" s="143">
        <v>1.79</v>
      </c>
      <c r="E64" s="116">
        <f t="shared" si="10"/>
        <v>3.79</v>
      </c>
      <c r="F64" s="494" t="s">
        <v>14</v>
      </c>
      <c r="G64" s="493">
        <v>252</v>
      </c>
      <c r="H64" s="507">
        <f>'1461'!H64</f>
        <v>3168</v>
      </c>
      <c r="I64" s="101">
        <f t="shared" si="11"/>
        <v>12006.72</v>
      </c>
      <c r="N64" s="850"/>
      <c r="O64" s="850"/>
      <c r="P64" s="844"/>
      <c r="Q64" s="844"/>
      <c r="R64" s="40" t="s">
        <v>14</v>
      </c>
      <c r="S64" s="499">
        <v>252</v>
      </c>
      <c r="T64" s="510">
        <f t="shared" si="12"/>
        <v>3168</v>
      </c>
      <c r="U64" s="524">
        <f t="shared" si="13"/>
        <v>0</v>
      </c>
      <c r="V64" s="474"/>
    </row>
    <row r="65" spans="1:22" ht="16.2" thickBot="1" x14ac:dyDescent="0.35">
      <c r="A65" s="792"/>
      <c r="B65" s="792"/>
      <c r="C65" s="143">
        <v>31.5</v>
      </c>
      <c r="D65" s="143">
        <v>28.21</v>
      </c>
      <c r="E65" s="116">
        <f t="shared" si="10"/>
        <v>59.71</v>
      </c>
      <c r="F65" s="494" t="s">
        <v>14</v>
      </c>
      <c r="G65" s="493">
        <v>253</v>
      </c>
      <c r="H65" s="507">
        <f>'1461'!H65</f>
        <v>6685</v>
      </c>
      <c r="I65" s="101">
        <f t="shared" si="11"/>
        <v>399161.35</v>
      </c>
      <c r="N65" s="850"/>
      <c r="O65" s="850"/>
      <c r="P65" s="845"/>
      <c r="Q65" s="845"/>
      <c r="R65" s="40" t="s">
        <v>14</v>
      </c>
      <c r="S65" s="499">
        <v>253</v>
      </c>
      <c r="T65" s="510">
        <f t="shared" si="12"/>
        <v>6685</v>
      </c>
      <c r="U65" s="525">
        <f t="shared" si="13"/>
        <v>0</v>
      </c>
      <c r="V65" s="474"/>
    </row>
    <row r="66" spans="1:22" ht="16.2" thickBot="1" x14ac:dyDescent="0.35">
      <c r="A66" s="490"/>
      <c r="C66" s="97">
        <f>SUM(C57:C65)</f>
        <v>56.93</v>
      </c>
      <c r="D66" s="97">
        <f>SUM(D57:D65)</f>
        <v>47.519999999999996</v>
      </c>
      <c r="E66" s="97">
        <f>SUM(E57:E65)</f>
        <v>104.45</v>
      </c>
      <c r="F66" s="779" t="s">
        <v>507</v>
      </c>
      <c r="G66" s="779"/>
      <c r="H66" s="779"/>
      <c r="I66" s="97">
        <f>SUM(I57:I65)</f>
        <v>682543.99</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376.88000000000005</v>
      </c>
      <c r="D69" s="789" t="s">
        <v>474</v>
      </c>
      <c r="E69" s="789"/>
      <c r="F69" s="789"/>
      <c r="G69" s="789"/>
      <c r="H69" s="299">
        <f>'1461'!H69</f>
        <v>210166.87</v>
      </c>
      <c r="I69" s="113"/>
      <c r="N69" s="817" t="s">
        <v>467</v>
      </c>
      <c r="O69" s="818"/>
      <c r="P69" s="41">
        <f>P30</f>
        <v>376.88000000000005</v>
      </c>
      <c r="Q69" s="842" t="s">
        <v>469</v>
      </c>
      <c r="R69" s="843"/>
      <c r="S69" s="843"/>
      <c r="T69" s="831">
        <f>H69</f>
        <v>210166.87</v>
      </c>
      <c r="U69" s="831"/>
    </row>
    <row r="70" spans="1:22" x14ac:dyDescent="0.3">
      <c r="B70" s="69"/>
      <c r="G70" s="42" t="s">
        <v>12</v>
      </c>
      <c r="H70" s="114">
        <f>ROUND(C69/H69,6)</f>
        <v>1.7930000000000001E-3</v>
      </c>
      <c r="I70" s="115"/>
      <c r="N70" s="818"/>
      <c r="O70" s="818"/>
      <c r="P70" s="818"/>
      <c r="Q70" s="818"/>
      <c r="R70" s="818"/>
      <c r="S70" s="818"/>
      <c r="T70" s="836">
        <f>ROUND(P69/T69,6)</f>
        <v>1.7930000000000001E-3</v>
      </c>
      <c r="U70" s="836"/>
    </row>
    <row r="71" spans="1:22" x14ac:dyDescent="0.3">
      <c r="A71" s="492" t="s">
        <v>510</v>
      </c>
      <c r="N71" s="503" t="s">
        <v>518</v>
      </c>
      <c r="O71" s="51"/>
      <c r="P71" s="51"/>
      <c r="Q71" s="51"/>
      <c r="R71" s="51"/>
      <c r="S71" s="51"/>
      <c r="T71" s="51"/>
      <c r="U71" s="51"/>
    </row>
    <row r="72" spans="1:22" x14ac:dyDescent="0.3">
      <c r="A72" s="775" t="s">
        <v>464</v>
      </c>
      <c r="B72" s="776"/>
      <c r="C72" s="112">
        <f>H30</f>
        <v>1294.6580000000001</v>
      </c>
      <c r="D72" s="789" t="s">
        <v>475</v>
      </c>
      <c r="E72" s="789"/>
      <c r="F72" s="789"/>
      <c r="G72" s="789"/>
      <c r="H72" s="300">
        <f>'1461'!H72</f>
        <v>237198.6</v>
      </c>
      <c r="I72" s="116"/>
      <c r="N72" s="817" t="s">
        <v>468</v>
      </c>
      <c r="O72" s="818"/>
      <c r="P72" s="41">
        <f>T30</f>
        <v>376.88000000000005</v>
      </c>
      <c r="Q72" s="842" t="s">
        <v>470</v>
      </c>
      <c r="R72" s="843"/>
      <c r="S72" s="843"/>
      <c r="T72" s="831">
        <f>H72</f>
        <v>237198.6</v>
      </c>
      <c r="U72" s="831"/>
    </row>
    <row r="73" spans="1:22" x14ac:dyDescent="0.3">
      <c r="G73" s="42" t="s">
        <v>12</v>
      </c>
      <c r="H73" s="114">
        <f>ROUND(C72/H72,6)</f>
        <v>5.4580000000000002E-3</v>
      </c>
      <c r="I73" s="114"/>
      <c r="N73" s="818"/>
      <c r="O73" s="818"/>
      <c r="P73" s="818"/>
      <c r="Q73" s="818"/>
      <c r="R73" s="818"/>
      <c r="S73" s="818"/>
      <c r="T73" s="836">
        <f>ROUND(P72/T72,6)</f>
        <v>1.5889999999999999E-3</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376.88000000000005</v>
      </c>
      <c r="D75" s="788" t="s">
        <v>476</v>
      </c>
      <c r="E75" s="788"/>
      <c r="F75" s="788"/>
      <c r="G75" s="788"/>
      <c r="H75" s="299">
        <f>'1461'!H75</f>
        <v>185588.37</v>
      </c>
      <c r="I75" s="113"/>
      <c r="N75" s="817" t="s">
        <v>466</v>
      </c>
      <c r="O75" s="818"/>
      <c r="P75" s="41">
        <f>P30</f>
        <v>376.88000000000005</v>
      </c>
      <c r="Q75" s="838" t="s">
        <v>471</v>
      </c>
      <c r="R75" s="839"/>
      <c r="S75" s="839"/>
      <c r="T75" s="831">
        <f>H75</f>
        <v>185588.37</v>
      </c>
      <c r="U75" s="831"/>
    </row>
    <row r="76" spans="1:22" x14ac:dyDescent="0.3">
      <c r="B76" s="69"/>
      <c r="G76" s="42" t="s">
        <v>12</v>
      </c>
      <c r="H76" s="114">
        <f>ROUND(C75/H75,6)</f>
        <v>2.0309999999999998E-3</v>
      </c>
      <c r="I76" s="115"/>
      <c r="N76" s="818"/>
      <c r="O76" s="818"/>
      <c r="P76" s="818"/>
      <c r="Q76" s="818"/>
      <c r="R76" s="818"/>
      <c r="S76" s="818"/>
      <c r="T76" s="836">
        <f>ROUND(P75/T75,6)</f>
        <v>2.0309999999999998E-3</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376.88000000000005</v>
      </c>
      <c r="D78" s="784" t="s">
        <v>477</v>
      </c>
      <c r="E78" s="784"/>
      <c r="F78" s="784"/>
      <c r="G78" s="784"/>
      <c r="H78" s="299">
        <f>'1461'!H78</f>
        <v>209834.86</v>
      </c>
      <c r="I78" s="113"/>
      <c r="N78" s="817" t="s">
        <v>466</v>
      </c>
      <c r="O78" s="818"/>
      <c r="P78" s="41">
        <f>P30</f>
        <v>376.88000000000005</v>
      </c>
      <c r="Q78" s="840" t="s">
        <v>472</v>
      </c>
      <c r="R78" s="841"/>
      <c r="S78" s="841"/>
      <c r="T78" s="831">
        <f>H78</f>
        <v>209834.86</v>
      </c>
      <c r="U78" s="831"/>
    </row>
    <row r="79" spans="1:22" x14ac:dyDescent="0.3">
      <c r="B79" s="69"/>
      <c r="G79" s="42" t="s">
        <v>12</v>
      </c>
      <c r="H79" s="114">
        <f>ROUND(C78/H78,6)</f>
        <v>1.7960000000000001E-3</v>
      </c>
      <c r="I79" s="115"/>
      <c r="N79" s="818"/>
      <c r="O79" s="818"/>
      <c r="P79" s="818"/>
      <c r="Q79" s="818"/>
      <c r="R79" s="818"/>
      <c r="S79" s="818"/>
      <c r="T79" s="836">
        <f>ROUND(P78/T78,6)</f>
        <v>1.7960000000000001E-3</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376.88000000000005</v>
      </c>
      <c r="D81" s="788" t="s">
        <v>478</v>
      </c>
      <c r="E81" s="788"/>
      <c r="F81" s="788"/>
      <c r="G81" s="788"/>
      <c r="H81" s="299">
        <f>'1461'!H81</f>
        <v>185256.36</v>
      </c>
      <c r="I81" s="113"/>
      <c r="N81" s="817" t="s">
        <v>479</v>
      </c>
      <c r="O81" s="818"/>
      <c r="P81" s="41">
        <f>P30</f>
        <v>376.88000000000005</v>
      </c>
      <c r="Q81" s="838" t="s">
        <v>480</v>
      </c>
      <c r="R81" s="839"/>
      <c r="S81" s="839"/>
      <c r="T81" s="831">
        <f>H81</f>
        <v>185256.36</v>
      </c>
      <c r="U81" s="831"/>
    </row>
    <row r="82" spans="1:21" x14ac:dyDescent="0.3">
      <c r="B82" s="69"/>
      <c r="G82" s="42" t="s">
        <v>12</v>
      </c>
      <c r="H82" s="114">
        <f>ROUND(C81/H81,6)</f>
        <v>2.0339999999999998E-3</v>
      </c>
      <c r="I82" s="115"/>
      <c r="N82" s="818"/>
      <c r="O82" s="818"/>
      <c r="P82" s="818"/>
      <c r="Q82" s="818"/>
      <c r="R82" s="818"/>
      <c r="S82" s="818"/>
      <c r="T82" s="836">
        <f>ROUND(P81/T81,6)</f>
        <v>2.0339999999999998E-3</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1.7960000000000001E-3</v>
      </c>
      <c r="I85" s="101">
        <f>ROUND(F85*H85,2)</f>
        <v>82887.34</v>
      </c>
      <c r="N85" s="503" t="s">
        <v>514</v>
      </c>
      <c r="O85" s="51"/>
      <c r="P85" s="51"/>
      <c r="Q85" s="44"/>
      <c r="R85" s="469">
        <f>F85</f>
        <v>46151079</v>
      </c>
      <c r="S85" s="38" t="s">
        <v>6</v>
      </c>
      <c r="T85" s="471">
        <f>T79</f>
        <v>1.7960000000000001E-3</v>
      </c>
      <c r="U85" s="523">
        <f>ROUND(R85*T85,2)</f>
        <v>82887.34</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1.7930000000000001E-3</v>
      </c>
      <c r="I88" s="101">
        <f>ROUND(F88*H88,2)</f>
        <v>0</v>
      </c>
      <c r="N88" s="837" t="s">
        <v>99</v>
      </c>
      <c r="O88" s="818"/>
      <c r="P88" s="818"/>
      <c r="Q88" s="44"/>
      <c r="R88" s="469">
        <f>F88</f>
        <v>0</v>
      </c>
      <c r="S88" s="38" t="s">
        <v>6</v>
      </c>
      <c r="T88" s="471">
        <f>T70</f>
        <v>1.7930000000000001E-3</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2.0339999999999998E-3</v>
      </c>
      <c r="I90" s="101">
        <f>ROUND(F90*H90,2)</f>
        <v>38837.89</v>
      </c>
      <c r="N90" s="503" t="s">
        <v>515</v>
      </c>
      <c r="O90" s="51"/>
      <c r="P90" s="51"/>
      <c r="Q90" s="44"/>
      <c r="R90" s="469">
        <f>F90</f>
        <v>19094340</v>
      </c>
      <c r="S90" s="38" t="s">
        <v>6</v>
      </c>
      <c r="T90" s="471">
        <f>T82</f>
        <v>2.0339999999999998E-3</v>
      </c>
      <c r="U90" s="523">
        <f>ROUND(R90*T90,2)</f>
        <v>38837.89</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2.0309999999999998E-3</v>
      </c>
      <c r="I92" s="101">
        <f t="shared" ref="I92:I96" si="14">ROUND(F92*H92,2)</f>
        <v>23279.18</v>
      </c>
      <c r="N92" s="503" t="s">
        <v>516</v>
      </c>
      <c r="O92" s="51"/>
      <c r="P92" s="51"/>
      <c r="Q92" s="44"/>
      <c r="R92" s="469">
        <f t="shared" ref="R92:R96" si="15">F92</f>
        <v>11461928</v>
      </c>
      <c r="S92" s="38" t="s">
        <v>6</v>
      </c>
      <c r="T92" s="471">
        <f>T76</f>
        <v>2.0309999999999998E-3</v>
      </c>
      <c r="U92" s="523">
        <f>ROUND(R92*T92,2)</f>
        <v>23279.18</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5.4580000000000002E-3</v>
      </c>
      <c r="I94" s="101">
        <f t="shared" si="14"/>
        <v>1395920.7</v>
      </c>
      <c r="N94" s="818" t="s">
        <v>482</v>
      </c>
      <c r="O94" s="818"/>
      <c r="P94" s="818"/>
      <c r="Q94" s="44"/>
      <c r="R94" s="469">
        <f t="shared" si="15"/>
        <v>255756816</v>
      </c>
      <c r="S94" s="38" t="s">
        <v>6</v>
      </c>
      <c r="T94" s="471">
        <f>T73</f>
        <v>1.5889999999999999E-3</v>
      </c>
      <c r="U94" s="523">
        <f>ROUND(R94*T94,2)</f>
        <v>406397.58</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5.4580000000000002E-3</v>
      </c>
      <c r="I96" s="101">
        <f t="shared" si="14"/>
        <v>-91177.89</v>
      </c>
      <c r="N96" s="817" t="s">
        <v>483</v>
      </c>
      <c r="O96" s="818"/>
      <c r="P96" s="818"/>
      <c r="Q96" s="44"/>
      <c r="R96" s="469">
        <f t="shared" si="15"/>
        <v>-16705366</v>
      </c>
      <c r="S96" s="38" t="s">
        <v>6</v>
      </c>
      <c r="T96" s="471">
        <f>T73</f>
        <v>1.5889999999999999E-3</v>
      </c>
      <c r="U96" s="523">
        <f>ROUND(R96*T96,2)</f>
        <v>-26544.83</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1.7930000000000001E-3</v>
      </c>
      <c r="I98" s="101">
        <f t="shared" ref="I98" si="16">ROUND(F98*H98,2)</f>
        <v>365.52</v>
      </c>
      <c r="N98" s="585" t="s">
        <v>556</v>
      </c>
      <c r="O98" s="585"/>
      <c r="P98" s="585"/>
      <c r="Q98" s="44"/>
      <c r="R98" s="588">
        <f>F98</f>
        <v>203862</v>
      </c>
      <c r="S98" s="586" t="s">
        <v>6</v>
      </c>
      <c r="T98" s="471">
        <f>T70</f>
        <v>1.7930000000000001E-3</v>
      </c>
      <c r="U98" s="523">
        <f>ROUND(R98*T98,2)</f>
        <v>365.52</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503.95540000000005</v>
      </c>
      <c r="D104" s="774"/>
      <c r="E104" s="46">
        <f>H8</f>
        <v>1.0407999999999999</v>
      </c>
      <c r="F104" s="302">
        <f>'1461'!F104</f>
        <v>950.92</v>
      </c>
      <c r="G104" s="39" t="s">
        <v>12</v>
      </c>
      <c r="H104" s="101">
        <f>ROUND(C104*E104*F104,2)</f>
        <v>498773.5</v>
      </c>
      <c r="I104" s="104"/>
      <c r="N104" s="28" t="s">
        <v>17</v>
      </c>
      <c r="O104" s="47">
        <f>T14+T15+T20+T23+T26</f>
        <v>129.62</v>
      </c>
      <c r="P104" s="832">
        <f>T8</f>
        <v>1.0407999999999999</v>
      </c>
      <c r="Q104" s="832"/>
      <c r="R104" s="48">
        <f>F104</f>
        <v>950.92</v>
      </c>
      <c r="S104" s="40" t="s">
        <v>12</v>
      </c>
      <c r="T104" s="529">
        <f>ROUND(O104*P104*R104,2)</f>
        <v>128287.19</v>
      </c>
      <c r="U104" s="102"/>
    </row>
    <row r="105" spans="1:21" x14ac:dyDescent="0.3">
      <c r="A105" s="49"/>
      <c r="B105" s="49" t="s">
        <v>104</v>
      </c>
      <c r="C105" s="774">
        <f>H16+H17+H21+H24+H27</f>
        <v>429.2647</v>
      </c>
      <c r="D105" s="774"/>
      <c r="E105" s="46">
        <f>H8</f>
        <v>1.0407999999999999</v>
      </c>
      <c r="F105" s="302">
        <f>'1461'!F105</f>
        <v>907.92</v>
      </c>
      <c r="G105" s="39" t="s">
        <v>12</v>
      </c>
      <c r="H105" s="101">
        <f>ROUND(C105*E105*F105,2)</f>
        <v>405639.32</v>
      </c>
      <c r="N105" s="50" t="s">
        <v>13</v>
      </c>
      <c r="O105" s="47">
        <f>T16+T17+T21+T24+T27</f>
        <v>116.09</v>
      </c>
      <c r="P105" s="832">
        <f>T8</f>
        <v>1.0407999999999999</v>
      </c>
      <c r="Q105" s="832"/>
      <c r="R105" s="48">
        <f>F105</f>
        <v>907.92</v>
      </c>
      <c r="S105" s="40" t="s">
        <v>12</v>
      </c>
      <c r="T105" s="529">
        <f>ROUND(O105*P105*R105,2)</f>
        <v>109700.77</v>
      </c>
      <c r="U105" s="51"/>
    </row>
    <row r="106" spans="1:21" ht="16.2" thickBot="1" x14ac:dyDescent="0.35">
      <c r="A106" s="52"/>
      <c r="B106" s="52" t="s">
        <v>103</v>
      </c>
      <c r="C106" s="774">
        <f>H18+H19+H22+H25+H28+H29</f>
        <v>361.43790000000001</v>
      </c>
      <c r="D106" s="774"/>
      <c r="E106" s="46">
        <f>H8</f>
        <v>1.0407999999999999</v>
      </c>
      <c r="F106" s="302">
        <f>'1461'!F106</f>
        <v>910.12</v>
      </c>
      <c r="G106" s="39" t="s">
        <v>12</v>
      </c>
      <c r="H106" s="94">
        <f>ROUND(C106*E106*F106,2)</f>
        <v>342373.1</v>
      </c>
      <c r="N106" s="53" t="s">
        <v>14</v>
      </c>
      <c r="O106" s="54">
        <f>T18+T19+T22+T25+T28+T29</f>
        <v>131.17000000000002</v>
      </c>
      <c r="P106" s="832">
        <f>T8</f>
        <v>1.0407999999999999</v>
      </c>
      <c r="Q106" s="832"/>
      <c r="R106" s="48">
        <f>F106</f>
        <v>910.12</v>
      </c>
      <c r="S106" s="40" t="s">
        <v>12</v>
      </c>
      <c r="T106" s="529">
        <f>ROUND(O106*P106*R106,2)</f>
        <v>124251.16</v>
      </c>
      <c r="U106" s="51"/>
    </row>
    <row r="107" spans="1:21" ht="16.2" thickBot="1" x14ac:dyDescent="0.35">
      <c r="A107" s="55"/>
      <c r="B107" s="122" t="s">
        <v>102</v>
      </c>
      <c r="C107" s="787">
        <f>SUM(C104:C106)</f>
        <v>1294.6579999999999</v>
      </c>
      <c r="D107" s="787"/>
      <c r="E107" s="123"/>
      <c r="F107" s="123"/>
      <c r="G107" s="123"/>
      <c r="H107" s="124" t="s">
        <v>100</v>
      </c>
      <c r="I107" s="101">
        <f>IF(A1=75,0,H106+H105+H104)</f>
        <v>1246785.92</v>
      </c>
      <c r="N107" s="56" t="s">
        <v>89</v>
      </c>
      <c r="O107" s="57">
        <f>SUM(O104:O106)</f>
        <v>376.88</v>
      </c>
      <c r="P107" s="827" t="s">
        <v>16</v>
      </c>
      <c r="Q107" s="828"/>
      <c r="R107" s="828"/>
      <c r="S107" s="828"/>
      <c r="T107" s="828"/>
      <c r="U107" s="523">
        <f>IF(N1=75,0,T106+T105+T104)</f>
        <v>362239.12</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1</v>
      </c>
      <c r="D113" s="143">
        <v>0</v>
      </c>
      <c r="E113" s="116">
        <f>(C113+D113)/2</f>
        <v>0.5</v>
      </c>
      <c r="F113" s="126" t="s">
        <v>30</v>
      </c>
      <c r="G113" s="303">
        <f>'1461'!G113</f>
        <v>584</v>
      </c>
      <c r="I113" s="101">
        <f>ROUND(G113*E113,2)</f>
        <v>292</v>
      </c>
      <c r="N113" s="826" t="s">
        <v>52</v>
      </c>
      <c r="O113" s="826"/>
      <c r="P113" s="825">
        <f>IF(H133=1,E113,0)</f>
        <v>0.5</v>
      </c>
      <c r="Q113" s="825"/>
      <c r="R113" s="825"/>
      <c r="S113" s="83" t="s">
        <v>30</v>
      </c>
      <c r="T113" s="58">
        <f>G113</f>
        <v>584</v>
      </c>
      <c r="U113" s="523">
        <f>ROUND(T113*P113,2)</f>
        <v>292</v>
      </c>
    </row>
    <row r="114" spans="1:21" x14ac:dyDescent="0.3">
      <c r="A114" s="788" t="s">
        <v>444</v>
      </c>
      <c r="B114" s="809"/>
      <c r="C114" s="143">
        <v>1</v>
      </c>
      <c r="D114" s="143">
        <v>0</v>
      </c>
      <c r="E114" s="116">
        <f>(C114+D114)/2</f>
        <v>0.5</v>
      </c>
      <c r="F114" s="126" t="s">
        <v>30</v>
      </c>
      <c r="G114" s="303">
        <f>'1461'!G114</f>
        <v>1838</v>
      </c>
      <c r="I114" s="101">
        <f>ROUND(G114*E114,2)</f>
        <v>919</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10564042.819999998</v>
      </c>
      <c r="N128" s="503"/>
      <c r="O128" s="502"/>
      <c r="P128" s="502"/>
      <c r="Q128" s="305"/>
      <c r="R128" s="305"/>
      <c r="S128" s="305"/>
      <c r="T128" s="305"/>
      <c r="U128" s="530">
        <f>SUM(U30,U85,U88,U90,U92,U94,U96,U107,U113,U114,U124,U126,U98)</f>
        <v>2978866.4500000007</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10086408.249999998</v>
      </c>
      <c r="N130" s="818" t="s">
        <v>494</v>
      </c>
      <c r="O130" s="818"/>
      <c r="P130" s="818"/>
      <c r="Q130" s="818"/>
      <c r="R130" s="818"/>
      <c r="S130" s="818"/>
      <c r="T130" s="818"/>
      <c r="U130" s="521">
        <f>U128-U53</f>
        <v>2501231.8800000008</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2501231.8800000008</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2501231.8800000008</v>
      </c>
      <c r="I135" s="94">
        <f>ROUND(IF(E30=0,0,IF(E30&gt;250,-(((250/E30)*H135)*IF(G135="H",0.02,0.05)),IF(G135="H",-0.02*H135,-0.05*H135))),2)</f>
        <v>-82958.5</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10481084.319999998</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Payments'!Q79</f>
        <v>-10306382.98</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174701.33999999799</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174701.34</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IF(G135="H",(H135*0.02)+I135,(H135*0.05)+I135)</f>
        <v>42103.094000000041</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B1:I1"/>
    <mergeCell ref="O1:U1"/>
    <mergeCell ref="N2:U2"/>
    <mergeCell ref="N3:U3"/>
    <mergeCell ref="A4:B4"/>
    <mergeCell ref="C4:E4"/>
    <mergeCell ref="N4:O4"/>
    <mergeCell ref="P4:Q4"/>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F20:G20"/>
    <mergeCell ref="N20:O20"/>
    <mergeCell ref="P20:Q20"/>
    <mergeCell ref="R20:S20"/>
    <mergeCell ref="A21:B21"/>
    <mergeCell ref="F21:G21"/>
    <mergeCell ref="N21:O21"/>
    <mergeCell ref="P21:Q21"/>
    <mergeCell ref="R21:S21"/>
    <mergeCell ref="A20:B20"/>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&amp;L&amp;8&amp;Z&amp;F&amp;R&amp;P of &amp;N</oddFooter>
  </headerFooter>
  <rowBreaks count="1" manualBreakCount="1">
    <brk id="151" max="16383" man="1"/>
  </rowBreaks>
  <colBreaks count="1" manualBreakCount="1">
    <brk id="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FFCCCC"/>
  </sheetPr>
  <dimension ref="A1:V221"/>
  <sheetViews>
    <sheetView topLeftCell="A25" workbookViewId="0">
      <selection activeCell="D61" sqref="D61"/>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363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0.5</v>
      </c>
      <c r="E17" s="116">
        <f t="shared" si="1"/>
        <v>0.5</v>
      </c>
      <c r="F17" s="859">
        <f>'1461'!F17:G17</f>
        <v>1</v>
      </c>
      <c r="G17" s="859"/>
      <c r="H17" s="80">
        <f t="shared" si="2"/>
        <v>0.5</v>
      </c>
      <c r="I17" s="101">
        <f t="shared" si="3"/>
        <v>2774.24</v>
      </c>
      <c r="J17" s="65" t="str">
        <f>IF(ROUND(E17,2)=ROUND(SUM(E60:E62),2)," ","CHECK 4-8 LINES BELOW")</f>
        <v xml:space="preserve"> </v>
      </c>
      <c r="N17" s="818" t="s">
        <v>23</v>
      </c>
      <c r="O17" s="818"/>
      <c r="P17" s="860">
        <f t="shared" si="0"/>
        <v>0.5</v>
      </c>
      <c r="Q17" s="860"/>
      <c r="R17" s="864">
        <v>1</v>
      </c>
      <c r="S17" s="864"/>
      <c r="T17" s="95">
        <f t="shared" si="4"/>
        <v>0.5</v>
      </c>
      <c r="U17" s="523">
        <f t="shared" si="5"/>
        <v>2774.24</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4.43</v>
      </c>
      <c r="D19" s="143">
        <v>4.97</v>
      </c>
      <c r="E19" s="116">
        <f t="shared" si="1"/>
        <v>9.3999999999999986</v>
      </c>
      <c r="F19" s="859">
        <f>'1461'!F19:G19</f>
        <v>0.97799999999999998</v>
      </c>
      <c r="G19" s="859"/>
      <c r="H19" s="80">
        <f t="shared" si="2"/>
        <v>9.1931999999999992</v>
      </c>
      <c r="I19" s="101">
        <f t="shared" si="3"/>
        <v>51008.32</v>
      </c>
      <c r="J19" s="65" t="str">
        <f>IF(ROUND(E19,2)=ROUND(SUM(E63:E65),2)," ","CHECK 4-8 LINES BELOW")</f>
        <v xml:space="preserve"> </v>
      </c>
      <c r="N19" s="818" t="s">
        <v>25</v>
      </c>
      <c r="O19" s="818"/>
      <c r="P19" s="860">
        <f t="shared" si="0"/>
        <v>9.3999999999999986</v>
      </c>
      <c r="Q19" s="860"/>
      <c r="R19" s="864">
        <v>1</v>
      </c>
      <c r="S19" s="864"/>
      <c r="T19" s="95">
        <f t="shared" si="4"/>
        <v>9.4</v>
      </c>
      <c r="U19" s="522">
        <f t="shared" si="5"/>
        <v>52155.75</v>
      </c>
    </row>
    <row r="20" spans="1:21" x14ac:dyDescent="0.3">
      <c r="A20" s="776" t="s">
        <v>79</v>
      </c>
      <c r="B20" s="776"/>
      <c r="C20" s="143">
        <v>3</v>
      </c>
      <c r="D20" s="143">
        <v>3.04</v>
      </c>
      <c r="E20" s="116">
        <f t="shared" si="1"/>
        <v>6.04</v>
      </c>
      <c r="F20" s="859">
        <f>'1461'!F20:G20</f>
        <v>3.6970000000000001</v>
      </c>
      <c r="G20" s="859"/>
      <c r="H20" s="80">
        <f t="shared" si="2"/>
        <v>22.329899999999999</v>
      </c>
      <c r="I20" s="101">
        <f t="shared" si="3"/>
        <v>123897.09</v>
      </c>
      <c r="N20" s="818" t="s">
        <v>79</v>
      </c>
      <c r="O20" s="818"/>
      <c r="P20" s="860">
        <f t="shared" si="0"/>
        <v>6.04</v>
      </c>
      <c r="Q20" s="860"/>
      <c r="R20" s="864">
        <v>1</v>
      </c>
      <c r="S20" s="864"/>
      <c r="T20" s="95">
        <f t="shared" si="4"/>
        <v>6.04</v>
      </c>
      <c r="U20" s="523">
        <f t="shared" si="5"/>
        <v>33512.839999999997</v>
      </c>
    </row>
    <row r="21" spans="1:21" x14ac:dyDescent="0.3">
      <c r="A21" s="776" t="s">
        <v>80</v>
      </c>
      <c r="B21" s="776"/>
      <c r="C21" s="143">
        <v>8.51</v>
      </c>
      <c r="D21" s="143">
        <v>8.61</v>
      </c>
      <c r="E21" s="116">
        <f t="shared" si="1"/>
        <v>17.119999999999997</v>
      </c>
      <c r="F21" s="859">
        <f>'1461'!F21:G21</f>
        <v>3.6970000000000001</v>
      </c>
      <c r="G21" s="859"/>
      <c r="H21" s="80">
        <f t="shared" si="2"/>
        <v>63.2926</v>
      </c>
      <c r="I21" s="101">
        <f t="shared" si="3"/>
        <v>351177.98</v>
      </c>
      <c r="N21" s="818" t="s">
        <v>80</v>
      </c>
      <c r="O21" s="818"/>
      <c r="P21" s="860">
        <f t="shared" si="0"/>
        <v>17.119999999999997</v>
      </c>
      <c r="Q21" s="860"/>
      <c r="R21" s="864">
        <v>1</v>
      </c>
      <c r="S21" s="864"/>
      <c r="T21" s="95">
        <f t="shared" si="4"/>
        <v>17.12</v>
      </c>
      <c r="U21" s="523">
        <f t="shared" si="5"/>
        <v>94990.05</v>
      </c>
    </row>
    <row r="22" spans="1:21" x14ac:dyDescent="0.3">
      <c r="A22" s="776" t="s">
        <v>81</v>
      </c>
      <c r="B22" s="776"/>
      <c r="C22" s="143">
        <v>22.02</v>
      </c>
      <c r="D22" s="143">
        <v>22.28</v>
      </c>
      <c r="E22" s="116">
        <f t="shared" si="1"/>
        <v>44.3</v>
      </c>
      <c r="F22" s="859">
        <f>'1461'!F22:G22</f>
        <v>3.6970000000000001</v>
      </c>
      <c r="G22" s="859"/>
      <c r="H22" s="80">
        <f t="shared" si="2"/>
        <v>163.77709999999999</v>
      </c>
      <c r="I22" s="101">
        <f t="shared" si="3"/>
        <v>908714.62</v>
      </c>
      <c r="N22" s="818" t="s">
        <v>81</v>
      </c>
      <c r="O22" s="818"/>
      <c r="P22" s="860">
        <f t="shared" si="0"/>
        <v>44.3</v>
      </c>
      <c r="Q22" s="860"/>
      <c r="R22" s="864">
        <v>1</v>
      </c>
      <c r="S22" s="864"/>
      <c r="T22" s="95">
        <f t="shared" si="4"/>
        <v>44.3</v>
      </c>
      <c r="U22" s="523">
        <f t="shared" si="5"/>
        <v>245797.84</v>
      </c>
    </row>
    <row r="23" spans="1:21" x14ac:dyDescent="0.3">
      <c r="A23" s="776" t="s">
        <v>82</v>
      </c>
      <c r="B23" s="776"/>
      <c r="C23" s="143">
        <v>5.99</v>
      </c>
      <c r="D23" s="143">
        <v>6.14</v>
      </c>
      <c r="E23" s="116">
        <f t="shared" si="1"/>
        <v>12.129999999999999</v>
      </c>
      <c r="F23" s="859">
        <f>'1461'!F23:G23</f>
        <v>5.992</v>
      </c>
      <c r="G23" s="859"/>
      <c r="H23" s="80">
        <f t="shared" si="2"/>
        <v>72.683000000000007</v>
      </c>
      <c r="I23" s="101">
        <f t="shared" si="3"/>
        <v>403280.46</v>
      </c>
      <c r="N23" s="818" t="s">
        <v>82</v>
      </c>
      <c r="O23" s="818"/>
      <c r="P23" s="860">
        <f t="shared" si="0"/>
        <v>12.129999999999999</v>
      </c>
      <c r="Q23" s="860"/>
      <c r="R23" s="864">
        <v>1</v>
      </c>
      <c r="S23" s="864"/>
      <c r="T23" s="95">
        <f t="shared" si="4"/>
        <v>12.13</v>
      </c>
      <c r="U23" s="523">
        <f t="shared" si="5"/>
        <v>67303.11</v>
      </c>
    </row>
    <row r="24" spans="1:21" x14ac:dyDescent="0.3">
      <c r="A24" s="776" t="s">
        <v>83</v>
      </c>
      <c r="B24" s="776"/>
      <c r="C24" s="143">
        <v>10.98</v>
      </c>
      <c r="D24" s="143">
        <v>11.26</v>
      </c>
      <c r="E24" s="116">
        <f t="shared" si="1"/>
        <v>22.240000000000002</v>
      </c>
      <c r="F24" s="859">
        <f>'1461'!F24:G24</f>
        <v>5.992</v>
      </c>
      <c r="G24" s="859"/>
      <c r="H24" s="80">
        <f t="shared" si="2"/>
        <v>133.2621</v>
      </c>
      <c r="I24" s="101">
        <f t="shared" si="3"/>
        <v>739402.63</v>
      </c>
      <c r="N24" s="818" t="s">
        <v>83</v>
      </c>
      <c r="O24" s="818"/>
      <c r="P24" s="860">
        <f t="shared" si="0"/>
        <v>22.240000000000002</v>
      </c>
      <c r="Q24" s="860"/>
      <c r="R24" s="864">
        <v>1</v>
      </c>
      <c r="S24" s="864"/>
      <c r="T24" s="95">
        <f t="shared" si="4"/>
        <v>22.24</v>
      </c>
      <c r="U24" s="523">
        <f t="shared" si="5"/>
        <v>123398.28</v>
      </c>
    </row>
    <row r="25" spans="1:21" x14ac:dyDescent="0.3">
      <c r="A25" s="776" t="s">
        <v>84</v>
      </c>
      <c r="B25" s="776"/>
      <c r="C25" s="143">
        <v>25.44</v>
      </c>
      <c r="D25" s="143">
        <v>26.11</v>
      </c>
      <c r="E25" s="116">
        <f t="shared" si="1"/>
        <v>51.55</v>
      </c>
      <c r="F25" s="859">
        <f>'1461'!F25:G25</f>
        <v>5.992</v>
      </c>
      <c r="G25" s="859"/>
      <c r="H25" s="80">
        <f t="shared" si="2"/>
        <v>308.88760000000002</v>
      </c>
      <c r="I25" s="101">
        <f t="shared" si="3"/>
        <v>1713857.9</v>
      </c>
      <c r="N25" s="818" t="s">
        <v>84</v>
      </c>
      <c r="O25" s="818"/>
      <c r="P25" s="860">
        <f t="shared" si="0"/>
        <v>51.55</v>
      </c>
      <c r="Q25" s="860"/>
      <c r="R25" s="864">
        <v>1</v>
      </c>
      <c r="S25" s="864"/>
      <c r="T25" s="95">
        <f t="shared" si="4"/>
        <v>51.55</v>
      </c>
      <c r="U25" s="523">
        <f t="shared" si="5"/>
        <v>286024.34999999998</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80.37</v>
      </c>
      <c r="D30" s="94">
        <f>SUM(D14:D29)</f>
        <v>82.91</v>
      </c>
      <c r="E30" s="94">
        <f>SUM(E14:E29)</f>
        <v>163.27999999999997</v>
      </c>
      <c r="F30" s="795"/>
      <c r="G30" s="795"/>
      <c r="H30" s="99">
        <f>SUM(H14:H29)</f>
        <v>773.92550000000006</v>
      </c>
      <c r="I30" s="94">
        <f>SUM(I14:I29)</f>
        <v>4294113.24</v>
      </c>
      <c r="N30" s="862" t="s">
        <v>5</v>
      </c>
      <c r="O30" s="862"/>
      <c r="P30" s="863">
        <f>SUM(P14:P29)</f>
        <v>163.27999999999997</v>
      </c>
      <c r="Q30" s="863"/>
      <c r="R30" s="852"/>
      <c r="S30" s="852"/>
      <c r="T30" s="100">
        <f>SUM(T14:T29)</f>
        <v>163.27999999999997</v>
      </c>
      <c r="U30" s="523">
        <f>SUM(U14:U29)</f>
        <v>905956.46</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773.92550000000006</v>
      </c>
      <c r="F46" s="34"/>
      <c r="G46" s="106"/>
      <c r="H46" s="107" t="s">
        <v>98</v>
      </c>
      <c r="I46" s="94">
        <f>SUM(I44,I30)</f>
        <v>4294113.24</v>
      </c>
      <c r="N46" s="847" t="s">
        <v>44</v>
      </c>
      <c r="O46" s="847"/>
      <c r="P46" s="847"/>
      <c r="Q46" s="847"/>
      <c r="R46" s="35">
        <f>R44+T30</f>
        <v>163.27999999999997</v>
      </c>
      <c r="S46" s="852" t="s">
        <v>42</v>
      </c>
      <c r="T46" s="852"/>
      <c r="U46" s="108">
        <f>SUM(U44,U30)</f>
        <v>905956.46</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3649443.7699999996</v>
      </c>
      <c r="G51" s="109" t="s">
        <v>6</v>
      </c>
      <c r="H51" s="452">
        <v>5.5899999999999998E-2</v>
      </c>
      <c r="I51" s="101">
        <f>ROUND(F51*H51,2)</f>
        <v>204003.91</v>
      </c>
      <c r="N51" s="457"/>
      <c r="O51" s="458" t="s">
        <v>576</v>
      </c>
      <c r="P51" s="28"/>
      <c r="Q51" s="44" t="s">
        <v>461</v>
      </c>
      <c r="R51" s="459">
        <f>U30</f>
        <v>905956.46</v>
      </c>
      <c r="S51" s="460" t="s">
        <v>6</v>
      </c>
      <c r="T51" s="461">
        <v>5.5899999999999998E-2</v>
      </c>
      <c r="U51" s="453">
        <f>I51</f>
        <v>204003.91</v>
      </c>
    </row>
    <row r="52" spans="1:22" x14ac:dyDescent="0.3">
      <c r="A52" s="26"/>
      <c r="B52" s="617" t="s">
        <v>580</v>
      </c>
      <c r="C52" s="26"/>
      <c r="D52" s="26"/>
      <c r="E52" s="43" t="s">
        <v>461</v>
      </c>
      <c r="F52" s="451">
        <v>3649443.7699999996</v>
      </c>
      <c r="G52" s="109" t="s">
        <v>6</v>
      </c>
      <c r="H52" s="452">
        <v>1.0699999999999999E-2</v>
      </c>
      <c r="I52" s="101">
        <f>ROUND(F52*H52,2)</f>
        <v>39049.050000000003</v>
      </c>
      <c r="N52" s="28"/>
      <c r="O52" s="618" t="s">
        <v>579</v>
      </c>
      <c r="P52" s="28"/>
      <c r="Q52" s="44" t="s">
        <v>461</v>
      </c>
      <c r="R52" s="459">
        <f>U30</f>
        <v>905956.46</v>
      </c>
      <c r="S52" s="460" t="s">
        <v>6</v>
      </c>
      <c r="T52" s="461">
        <v>1.0699999999999999E-2</v>
      </c>
      <c r="U52" s="462">
        <f>I52</f>
        <v>39049.050000000003</v>
      </c>
    </row>
    <row r="53" spans="1:22" x14ac:dyDescent="0.3">
      <c r="A53" s="26"/>
      <c r="B53" s="81" t="s">
        <v>462</v>
      </c>
      <c r="C53" s="26"/>
      <c r="D53" s="26"/>
      <c r="E53" s="43"/>
      <c r="F53" s="451"/>
      <c r="G53" s="109"/>
      <c r="H53" s="452"/>
      <c r="I53" s="97">
        <f>SUM(I51:I52)</f>
        <v>243052.96000000002</v>
      </c>
      <c r="N53" s="28"/>
      <c r="O53" s="434" t="s">
        <v>462</v>
      </c>
      <c r="P53" s="28"/>
      <c r="Q53" s="44"/>
      <c r="R53" s="459"/>
      <c r="S53" s="460"/>
      <c r="T53" s="461"/>
      <c r="U53" s="453">
        <f>SUM(U51:U52)</f>
        <v>243052.96000000002</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0.5</v>
      </c>
      <c r="E60" s="116">
        <f t="shared" si="10"/>
        <v>0.5</v>
      </c>
      <c r="F60" s="494" t="s">
        <v>13</v>
      </c>
      <c r="G60" s="493">
        <v>251</v>
      </c>
      <c r="H60" s="507">
        <f>'1461'!H60</f>
        <v>1173</v>
      </c>
      <c r="I60" s="101">
        <f t="shared" si="11"/>
        <v>586.5</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4.43</v>
      </c>
      <c r="D65" s="143">
        <v>4.97</v>
      </c>
      <c r="E65" s="116">
        <f t="shared" si="10"/>
        <v>9.3999999999999986</v>
      </c>
      <c r="F65" s="494" t="s">
        <v>14</v>
      </c>
      <c r="G65" s="493">
        <v>253</v>
      </c>
      <c r="H65" s="507">
        <f>'1461'!H65</f>
        <v>6685</v>
      </c>
      <c r="I65" s="101">
        <f t="shared" si="11"/>
        <v>62839</v>
      </c>
      <c r="N65" s="850"/>
      <c r="O65" s="850"/>
      <c r="P65" s="845"/>
      <c r="Q65" s="845"/>
      <c r="R65" s="40" t="s">
        <v>14</v>
      </c>
      <c r="S65" s="499">
        <v>253</v>
      </c>
      <c r="T65" s="510">
        <f t="shared" si="12"/>
        <v>6685</v>
      </c>
      <c r="U65" s="525">
        <f t="shared" si="13"/>
        <v>0</v>
      </c>
      <c r="V65" s="474"/>
    </row>
    <row r="66" spans="1:22" ht="16.2" thickBot="1" x14ac:dyDescent="0.35">
      <c r="A66" s="490"/>
      <c r="C66" s="97">
        <f>SUM(C57:C65)</f>
        <v>4.43</v>
      </c>
      <c r="D66" s="97">
        <f>SUM(D57:D65)</f>
        <v>5.47</v>
      </c>
      <c r="E66" s="97">
        <f>SUM(E57:E65)</f>
        <v>9.8999999999999986</v>
      </c>
      <c r="F66" s="779" t="s">
        <v>507</v>
      </c>
      <c r="G66" s="779"/>
      <c r="H66" s="779"/>
      <c r="I66" s="97">
        <f>SUM(I57:I65)</f>
        <v>63425.5</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163.27999999999997</v>
      </c>
      <c r="D69" s="789" t="s">
        <v>474</v>
      </c>
      <c r="E69" s="789"/>
      <c r="F69" s="789"/>
      <c r="G69" s="789"/>
      <c r="H69" s="299">
        <f>'1461'!H69</f>
        <v>210166.87</v>
      </c>
      <c r="I69" s="113"/>
      <c r="N69" s="817" t="s">
        <v>467</v>
      </c>
      <c r="O69" s="818"/>
      <c r="P69" s="41">
        <f>P30</f>
        <v>163.27999999999997</v>
      </c>
      <c r="Q69" s="842" t="s">
        <v>469</v>
      </c>
      <c r="R69" s="843"/>
      <c r="S69" s="843"/>
      <c r="T69" s="831">
        <f>H69</f>
        <v>210166.87</v>
      </c>
      <c r="U69" s="831"/>
    </row>
    <row r="70" spans="1:22" x14ac:dyDescent="0.3">
      <c r="B70" s="69"/>
      <c r="G70" s="42" t="s">
        <v>12</v>
      </c>
      <c r="H70" s="114">
        <f>ROUND(C69/H69,6)</f>
        <v>7.7700000000000002E-4</v>
      </c>
      <c r="I70" s="115"/>
      <c r="N70" s="818"/>
      <c r="O70" s="818"/>
      <c r="P70" s="818"/>
      <c r="Q70" s="818"/>
      <c r="R70" s="818"/>
      <c r="S70" s="818"/>
      <c r="T70" s="836">
        <f>ROUND(P69/T69,6)</f>
        <v>7.7700000000000002E-4</v>
      </c>
      <c r="U70" s="836"/>
    </row>
    <row r="71" spans="1:22" x14ac:dyDescent="0.3">
      <c r="A71" s="492" t="s">
        <v>510</v>
      </c>
      <c r="N71" s="503" t="s">
        <v>518</v>
      </c>
      <c r="O71" s="51"/>
      <c r="P71" s="51"/>
      <c r="Q71" s="51"/>
      <c r="R71" s="51"/>
      <c r="S71" s="51"/>
      <c r="T71" s="51"/>
      <c r="U71" s="51"/>
    </row>
    <row r="72" spans="1:22" x14ac:dyDescent="0.3">
      <c r="A72" s="775" t="s">
        <v>464</v>
      </c>
      <c r="B72" s="776"/>
      <c r="C72" s="112">
        <f>H30</f>
        <v>773.92550000000006</v>
      </c>
      <c r="D72" s="789" t="s">
        <v>475</v>
      </c>
      <c r="E72" s="789"/>
      <c r="F72" s="789"/>
      <c r="G72" s="789"/>
      <c r="H72" s="300">
        <f>'1461'!H72</f>
        <v>237198.6</v>
      </c>
      <c r="I72" s="116"/>
      <c r="N72" s="817" t="s">
        <v>468</v>
      </c>
      <c r="O72" s="818"/>
      <c r="P72" s="41">
        <f>T30</f>
        <v>163.27999999999997</v>
      </c>
      <c r="Q72" s="842" t="s">
        <v>470</v>
      </c>
      <c r="R72" s="843"/>
      <c r="S72" s="843"/>
      <c r="T72" s="831">
        <f>H72</f>
        <v>237198.6</v>
      </c>
      <c r="U72" s="831"/>
    </row>
    <row r="73" spans="1:22" x14ac:dyDescent="0.3">
      <c r="G73" s="42" t="s">
        <v>12</v>
      </c>
      <c r="H73" s="114">
        <f>ROUND(C72/H72,6)</f>
        <v>3.2629999999999998E-3</v>
      </c>
      <c r="I73" s="114"/>
      <c r="N73" s="818"/>
      <c r="O73" s="818"/>
      <c r="P73" s="818"/>
      <c r="Q73" s="818"/>
      <c r="R73" s="818"/>
      <c r="S73" s="818"/>
      <c r="T73" s="836">
        <f>ROUND(P72/T72,6)</f>
        <v>6.8800000000000003E-4</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163.27999999999997</v>
      </c>
      <c r="D75" s="788" t="s">
        <v>476</v>
      </c>
      <c r="E75" s="788"/>
      <c r="F75" s="788"/>
      <c r="G75" s="788"/>
      <c r="H75" s="299">
        <f>'1461'!H75</f>
        <v>185588.37</v>
      </c>
      <c r="I75" s="113"/>
      <c r="N75" s="817" t="s">
        <v>466</v>
      </c>
      <c r="O75" s="818"/>
      <c r="P75" s="41">
        <f>P30</f>
        <v>163.27999999999997</v>
      </c>
      <c r="Q75" s="838" t="s">
        <v>471</v>
      </c>
      <c r="R75" s="839"/>
      <c r="S75" s="839"/>
      <c r="T75" s="831">
        <f>H75</f>
        <v>185588.37</v>
      </c>
      <c r="U75" s="831"/>
    </row>
    <row r="76" spans="1:22" x14ac:dyDescent="0.3">
      <c r="B76" s="69"/>
      <c r="G76" s="42" t="s">
        <v>12</v>
      </c>
      <c r="H76" s="114">
        <f>ROUND(C75/H75,6)</f>
        <v>8.8000000000000003E-4</v>
      </c>
      <c r="I76" s="115"/>
      <c r="N76" s="818"/>
      <c r="O76" s="818"/>
      <c r="P76" s="818"/>
      <c r="Q76" s="818"/>
      <c r="R76" s="818"/>
      <c r="S76" s="818"/>
      <c r="T76" s="836">
        <f>ROUND(P75/T75,6)</f>
        <v>8.8000000000000003E-4</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163.27999999999997</v>
      </c>
      <c r="D78" s="784" t="s">
        <v>477</v>
      </c>
      <c r="E78" s="784"/>
      <c r="F78" s="784"/>
      <c r="G78" s="784"/>
      <c r="H78" s="299">
        <f>'1461'!H78</f>
        <v>209834.86</v>
      </c>
      <c r="I78" s="113"/>
      <c r="N78" s="817" t="s">
        <v>466</v>
      </c>
      <c r="O78" s="818"/>
      <c r="P78" s="41">
        <f>P30</f>
        <v>163.27999999999997</v>
      </c>
      <c r="Q78" s="840" t="s">
        <v>472</v>
      </c>
      <c r="R78" s="841"/>
      <c r="S78" s="841"/>
      <c r="T78" s="831">
        <f>H78</f>
        <v>209834.86</v>
      </c>
      <c r="U78" s="831"/>
    </row>
    <row r="79" spans="1:22" x14ac:dyDescent="0.3">
      <c r="B79" s="69"/>
      <c r="G79" s="42" t="s">
        <v>12</v>
      </c>
      <c r="H79" s="114">
        <f>ROUND(C78/H78,6)</f>
        <v>7.7800000000000005E-4</v>
      </c>
      <c r="I79" s="115"/>
      <c r="N79" s="818"/>
      <c r="O79" s="818"/>
      <c r="P79" s="818"/>
      <c r="Q79" s="818"/>
      <c r="R79" s="818"/>
      <c r="S79" s="818"/>
      <c r="T79" s="836">
        <f>ROUND(P78/T78,6)</f>
        <v>7.7800000000000005E-4</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163.27999999999997</v>
      </c>
      <c r="D81" s="788" t="s">
        <v>478</v>
      </c>
      <c r="E81" s="788"/>
      <c r="F81" s="788"/>
      <c r="G81" s="788"/>
      <c r="H81" s="299">
        <f>'1461'!H81</f>
        <v>185256.36</v>
      </c>
      <c r="I81" s="113"/>
      <c r="N81" s="817" t="s">
        <v>479</v>
      </c>
      <c r="O81" s="818"/>
      <c r="P81" s="41">
        <f>P30</f>
        <v>163.27999999999997</v>
      </c>
      <c r="Q81" s="838" t="s">
        <v>480</v>
      </c>
      <c r="R81" s="839"/>
      <c r="S81" s="839"/>
      <c r="T81" s="831">
        <f>H81</f>
        <v>185256.36</v>
      </c>
      <c r="U81" s="831"/>
    </row>
    <row r="82" spans="1:21" x14ac:dyDescent="0.3">
      <c r="B82" s="69"/>
      <c r="G82" s="42" t="s">
        <v>12</v>
      </c>
      <c r="H82" s="114">
        <f>ROUND(C81/H81,6)</f>
        <v>8.8099999999999995E-4</v>
      </c>
      <c r="I82" s="115"/>
      <c r="N82" s="818"/>
      <c r="O82" s="818"/>
      <c r="P82" s="818"/>
      <c r="Q82" s="818"/>
      <c r="R82" s="818"/>
      <c r="S82" s="818"/>
      <c r="T82" s="836">
        <f>ROUND(P81/T81,6)</f>
        <v>8.8099999999999995E-4</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7.7800000000000005E-4</v>
      </c>
      <c r="I85" s="101">
        <f>ROUND(F85*H85,2)</f>
        <v>35905.54</v>
      </c>
      <c r="N85" s="503" t="s">
        <v>514</v>
      </c>
      <c r="O85" s="51"/>
      <c r="P85" s="51"/>
      <c r="Q85" s="44"/>
      <c r="R85" s="469">
        <f>F85</f>
        <v>46151079</v>
      </c>
      <c r="S85" s="38" t="s">
        <v>6</v>
      </c>
      <c r="T85" s="471">
        <f>T79</f>
        <v>7.7800000000000005E-4</v>
      </c>
      <c r="U85" s="523">
        <f>ROUND(R85*T85,2)</f>
        <v>35905.54</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7.7700000000000002E-4</v>
      </c>
      <c r="I88" s="101">
        <f>ROUND(F88*H88,2)</f>
        <v>0</v>
      </c>
      <c r="N88" s="837" t="s">
        <v>99</v>
      </c>
      <c r="O88" s="818"/>
      <c r="P88" s="818"/>
      <c r="Q88" s="44"/>
      <c r="R88" s="469">
        <f>F88</f>
        <v>0</v>
      </c>
      <c r="S88" s="38" t="s">
        <v>6</v>
      </c>
      <c r="T88" s="471">
        <f>T70</f>
        <v>7.7700000000000002E-4</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8.8099999999999995E-4</v>
      </c>
      <c r="I90" s="101">
        <f>ROUND(F90*H90,2)</f>
        <v>16822.11</v>
      </c>
      <c r="N90" s="503" t="s">
        <v>515</v>
      </c>
      <c r="O90" s="51"/>
      <c r="P90" s="51"/>
      <c r="Q90" s="44"/>
      <c r="R90" s="469">
        <f>F90</f>
        <v>19094340</v>
      </c>
      <c r="S90" s="38" t="s">
        <v>6</v>
      </c>
      <c r="T90" s="471">
        <f>T82</f>
        <v>8.8099999999999995E-4</v>
      </c>
      <c r="U90" s="523">
        <f>ROUND(R90*T90,2)</f>
        <v>16822.11</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8.8000000000000003E-4</v>
      </c>
      <c r="I92" s="101">
        <f t="shared" ref="I92:I96" si="14">ROUND(F92*H92,2)</f>
        <v>10086.5</v>
      </c>
      <c r="N92" s="503" t="s">
        <v>516</v>
      </c>
      <c r="O92" s="51"/>
      <c r="P92" s="51"/>
      <c r="Q92" s="44"/>
      <c r="R92" s="469">
        <f t="shared" ref="R92:R96" si="15">F92</f>
        <v>11461928</v>
      </c>
      <c r="S92" s="38" t="s">
        <v>6</v>
      </c>
      <c r="T92" s="471">
        <f>T76</f>
        <v>8.8000000000000003E-4</v>
      </c>
      <c r="U92" s="523">
        <f>ROUND(R92*T92,2)</f>
        <v>10086.5</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3.2629999999999998E-3</v>
      </c>
      <c r="I94" s="101">
        <f t="shared" si="14"/>
        <v>834534.49</v>
      </c>
      <c r="N94" s="818" t="s">
        <v>482</v>
      </c>
      <c r="O94" s="818"/>
      <c r="P94" s="818"/>
      <c r="Q94" s="44"/>
      <c r="R94" s="469">
        <f t="shared" si="15"/>
        <v>255756816</v>
      </c>
      <c r="S94" s="38" t="s">
        <v>6</v>
      </c>
      <c r="T94" s="471">
        <f>T73</f>
        <v>6.8800000000000003E-4</v>
      </c>
      <c r="U94" s="523">
        <f>ROUND(R94*T94,2)</f>
        <v>175960.69</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3.2629999999999998E-3</v>
      </c>
      <c r="I96" s="101">
        <f t="shared" si="14"/>
        <v>-54509.61</v>
      </c>
      <c r="N96" s="817" t="s">
        <v>483</v>
      </c>
      <c r="O96" s="818"/>
      <c r="P96" s="818"/>
      <c r="Q96" s="44"/>
      <c r="R96" s="469">
        <f t="shared" si="15"/>
        <v>-16705366</v>
      </c>
      <c r="S96" s="38" t="s">
        <v>6</v>
      </c>
      <c r="T96" s="471">
        <f>T73</f>
        <v>6.8800000000000003E-4</v>
      </c>
      <c r="U96" s="523">
        <f>ROUND(R96*T96,2)</f>
        <v>-11493.29</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7.7700000000000002E-4</v>
      </c>
      <c r="I98" s="101">
        <f t="shared" ref="I98" si="16">ROUND(F98*H98,2)</f>
        <v>158.4</v>
      </c>
      <c r="N98" s="585" t="s">
        <v>556</v>
      </c>
      <c r="O98" s="585"/>
      <c r="P98" s="585"/>
      <c r="Q98" s="44"/>
      <c r="R98" s="588">
        <f>F98</f>
        <v>203862</v>
      </c>
      <c r="S98" s="586" t="s">
        <v>6</v>
      </c>
      <c r="T98" s="471">
        <f>T70</f>
        <v>7.7700000000000002E-4</v>
      </c>
      <c r="U98" s="523">
        <f>ROUND(R98*T98,2)</f>
        <v>158.4</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95.012900000000002</v>
      </c>
      <c r="D104" s="774"/>
      <c r="E104" s="46">
        <f>H8</f>
        <v>1.0407999999999999</v>
      </c>
      <c r="F104" s="302">
        <f>'1461'!F104</f>
        <v>950.92</v>
      </c>
      <c r="G104" s="39" t="s">
        <v>12</v>
      </c>
      <c r="H104" s="101">
        <f>ROUND(C104*E104*F104,2)</f>
        <v>94035.93</v>
      </c>
      <c r="I104" s="104"/>
      <c r="N104" s="28" t="s">
        <v>17</v>
      </c>
      <c r="O104" s="47">
        <f>T14+T15+T20+T23+T26</f>
        <v>18.170000000000002</v>
      </c>
      <c r="P104" s="832">
        <f>T8</f>
        <v>1.0407999999999999</v>
      </c>
      <c r="Q104" s="832"/>
      <c r="R104" s="48">
        <f>F104</f>
        <v>950.92</v>
      </c>
      <c r="S104" s="40" t="s">
        <v>12</v>
      </c>
      <c r="T104" s="529">
        <f>ROUND(O104*P104*R104,2)</f>
        <v>17983.169999999998</v>
      </c>
      <c r="U104" s="102"/>
    </row>
    <row r="105" spans="1:21" x14ac:dyDescent="0.3">
      <c r="A105" s="49"/>
      <c r="B105" s="49" t="s">
        <v>104</v>
      </c>
      <c r="C105" s="774">
        <f>H16+H17+H21+H24+H27</f>
        <v>197.0547</v>
      </c>
      <c r="D105" s="774"/>
      <c r="E105" s="46">
        <f>H8</f>
        <v>1.0407999999999999</v>
      </c>
      <c r="F105" s="302">
        <f>'1461'!F105</f>
        <v>907.92</v>
      </c>
      <c r="G105" s="39" t="s">
        <v>12</v>
      </c>
      <c r="H105" s="101">
        <f>ROUND(C105*E105*F105,2)</f>
        <v>186209.43</v>
      </c>
      <c r="N105" s="50" t="s">
        <v>13</v>
      </c>
      <c r="O105" s="47">
        <f>T16+T17+T21+T24+T27</f>
        <v>39.86</v>
      </c>
      <c r="P105" s="832">
        <f>T8</f>
        <v>1.0407999999999999</v>
      </c>
      <c r="Q105" s="832"/>
      <c r="R105" s="48">
        <f>F105</f>
        <v>907.92</v>
      </c>
      <c r="S105" s="40" t="s">
        <v>12</v>
      </c>
      <c r="T105" s="529">
        <f>ROUND(O105*P105*R105,2)</f>
        <v>37666.230000000003</v>
      </c>
      <c r="U105" s="51"/>
    </row>
    <row r="106" spans="1:21" ht="16.2" thickBot="1" x14ac:dyDescent="0.35">
      <c r="A106" s="52"/>
      <c r="B106" s="52" t="s">
        <v>103</v>
      </c>
      <c r="C106" s="774">
        <f>H18+H19+H22+H25+H28+H29</f>
        <v>481.85789999999997</v>
      </c>
      <c r="D106" s="774"/>
      <c r="E106" s="46">
        <f>H8</f>
        <v>1.0407999999999999</v>
      </c>
      <c r="F106" s="302">
        <f>'1461'!F106</f>
        <v>910.12</v>
      </c>
      <c r="G106" s="39" t="s">
        <v>12</v>
      </c>
      <c r="H106" s="94">
        <f>ROUND(C106*E106*F106,2)</f>
        <v>456441.29</v>
      </c>
      <c r="N106" s="53" t="s">
        <v>14</v>
      </c>
      <c r="O106" s="54">
        <f>T18+T19+T22+T25+T28+T29</f>
        <v>105.25</v>
      </c>
      <c r="P106" s="832">
        <f>T8</f>
        <v>1.0407999999999999</v>
      </c>
      <c r="Q106" s="832"/>
      <c r="R106" s="48">
        <f>F106</f>
        <v>910.12</v>
      </c>
      <c r="S106" s="40" t="s">
        <v>12</v>
      </c>
      <c r="T106" s="529">
        <f>ROUND(O106*P106*R106,2)</f>
        <v>99698.37</v>
      </c>
      <c r="U106" s="51"/>
    </row>
    <row r="107" spans="1:21" ht="16.2" thickBot="1" x14ac:dyDescent="0.35">
      <c r="A107" s="55"/>
      <c r="B107" s="122" t="s">
        <v>102</v>
      </c>
      <c r="C107" s="787">
        <f>SUM(C104:C106)</f>
        <v>773.92549999999994</v>
      </c>
      <c r="D107" s="787"/>
      <c r="E107" s="123"/>
      <c r="F107" s="123"/>
      <c r="G107" s="123"/>
      <c r="H107" s="124" t="s">
        <v>100</v>
      </c>
      <c r="I107" s="101">
        <f>IF(A1=75,0,H106+H105+H104)</f>
        <v>736686.64999999991</v>
      </c>
      <c r="N107" s="56" t="s">
        <v>89</v>
      </c>
      <c r="O107" s="57">
        <f>SUM(O104:O106)</f>
        <v>163.28</v>
      </c>
      <c r="P107" s="827" t="s">
        <v>16</v>
      </c>
      <c r="Q107" s="828"/>
      <c r="R107" s="828"/>
      <c r="S107" s="828"/>
      <c r="T107" s="828"/>
      <c r="U107" s="523">
        <f>IF(N1=75,0,T106+T105+T104)</f>
        <v>155347.77000000002</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2</v>
      </c>
      <c r="E113" s="116">
        <f>(C113+D113)/2</f>
        <v>1</v>
      </c>
      <c r="F113" s="126" t="s">
        <v>30</v>
      </c>
      <c r="G113" s="303">
        <f>'1461'!G113</f>
        <v>584</v>
      </c>
      <c r="I113" s="101">
        <f>ROUND(G113*E113,2)</f>
        <v>584</v>
      </c>
      <c r="N113" s="826" t="s">
        <v>52</v>
      </c>
      <c r="O113" s="826"/>
      <c r="P113" s="825">
        <f>IF(H133=1,E113,0)</f>
        <v>1</v>
      </c>
      <c r="Q113" s="825"/>
      <c r="R113" s="825"/>
      <c r="S113" s="83" t="s">
        <v>30</v>
      </c>
      <c r="T113" s="58">
        <f>G113</f>
        <v>584</v>
      </c>
      <c r="U113" s="523">
        <f>ROUND(T113*P113,2)</f>
        <v>584</v>
      </c>
    </row>
    <row r="114" spans="1:21" x14ac:dyDescent="0.3">
      <c r="A114" s="788" t="s">
        <v>444</v>
      </c>
      <c r="B114" s="809"/>
      <c r="C114" s="143">
        <v>0</v>
      </c>
      <c r="D114" s="143">
        <v>0</v>
      </c>
      <c r="E114" s="116">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5937806.8200000003</v>
      </c>
      <c r="N128" s="503"/>
      <c r="O128" s="502"/>
      <c r="P128" s="502"/>
      <c r="Q128" s="305"/>
      <c r="R128" s="305"/>
      <c r="S128" s="305"/>
      <c r="T128" s="305"/>
      <c r="U128" s="530">
        <f>SUM(U30,U85,U88,U90,U92,U94,U96,U107,U113,U114,U124,U126,U98)</f>
        <v>1289328.18</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5694753.8600000003</v>
      </c>
      <c r="N130" s="818" t="s">
        <v>494</v>
      </c>
      <c r="O130" s="818"/>
      <c r="P130" s="818"/>
      <c r="Q130" s="818"/>
      <c r="R130" s="818"/>
      <c r="S130" s="818"/>
      <c r="T130" s="818"/>
      <c r="U130" s="132">
        <f>U128-U53</f>
        <v>1046275.22</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1046275.22</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1046275.22</v>
      </c>
      <c r="I135" s="94">
        <f>ROUND(IF(E30=0,0,IF(E30&gt;250,-(((250/E30)*H135)*IF(G135="H",0.02,0.05)),IF(G135="H",-0.02*H135,-0.05*H135))),2)</f>
        <v>-52313.760000000002</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5885493.0600000005</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Payments'!Q80</f>
        <v>-5818319.9199999999</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67173.140000000596</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67173.14</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423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37.5</v>
      </c>
      <c r="D19" s="143">
        <v>38.97</v>
      </c>
      <c r="E19" s="116">
        <f t="shared" si="1"/>
        <v>76.47</v>
      </c>
      <c r="F19" s="859">
        <f>'1461'!F19:G19</f>
        <v>0.97799999999999998</v>
      </c>
      <c r="G19" s="859"/>
      <c r="H19" s="80">
        <f t="shared" si="2"/>
        <v>74.787700000000001</v>
      </c>
      <c r="I19" s="101">
        <f t="shared" si="3"/>
        <v>414958.36</v>
      </c>
      <c r="J19" s="65" t="str">
        <f>IF(ROUND(E19,2)=ROUND(SUM(E63:E65),2)," ","CHECK 4-8 LINES BELOW")</f>
        <v xml:space="preserve"> </v>
      </c>
      <c r="N19" s="818" t="s">
        <v>25</v>
      </c>
      <c r="O19" s="818"/>
      <c r="P19" s="860">
        <f t="shared" si="0"/>
        <v>76.47</v>
      </c>
      <c r="Q19" s="860"/>
      <c r="R19" s="864">
        <v>1</v>
      </c>
      <c r="S19" s="864"/>
      <c r="T19" s="95">
        <f t="shared" si="4"/>
        <v>76.47</v>
      </c>
      <c r="U19" s="522">
        <f t="shared" si="5"/>
        <v>424292.57</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1</v>
      </c>
      <c r="D22" s="143">
        <v>1</v>
      </c>
      <c r="E22" s="116">
        <f t="shared" si="1"/>
        <v>2</v>
      </c>
      <c r="F22" s="859">
        <f>'1461'!F22:G22</f>
        <v>3.6970000000000001</v>
      </c>
      <c r="G22" s="859"/>
      <c r="H22" s="80">
        <f t="shared" si="2"/>
        <v>7.3940000000000001</v>
      </c>
      <c r="I22" s="101">
        <f t="shared" si="3"/>
        <v>41025.49</v>
      </c>
      <c r="N22" s="818" t="s">
        <v>81</v>
      </c>
      <c r="O22" s="818"/>
      <c r="P22" s="860">
        <f t="shared" si="0"/>
        <v>2</v>
      </c>
      <c r="Q22" s="860"/>
      <c r="R22" s="864">
        <v>1</v>
      </c>
      <c r="S22" s="864"/>
      <c r="T22" s="95">
        <f t="shared" si="4"/>
        <v>2</v>
      </c>
      <c r="U22" s="523">
        <f t="shared" si="5"/>
        <v>11096.97</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38.5</v>
      </c>
      <c r="D30" s="94">
        <f>SUM(D14:D29)</f>
        <v>39.97</v>
      </c>
      <c r="E30" s="94">
        <f>SUM(E14:E29)</f>
        <v>78.47</v>
      </c>
      <c r="F30" s="795"/>
      <c r="G30" s="795"/>
      <c r="H30" s="99">
        <f>SUM(H14:H29)</f>
        <v>82.181700000000006</v>
      </c>
      <c r="I30" s="94">
        <f>SUM(I14:I29)</f>
        <v>455983.85</v>
      </c>
      <c r="N30" s="862" t="s">
        <v>5</v>
      </c>
      <c r="O30" s="862"/>
      <c r="P30" s="863">
        <f>SUM(P14:P29)</f>
        <v>78.47</v>
      </c>
      <c r="Q30" s="863"/>
      <c r="R30" s="852"/>
      <c r="S30" s="852"/>
      <c r="T30" s="100">
        <f>SUM(T14:T29)</f>
        <v>78.47</v>
      </c>
      <c r="U30" s="523">
        <f>SUM(U14:U29)</f>
        <v>435389.54</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82.181700000000006</v>
      </c>
      <c r="F46" s="34"/>
      <c r="G46" s="106"/>
      <c r="H46" s="107" t="s">
        <v>98</v>
      </c>
      <c r="I46" s="94">
        <f>SUM(I44,I30)</f>
        <v>455983.85</v>
      </c>
      <c r="N46" s="847" t="s">
        <v>44</v>
      </c>
      <c r="O46" s="847"/>
      <c r="P46" s="847"/>
      <c r="Q46" s="847"/>
      <c r="R46" s="35">
        <f>R44+T30</f>
        <v>78.47</v>
      </c>
      <c r="S46" s="852" t="s">
        <v>42</v>
      </c>
      <c r="T46" s="852"/>
      <c r="U46" s="108">
        <f>SUM(U44,U30)</f>
        <v>435389.54</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393252.69</v>
      </c>
      <c r="G51" s="109" t="s">
        <v>6</v>
      </c>
      <c r="H51" s="452">
        <v>5.5899999999999998E-2</v>
      </c>
      <c r="I51" s="101">
        <f>ROUND(F51*H51,2)</f>
        <v>21982.83</v>
      </c>
      <c r="N51" s="457"/>
      <c r="O51" s="458" t="s">
        <v>576</v>
      </c>
      <c r="P51" s="28"/>
      <c r="Q51" s="44" t="s">
        <v>461</v>
      </c>
      <c r="R51" s="459">
        <f>U30</f>
        <v>435389.54</v>
      </c>
      <c r="S51" s="460" t="s">
        <v>6</v>
      </c>
      <c r="T51" s="461">
        <v>5.5899999999999998E-2</v>
      </c>
      <c r="U51" s="453">
        <f>I51</f>
        <v>21982.83</v>
      </c>
    </row>
    <row r="52" spans="1:22" x14ac:dyDescent="0.3">
      <c r="A52" s="26"/>
      <c r="B52" s="617" t="s">
        <v>580</v>
      </c>
      <c r="C52" s="26"/>
      <c r="D52" s="26"/>
      <c r="E52" s="43" t="s">
        <v>461</v>
      </c>
      <c r="F52" s="451">
        <v>393252.69</v>
      </c>
      <c r="G52" s="109" t="s">
        <v>6</v>
      </c>
      <c r="H52" s="452">
        <v>1.0699999999999999E-2</v>
      </c>
      <c r="I52" s="101">
        <f>ROUND(F52*H52,2)</f>
        <v>4207.8</v>
      </c>
      <c r="N52" s="28"/>
      <c r="O52" s="618" t="s">
        <v>579</v>
      </c>
      <c r="P52" s="28"/>
      <c r="Q52" s="44" t="s">
        <v>461</v>
      </c>
      <c r="R52" s="459">
        <f>U30</f>
        <v>435389.54</v>
      </c>
      <c r="S52" s="460" t="s">
        <v>6</v>
      </c>
      <c r="T52" s="461">
        <v>1.0699999999999999E-2</v>
      </c>
      <c r="U52" s="462">
        <f>I52</f>
        <v>4207.8</v>
      </c>
    </row>
    <row r="53" spans="1:22" x14ac:dyDescent="0.3">
      <c r="A53" s="26"/>
      <c r="B53" s="81" t="s">
        <v>462</v>
      </c>
      <c r="C53" s="26"/>
      <c r="D53" s="26"/>
      <c r="E53" s="43"/>
      <c r="F53" s="451"/>
      <c r="G53" s="109"/>
      <c r="H53" s="452"/>
      <c r="I53" s="97">
        <f>SUM(I51:I52)</f>
        <v>26190.63</v>
      </c>
      <c r="N53" s="28"/>
      <c r="O53" s="434" t="s">
        <v>462</v>
      </c>
      <c r="P53" s="28"/>
      <c r="Q53" s="44"/>
      <c r="R53" s="459"/>
      <c r="S53" s="460"/>
      <c r="T53" s="461"/>
      <c r="U53" s="453">
        <f>SUM(U51:U52)</f>
        <v>26190.63</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0.5</v>
      </c>
      <c r="D63" s="143">
        <v>0.52</v>
      </c>
      <c r="E63" s="116">
        <f t="shared" si="10"/>
        <v>1.02</v>
      </c>
      <c r="F63" s="494" t="s">
        <v>14</v>
      </c>
      <c r="G63" s="493">
        <v>251</v>
      </c>
      <c r="H63" s="507">
        <f>'1461'!H63</f>
        <v>835</v>
      </c>
      <c r="I63" s="101">
        <f t="shared" si="11"/>
        <v>851.7</v>
      </c>
      <c r="N63" s="850"/>
      <c r="O63" s="850"/>
      <c r="P63" s="844"/>
      <c r="Q63" s="844"/>
      <c r="R63" s="40" t="s">
        <v>14</v>
      </c>
      <c r="S63" s="499">
        <v>251</v>
      </c>
      <c r="T63" s="510">
        <f t="shared" si="12"/>
        <v>835</v>
      </c>
      <c r="U63" s="524">
        <f t="shared" si="13"/>
        <v>0</v>
      </c>
      <c r="V63" s="474"/>
    </row>
    <row r="64" spans="1:22" x14ac:dyDescent="0.3">
      <c r="A64" s="792"/>
      <c r="B64" s="792"/>
      <c r="C64" s="143">
        <v>8</v>
      </c>
      <c r="D64" s="143">
        <v>8.31</v>
      </c>
      <c r="E64" s="116">
        <f t="shared" si="10"/>
        <v>16.310000000000002</v>
      </c>
      <c r="F64" s="494" t="s">
        <v>14</v>
      </c>
      <c r="G64" s="493">
        <v>252</v>
      </c>
      <c r="H64" s="507">
        <f>'1461'!H64</f>
        <v>3168</v>
      </c>
      <c r="I64" s="101">
        <f t="shared" si="11"/>
        <v>51670.080000000002</v>
      </c>
      <c r="N64" s="850"/>
      <c r="O64" s="850"/>
      <c r="P64" s="844"/>
      <c r="Q64" s="844"/>
      <c r="R64" s="40" t="s">
        <v>14</v>
      </c>
      <c r="S64" s="499">
        <v>252</v>
      </c>
      <c r="T64" s="510">
        <f t="shared" si="12"/>
        <v>3168</v>
      </c>
      <c r="U64" s="524">
        <f t="shared" si="13"/>
        <v>0</v>
      </c>
      <c r="V64" s="474"/>
    </row>
    <row r="65" spans="1:22" ht="16.2" thickBot="1" x14ac:dyDescent="0.35">
      <c r="A65" s="792"/>
      <c r="B65" s="792"/>
      <c r="C65" s="143">
        <v>29</v>
      </c>
      <c r="D65" s="143">
        <v>30.14</v>
      </c>
      <c r="E65" s="116">
        <f t="shared" si="10"/>
        <v>59.14</v>
      </c>
      <c r="F65" s="494" t="s">
        <v>14</v>
      </c>
      <c r="G65" s="493">
        <v>253</v>
      </c>
      <c r="H65" s="507">
        <f>'1461'!H65</f>
        <v>6685</v>
      </c>
      <c r="I65" s="101">
        <f t="shared" si="11"/>
        <v>395350.9</v>
      </c>
      <c r="N65" s="850"/>
      <c r="O65" s="850"/>
      <c r="P65" s="845"/>
      <c r="Q65" s="845"/>
      <c r="R65" s="40" t="s">
        <v>14</v>
      </c>
      <c r="S65" s="499">
        <v>253</v>
      </c>
      <c r="T65" s="510">
        <f t="shared" si="12"/>
        <v>6685</v>
      </c>
      <c r="U65" s="525">
        <f t="shared" si="13"/>
        <v>0</v>
      </c>
      <c r="V65" s="474"/>
    </row>
    <row r="66" spans="1:22" ht="16.2" thickBot="1" x14ac:dyDescent="0.35">
      <c r="A66" s="490"/>
      <c r="C66" s="97">
        <f>SUM(C57:C65)</f>
        <v>37.5</v>
      </c>
      <c r="D66" s="97">
        <f>SUM(D57:D65)</f>
        <v>38.97</v>
      </c>
      <c r="E66" s="97">
        <f>SUM(E57:E65)</f>
        <v>76.47</v>
      </c>
      <c r="F66" s="779" t="s">
        <v>507</v>
      </c>
      <c r="G66" s="779"/>
      <c r="H66" s="779"/>
      <c r="I66" s="97">
        <f>SUM(I57:I65)</f>
        <v>447872.68000000005</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78.47</v>
      </c>
      <c r="D69" s="789" t="s">
        <v>474</v>
      </c>
      <c r="E69" s="789"/>
      <c r="F69" s="789"/>
      <c r="G69" s="789"/>
      <c r="H69" s="299">
        <f>'1461'!H69</f>
        <v>210166.87</v>
      </c>
      <c r="I69" s="113"/>
      <c r="N69" s="817" t="s">
        <v>467</v>
      </c>
      <c r="O69" s="818"/>
      <c r="P69" s="41">
        <f>P30</f>
        <v>78.47</v>
      </c>
      <c r="Q69" s="842" t="s">
        <v>469</v>
      </c>
      <c r="R69" s="843"/>
      <c r="S69" s="843"/>
      <c r="T69" s="831">
        <f>H69</f>
        <v>210166.87</v>
      </c>
      <c r="U69" s="831"/>
    </row>
    <row r="70" spans="1:22" x14ac:dyDescent="0.3">
      <c r="B70" s="69"/>
      <c r="G70" s="42" t="s">
        <v>12</v>
      </c>
      <c r="H70" s="114">
        <f>ROUND(C69/H69,6)</f>
        <v>3.7300000000000001E-4</v>
      </c>
      <c r="I70" s="115"/>
      <c r="N70" s="818"/>
      <c r="O70" s="818"/>
      <c r="P70" s="818"/>
      <c r="Q70" s="818"/>
      <c r="R70" s="818"/>
      <c r="S70" s="818"/>
      <c r="T70" s="836">
        <f>ROUND(P69/T69,6)</f>
        <v>3.7300000000000001E-4</v>
      </c>
      <c r="U70" s="836"/>
    </row>
    <row r="71" spans="1:22" x14ac:dyDescent="0.3">
      <c r="A71" s="492" t="s">
        <v>510</v>
      </c>
      <c r="N71" s="503" t="s">
        <v>518</v>
      </c>
      <c r="O71" s="51"/>
      <c r="P71" s="51"/>
      <c r="Q71" s="51"/>
      <c r="R71" s="51"/>
      <c r="S71" s="51"/>
      <c r="T71" s="51"/>
      <c r="U71" s="51"/>
    </row>
    <row r="72" spans="1:22" x14ac:dyDescent="0.3">
      <c r="A72" s="775" t="s">
        <v>464</v>
      </c>
      <c r="B72" s="776"/>
      <c r="C72" s="112">
        <f>H30</f>
        <v>82.181700000000006</v>
      </c>
      <c r="D72" s="789" t="s">
        <v>475</v>
      </c>
      <c r="E72" s="789"/>
      <c r="F72" s="789"/>
      <c r="G72" s="789"/>
      <c r="H72" s="300">
        <f>'1461'!H72</f>
        <v>237198.6</v>
      </c>
      <c r="I72" s="116"/>
      <c r="N72" s="817" t="s">
        <v>468</v>
      </c>
      <c r="O72" s="818"/>
      <c r="P72" s="41">
        <f>T30</f>
        <v>78.47</v>
      </c>
      <c r="Q72" s="842" t="s">
        <v>470</v>
      </c>
      <c r="R72" s="843"/>
      <c r="S72" s="843"/>
      <c r="T72" s="831">
        <f>H72</f>
        <v>237198.6</v>
      </c>
      <c r="U72" s="831"/>
    </row>
    <row r="73" spans="1:22" x14ac:dyDescent="0.3">
      <c r="G73" s="42" t="s">
        <v>12</v>
      </c>
      <c r="H73" s="114">
        <f>ROUND(C72/H72,6)</f>
        <v>3.4600000000000001E-4</v>
      </c>
      <c r="I73" s="114"/>
      <c r="N73" s="818"/>
      <c r="O73" s="818"/>
      <c r="P73" s="818"/>
      <c r="Q73" s="818"/>
      <c r="R73" s="818"/>
      <c r="S73" s="818"/>
      <c r="T73" s="836">
        <f>ROUND(P72/T72,6)</f>
        <v>3.3100000000000002E-4</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78.47</v>
      </c>
      <c r="D75" s="788" t="s">
        <v>476</v>
      </c>
      <c r="E75" s="788"/>
      <c r="F75" s="788"/>
      <c r="G75" s="788"/>
      <c r="H75" s="299">
        <f>'1461'!H75</f>
        <v>185588.37</v>
      </c>
      <c r="I75" s="113"/>
      <c r="N75" s="817" t="s">
        <v>466</v>
      </c>
      <c r="O75" s="818"/>
      <c r="P75" s="41">
        <f>P30</f>
        <v>78.47</v>
      </c>
      <c r="Q75" s="838" t="s">
        <v>471</v>
      </c>
      <c r="R75" s="839"/>
      <c r="S75" s="839"/>
      <c r="T75" s="831">
        <f>H75</f>
        <v>185588.37</v>
      </c>
      <c r="U75" s="831"/>
    </row>
    <row r="76" spans="1:22" x14ac:dyDescent="0.3">
      <c r="B76" s="69"/>
      <c r="G76" s="42" t="s">
        <v>12</v>
      </c>
      <c r="H76" s="114">
        <f>ROUND(C75/H75,6)</f>
        <v>4.2299999999999998E-4</v>
      </c>
      <c r="I76" s="115"/>
      <c r="N76" s="818"/>
      <c r="O76" s="818"/>
      <c r="P76" s="818"/>
      <c r="Q76" s="818"/>
      <c r="R76" s="818"/>
      <c r="S76" s="818"/>
      <c r="T76" s="836">
        <f>ROUND(P75/T75,6)</f>
        <v>4.2299999999999998E-4</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78.47</v>
      </c>
      <c r="D78" s="784" t="s">
        <v>477</v>
      </c>
      <c r="E78" s="784"/>
      <c r="F78" s="784"/>
      <c r="G78" s="784"/>
      <c r="H78" s="299">
        <f>'1461'!H78</f>
        <v>209834.86</v>
      </c>
      <c r="I78" s="113"/>
      <c r="N78" s="817" t="s">
        <v>466</v>
      </c>
      <c r="O78" s="818"/>
      <c r="P78" s="41">
        <f>P30</f>
        <v>78.47</v>
      </c>
      <c r="Q78" s="840" t="s">
        <v>472</v>
      </c>
      <c r="R78" s="841"/>
      <c r="S78" s="841"/>
      <c r="T78" s="831">
        <f>H78</f>
        <v>209834.86</v>
      </c>
      <c r="U78" s="831"/>
    </row>
    <row r="79" spans="1:22" x14ac:dyDescent="0.3">
      <c r="B79" s="69"/>
      <c r="G79" s="42" t="s">
        <v>12</v>
      </c>
      <c r="H79" s="114">
        <f>ROUND(C78/H78,6)</f>
        <v>3.7399999999999998E-4</v>
      </c>
      <c r="I79" s="115"/>
      <c r="N79" s="818"/>
      <c r="O79" s="818"/>
      <c r="P79" s="818"/>
      <c r="Q79" s="818"/>
      <c r="R79" s="818"/>
      <c r="S79" s="818"/>
      <c r="T79" s="836">
        <f>ROUND(P78/T78,6)</f>
        <v>3.7399999999999998E-4</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78.47</v>
      </c>
      <c r="D81" s="788" t="s">
        <v>478</v>
      </c>
      <c r="E81" s="788"/>
      <c r="F81" s="788"/>
      <c r="G81" s="788"/>
      <c r="H81" s="299">
        <f>'1461'!H81</f>
        <v>185256.36</v>
      </c>
      <c r="I81" s="113"/>
      <c r="N81" s="817" t="s">
        <v>479</v>
      </c>
      <c r="O81" s="818"/>
      <c r="P81" s="41">
        <f>P30</f>
        <v>78.47</v>
      </c>
      <c r="Q81" s="838" t="s">
        <v>480</v>
      </c>
      <c r="R81" s="839"/>
      <c r="S81" s="839"/>
      <c r="T81" s="831">
        <f>H81</f>
        <v>185256.36</v>
      </c>
      <c r="U81" s="831"/>
    </row>
    <row r="82" spans="1:21" x14ac:dyDescent="0.3">
      <c r="B82" s="69"/>
      <c r="G82" s="42" t="s">
        <v>12</v>
      </c>
      <c r="H82" s="114">
        <f>ROUND(C81/H81,6)</f>
        <v>4.2400000000000001E-4</v>
      </c>
      <c r="I82" s="115"/>
      <c r="N82" s="818"/>
      <c r="O82" s="818"/>
      <c r="P82" s="818"/>
      <c r="Q82" s="818"/>
      <c r="R82" s="818"/>
      <c r="S82" s="818"/>
      <c r="T82" s="836">
        <f>ROUND(P81/T81,6)</f>
        <v>4.2400000000000001E-4</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3.7399999999999998E-4</v>
      </c>
      <c r="I85" s="101">
        <f>ROUND(F85*H85,2)</f>
        <v>17260.5</v>
      </c>
      <c r="N85" s="503" t="s">
        <v>514</v>
      </c>
      <c r="O85" s="51"/>
      <c r="P85" s="51"/>
      <c r="Q85" s="44"/>
      <c r="R85" s="469">
        <f>F85</f>
        <v>46151079</v>
      </c>
      <c r="S85" s="38" t="s">
        <v>6</v>
      </c>
      <c r="T85" s="471">
        <f>T79</f>
        <v>3.7399999999999998E-4</v>
      </c>
      <c r="U85" s="523">
        <f>ROUND(R85*T85,2)</f>
        <v>17260.5</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3.7300000000000001E-4</v>
      </c>
      <c r="I88" s="101">
        <f>ROUND(F88*H88,2)</f>
        <v>0</v>
      </c>
      <c r="N88" s="837" t="s">
        <v>99</v>
      </c>
      <c r="O88" s="818"/>
      <c r="P88" s="818"/>
      <c r="Q88" s="44"/>
      <c r="R88" s="469">
        <f>F88</f>
        <v>0</v>
      </c>
      <c r="S88" s="38" t="s">
        <v>6</v>
      </c>
      <c r="T88" s="471">
        <f>T70</f>
        <v>3.7300000000000001E-4</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4.2400000000000001E-4</v>
      </c>
      <c r="I90" s="101">
        <f>ROUND(F90*H90,2)</f>
        <v>8096</v>
      </c>
      <c r="N90" s="503" t="s">
        <v>515</v>
      </c>
      <c r="O90" s="51"/>
      <c r="P90" s="51"/>
      <c r="Q90" s="44"/>
      <c r="R90" s="469">
        <f>F90</f>
        <v>19094340</v>
      </c>
      <c r="S90" s="38" t="s">
        <v>6</v>
      </c>
      <c r="T90" s="471">
        <f>T82</f>
        <v>4.2400000000000001E-4</v>
      </c>
      <c r="U90" s="523">
        <f>ROUND(R90*T90,2)</f>
        <v>8096</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4.2299999999999998E-4</v>
      </c>
      <c r="I92" s="101">
        <f t="shared" ref="I92:I96" si="14">ROUND(F92*H92,2)</f>
        <v>4848.3999999999996</v>
      </c>
      <c r="N92" s="503" t="s">
        <v>516</v>
      </c>
      <c r="O92" s="51"/>
      <c r="P92" s="51"/>
      <c r="Q92" s="44"/>
      <c r="R92" s="469">
        <f t="shared" ref="R92:R96" si="15">F92</f>
        <v>11461928</v>
      </c>
      <c r="S92" s="38" t="s">
        <v>6</v>
      </c>
      <c r="T92" s="471">
        <f>T76</f>
        <v>4.2299999999999998E-4</v>
      </c>
      <c r="U92" s="523">
        <f>ROUND(R92*T92,2)</f>
        <v>4848.3999999999996</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3.4600000000000001E-4</v>
      </c>
      <c r="I94" s="101">
        <f t="shared" si="14"/>
        <v>88491.86</v>
      </c>
      <c r="N94" s="818" t="s">
        <v>482</v>
      </c>
      <c r="O94" s="818"/>
      <c r="P94" s="818"/>
      <c r="Q94" s="44"/>
      <c r="R94" s="469">
        <f t="shared" si="15"/>
        <v>255756816</v>
      </c>
      <c r="S94" s="38" t="s">
        <v>6</v>
      </c>
      <c r="T94" s="471">
        <f>T73</f>
        <v>3.3100000000000002E-4</v>
      </c>
      <c r="U94" s="523">
        <f>ROUND(R94*T94,2)</f>
        <v>84655.51</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3.4600000000000001E-4</v>
      </c>
      <c r="I96" s="101">
        <f t="shared" si="14"/>
        <v>-5780.06</v>
      </c>
      <c r="N96" s="817" t="s">
        <v>483</v>
      </c>
      <c r="O96" s="818"/>
      <c r="P96" s="818"/>
      <c r="Q96" s="44"/>
      <c r="R96" s="469">
        <f t="shared" si="15"/>
        <v>-16705366</v>
      </c>
      <c r="S96" s="38" t="s">
        <v>6</v>
      </c>
      <c r="T96" s="471">
        <f>T73</f>
        <v>3.3100000000000002E-4</v>
      </c>
      <c r="U96" s="523">
        <f>ROUND(R96*T96,2)</f>
        <v>-5529.48</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3.7300000000000001E-4</v>
      </c>
      <c r="I98" s="101">
        <f t="shared" ref="I98" si="16">ROUND(F98*H98,2)</f>
        <v>76.040000000000006</v>
      </c>
      <c r="N98" s="585" t="s">
        <v>556</v>
      </c>
      <c r="O98" s="585"/>
      <c r="P98" s="585"/>
      <c r="Q98" s="44"/>
      <c r="R98" s="588">
        <f>F98</f>
        <v>203862</v>
      </c>
      <c r="S98" s="586" t="s">
        <v>6</v>
      </c>
      <c r="T98" s="471">
        <f>T70</f>
        <v>3.7300000000000001E-4</v>
      </c>
      <c r="U98" s="523">
        <f>ROUND(R98*T98,2)</f>
        <v>76.040000000000006</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82.181700000000006</v>
      </c>
      <c r="D106" s="774"/>
      <c r="E106" s="46">
        <f>H8</f>
        <v>1.0407999999999999</v>
      </c>
      <c r="F106" s="302">
        <f>'1461'!F106</f>
        <v>910.12</v>
      </c>
      <c r="G106" s="39" t="s">
        <v>12</v>
      </c>
      <c r="H106" s="94">
        <f>ROUND(C106*E106*F106,2)</f>
        <v>77846.850000000006</v>
      </c>
      <c r="N106" s="53" t="s">
        <v>14</v>
      </c>
      <c r="O106" s="54">
        <f>T18+T19+T22+T25+T28+T29</f>
        <v>78.47</v>
      </c>
      <c r="P106" s="832">
        <f>T8</f>
        <v>1.0407999999999999</v>
      </c>
      <c r="Q106" s="832"/>
      <c r="R106" s="48">
        <f>F106</f>
        <v>910.12</v>
      </c>
      <c r="S106" s="40" t="s">
        <v>12</v>
      </c>
      <c r="T106" s="529">
        <f>ROUND(O106*P106*R106,2)</f>
        <v>74330.929999999993</v>
      </c>
      <c r="U106" s="51"/>
    </row>
    <row r="107" spans="1:21" ht="16.2" thickBot="1" x14ac:dyDescent="0.35">
      <c r="A107" s="55"/>
      <c r="B107" s="122" t="s">
        <v>102</v>
      </c>
      <c r="C107" s="787">
        <f>SUM(C104:C106)</f>
        <v>82.181700000000006</v>
      </c>
      <c r="D107" s="787"/>
      <c r="E107" s="123"/>
      <c r="F107" s="123"/>
      <c r="G107" s="123"/>
      <c r="H107" s="124" t="s">
        <v>100</v>
      </c>
      <c r="I107" s="101">
        <f>IF(A1=75,0,H106+H105+H104)</f>
        <v>77846.850000000006</v>
      </c>
      <c r="N107" s="56" t="s">
        <v>89</v>
      </c>
      <c r="O107" s="57">
        <f>SUM(O104:O106)</f>
        <v>78.47</v>
      </c>
      <c r="P107" s="827" t="s">
        <v>16</v>
      </c>
      <c r="Q107" s="828"/>
      <c r="R107" s="828"/>
      <c r="S107" s="828"/>
      <c r="T107" s="828"/>
      <c r="U107" s="523">
        <f>IF(N1=75,0,T106+T105+T104)</f>
        <v>74330.929999999993</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64</v>
      </c>
      <c r="D113" s="143">
        <v>73</v>
      </c>
      <c r="E113" s="116">
        <f>(C113+D113)/2</f>
        <v>68.5</v>
      </c>
      <c r="F113" s="126" t="s">
        <v>30</v>
      </c>
      <c r="G113" s="303">
        <f>'1461'!G113</f>
        <v>584</v>
      </c>
      <c r="I113" s="101">
        <f>ROUND(G113*E113,2)</f>
        <v>40004</v>
      </c>
      <c r="N113" s="826" t="s">
        <v>52</v>
      </c>
      <c r="O113" s="826"/>
      <c r="P113" s="825">
        <f>IF(H133=1,E113,0)</f>
        <v>68.5</v>
      </c>
      <c r="Q113" s="825"/>
      <c r="R113" s="825"/>
      <c r="S113" s="83" t="s">
        <v>30</v>
      </c>
      <c r="T113" s="58">
        <f>G113</f>
        <v>584</v>
      </c>
      <c r="U113" s="523">
        <f>ROUND(T113*P113,2)</f>
        <v>40004</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1134700.1200000001</v>
      </c>
      <c r="N128" s="503"/>
      <c r="O128" s="502"/>
      <c r="P128" s="502"/>
      <c r="Q128" s="305"/>
      <c r="R128" s="305"/>
      <c r="S128" s="305"/>
      <c r="T128" s="305"/>
      <c r="U128" s="530">
        <f>SUM(U30,U85,U88,U90,U92,U94,U96,U107,U113,U114,U124,U126,U98)</f>
        <v>659131.43999999994</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1108509.4900000002</v>
      </c>
      <c r="N130" s="818" t="s">
        <v>494</v>
      </c>
      <c r="O130" s="818"/>
      <c r="P130" s="818"/>
      <c r="Q130" s="818"/>
      <c r="R130" s="818"/>
      <c r="S130" s="818"/>
      <c r="T130" s="818"/>
      <c r="U130" s="132">
        <f>U128-U53</f>
        <v>632940.80999999994</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632940.80999999994</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632940.80999999994</v>
      </c>
      <c r="I135" s="94">
        <f>ROUND(IF(E30=0,0,IF(E30&gt;250,-(((250/E30)*H135)*IF(G135="H",0.02,0.05)),IF(G135="H",-0.02*H135,-0.05*H135))),2)</f>
        <v>-31647.040000000001</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1103053.08</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Payments'!Q81</f>
        <v>-1085038.2699999998</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18014.810000000289</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18014.810000000001</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115</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177.96</v>
      </c>
      <c r="D14" s="141">
        <v>173.33</v>
      </c>
      <c r="E14" s="187">
        <f>IF(D$30=0,C14*2,C14+D14)</f>
        <v>351.29</v>
      </c>
      <c r="F14" s="868">
        <f>'1461'!F14:G14</f>
        <v>1.1180000000000001</v>
      </c>
      <c r="G14" s="868"/>
      <c r="H14" s="145">
        <f>ROUND(E14*F14,4)</f>
        <v>392.74220000000003</v>
      </c>
      <c r="I14" s="111">
        <f>ROUND(ROUND(ROUND(H14*$C$8,4)*($H$8),2)*(MAX($H$9,1)),2)</f>
        <v>2179123.81</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32.06</v>
      </c>
      <c r="D15" s="143">
        <v>38.020000000000003</v>
      </c>
      <c r="E15" s="116">
        <f t="shared" ref="E15:E29" si="1">IF(D$30=0,C15*2,C15+D15)</f>
        <v>70.080000000000013</v>
      </c>
      <c r="F15" s="859">
        <f>'1461'!F15:G15</f>
        <v>1.1180000000000001</v>
      </c>
      <c r="G15" s="859"/>
      <c r="H15" s="80">
        <f t="shared" ref="H15:H29" si="2">ROUND(E15*F15,4)</f>
        <v>78.349400000000003</v>
      </c>
      <c r="I15" s="101">
        <f t="shared" ref="I15:I29" si="3">ROUND(ROUND(ROUND(H15*$C$8,4)*($H$8),2)*(MAX($H$9,1)),2)</f>
        <v>434720.39</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228.22</v>
      </c>
      <c r="D16" s="143">
        <v>227.75</v>
      </c>
      <c r="E16" s="116">
        <f t="shared" si="1"/>
        <v>455.97</v>
      </c>
      <c r="F16" s="859">
        <f>'1461'!F16:G16</f>
        <v>1</v>
      </c>
      <c r="G16" s="859"/>
      <c r="H16" s="80">
        <f t="shared" si="2"/>
        <v>455.97</v>
      </c>
      <c r="I16" s="101">
        <f t="shared" si="3"/>
        <v>2529942.2400000002</v>
      </c>
      <c r="N16" s="818" t="s">
        <v>22</v>
      </c>
      <c r="O16" s="818"/>
      <c r="P16" s="860">
        <f t="shared" si="0"/>
        <v>0</v>
      </c>
      <c r="Q16" s="860"/>
      <c r="R16" s="864">
        <v>1</v>
      </c>
      <c r="S16" s="864"/>
      <c r="T16" s="95">
        <f t="shared" si="4"/>
        <v>0</v>
      </c>
      <c r="U16" s="523">
        <f t="shared" si="5"/>
        <v>0</v>
      </c>
    </row>
    <row r="17" spans="1:21" x14ac:dyDescent="0.3">
      <c r="A17" s="776" t="s">
        <v>23</v>
      </c>
      <c r="B17" s="776"/>
      <c r="C17" s="143">
        <v>57.53</v>
      </c>
      <c r="D17" s="143">
        <v>58.06</v>
      </c>
      <c r="E17" s="116">
        <f t="shared" si="1"/>
        <v>115.59</v>
      </c>
      <c r="F17" s="859">
        <f>'1461'!F17:G17</f>
        <v>1</v>
      </c>
      <c r="G17" s="859"/>
      <c r="H17" s="80">
        <f t="shared" si="2"/>
        <v>115.59</v>
      </c>
      <c r="I17" s="101">
        <f t="shared" si="3"/>
        <v>641349.26</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25.75</v>
      </c>
      <c r="D26" s="143">
        <v>24.86</v>
      </c>
      <c r="E26" s="116">
        <f t="shared" si="1"/>
        <v>50.61</v>
      </c>
      <c r="F26" s="859">
        <f>'1461'!F26:G26</f>
        <v>1.1919999999999999</v>
      </c>
      <c r="G26" s="859"/>
      <c r="H26" s="80">
        <f t="shared" si="2"/>
        <v>60.327100000000002</v>
      </c>
      <c r="I26" s="101">
        <f t="shared" si="3"/>
        <v>334723.95</v>
      </c>
      <c r="N26" s="818" t="s">
        <v>85</v>
      </c>
      <c r="O26" s="818"/>
      <c r="P26" s="860">
        <f t="shared" si="0"/>
        <v>0</v>
      </c>
      <c r="Q26" s="860"/>
      <c r="R26" s="864">
        <v>1</v>
      </c>
      <c r="S26" s="864"/>
      <c r="T26" s="95">
        <f t="shared" si="4"/>
        <v>0</v>
      </c>
      <c r="U26" s="523">
        <f t="shared" si="5"/>
        <v>0</v>
      </c>
    </row>
    <row r="27" spans="1:21" x14ac:dyDescent="0.3">
      <c r="A27" s="776" t="s">
        <v>86</v>
      </c>
      <c r="B27" s="776"/>
      <c r="C27" s="143">
        <v>2.87</v>
      </c>
      <c r="D27" s="143">
        <v>2.77</v>
      </c>
      <c r="E27" s="116">
        <f t="shared" si="1"/>
        <v>5.6400000000000006</v>
      </c>
      <c r="F27" s="859">
        <f>'1461'!F27:G27</f>
        <v>1.1919999999999999</v>
      </c>
      <c r="G27" s="859"/>
      <c r="H27" s="80">
        <f t="shared" si="2"/>
        <v>6.7229000000000001</v>
      </c>
      <c r="I27" s="101">
        <f t="shared" si="3"/>
        <v>37301.9</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524.39</v>
      </c>
      <c r="D30" s="94">
        <f>SUM(D14:D29)</f>
        <v>524.79</v>
      </c>
      <c r="E30" s="94">
        <f>SUM(E14:E29)</f>
        <v>1049.18</v>
      </c>
      <c r="F30" s="795"/>
      <c r="G30" s="795"/>
      <c r="H30" s="99">
        <f>SUM(H14:H29)</f>
        <v>1109.7015999999999</v>
      </c>
      <c r="I30" s="94">
        <f>SUM(I14:I29)</f>
        <v>6157161.5500000007</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1109.7015999999999</v>
      </c>
      <c r="F46" s="34"/>
      <c r="G46" s="106"/>
      <c r="H46" s="107" t="s">
        <v>98</v>
      </c>
      <c r="I46" s="94">
        <f>SUM(I44,I30)</f>
        <v>6157161.5500000007</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6146945.6800000006</v>
      </c>
      <c r="G51" s="109" t="s">
        <v>6</v>
      </c>
      <c r="H51" s="452">
        <v>5.5899999999999998E-2</v>
      </c>
      <c r="I51" s="101">
        <f>ROUND(F51*H51,2)</f>
        <v>343614.26</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6146945.6800000006</v>
      </c>
      <c r="G52" s="109" t="s">
        <v>6</v>
      </c>
      <c r="H52" s="452">
        <v>1.0699999999999999E-2</v>
      </c>
      <c r="I52" s="101">
        <f>ROUND(F52*H52,2)</f>
        <v>65772.320000000007</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409386.58</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27.55</v>
      </c>
      <c r="D57" s="143">
        <v>32.67</v>
      </c>
      <c r="E57" s="116">
        <f t="shared" ref="E57:E65" si="10">IF(D$66=0,C57*2,C57+D57)</f>
        <v>60.22</v>
      </c>
      <c r="F57" s="493" t="s">
        <v>498</v>
      </c>
      <c r="G57" s="493">
        <v>251</v>
      </c>
      <c r="H57" s="507">
        <f>'1461'!H57</f>
        <v>1047</v>
      </c>
      <c r="I57" s="101">
        <f>ROUND(E57*H57,2)</f>
        <v>63050.34</v>
      </c>
      <c r="N57" s="849" t="s">
        <v>506</v>
      </c>
      <c r="O57" s="849"/>
      <c r="P57" s="851"/>
      <c r="Q57" s="851"/>
      <c r="R57" s="499" t="s">
        <v>498</v>
      </c>
      <c r="S57" s="499">
        <v>251</v>
      </c>
      <c r="T57" s="510">
        <f>H57</f>
        <v>1047</v>
      </c>
      <c r="U57" s="524">
        <f>ROUND(P57*T57,2)</f>
        <v>0</v>
      </c>
      <c r="V57" s="474"/>
    </row>
    <row r="58" spans="1:22" x14ac:dyDescent="0.3">
      <c r="A58" s="792"/>
      <c r="B58" s="792"/>
      <c r="C58" s="143">
        <v>4.51</v>
      </c>
      <c r="D58" s="143">
        <v>5.35</v>
      </c>
      <c r="E58" s="116">
        <f t="shared" si="10"/>
        <v>9.86</v>
      </c>
      <c r="F58" s="493" t="s">
        <v>498</v>
      </c>
      <c r="G58" s="493">
        <v>252</v>
      </c>
      <c r="H58" s="507">
        <f>'1461'!H58</f>
        <v>3380</v>
      </c>
      <c r="I58" s="101">
        <f t="shared" ref="I58:I65" si="11">ROUND(E58*H58,2)</f>
        <v>33326.800000000003</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55.53</v>
      </c>
      <c r="D60" s="143">
        <v>56.04</v>
      </c>
      <c r="E60" s="116">
        <f t="shared" si="10"/>
        <v>111.57</v>
      </c>
      <c r="F60" s="494" t="s">
        <v>13</v>
      </c>
      <c r="G60" s="493">
        <v>251</v>
      </c>
      <c r="H60" s="507">
        <f>'1461'!H60</f>
        <v>1173</v>
      </c>
      <c r="I60" s="101">
        <f t="shared" si="11"/>
        <v>130871.61</v>
      </c>
      <c r="N60" s="850"/>
      <c r="O60" s="850"/>
      <c r="P60" s="844"/>
      <c r="Q60" s="844"/>
      <c r="R60" s="40" t="s">
        <v>13</v>
      </c>
      <c r="S60" s="499">
        <v>251</v>
      </c>
      <c r="T60" s="510">
        <f t="shared" si="12"/>
        <v>1173</v>
      </c>
      <c r="U60" s="524">
        <f t="shared" si="13"/>
        <v>0</v>
      </c>
      <c r="V60" s="474"/>
    </row>
    <row r="61" spans="1:22" x14ac:dyDescent="0.3">
      <c r="A61" s="792"/>
      <c r="B61" s="792"/>
      <c r="C61" s="143">
        <v>2</v>
      </c>
      <c r="D61" s="143">
        <v>2.02</v>
      </c>
      <c r="E61" s="116">
        <f t="shared" si="10"/>
        <v>4.0199999999999996</v>
      </c>
      <c r="F61" s="494" t="s">
        <v>13</v>
      </c>
      <c r="G61" s="493">
        <v>252</v>
      </c>
      <c r="H61" s="507">
        <f>'1461'!H61</f>
        <v>3506</v>
      </c>
      <c r="I61" s="101">
        <f t="shared" si="11"/>
        <v>14094.12</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89.59</v>
      </c>
      <c r="D66" s="97">
        <f>SUM(D57:D65)</f>
        <v>96.08</v>
      </c>
      <c r="E66" s="97">
        <f>SUM(E57:E65)</f>
        <v>185.67</v>
      </c>
      <c r="F66" s="779" t="s">
        <v>507</v>
      </c>
      <c r="G66" s="779"/>
      <c r="H66" s="779"/>
      <c r="I66" s="97">
        <f>SUM(I57:I65)</f>
        <v>241342.87</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1049.18</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4.9919999999999999E-3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1109.7015999999999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4.6779999999999999E-3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1049.18</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5.653E-3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1049.18</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5.0000000000000001E-3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1049.18</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5.6629999999999996E-3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5.0000000000000001E-3</v>
      </c>
      <c r="I85" s="101">
        <f>ROUND(F85*H85,2)</f>
        <v>230755.4</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4.9919999999999999E-3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5.6629999999999996E-3</v>
      </c>
      <c r="I90" s="101">
        <f>ROUND(F90*H90,2)</f>
        <v>108131.25</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5.653E-3</v>
      </c>
      <c r="I92" s="101">
        <f t="shared" ref="I92:I96" si="14">ROUND(F92*H92,2)</f>
        <v>64794.28</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4.6779999999999999E-3</v>
      </c>
      <c r="I94" s="101">
        <f t="shared" si="14"/>
        <v>1196430.3899999999</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4.6779999999999999E-3</v>
      </c>
      <c r="I96" s="101">
        <f t="shared" si="14"/>
        <v>-78147.7</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4.9919999999999999E-3</v>
      </c>
      <c r="I98" s="101">
        <f t="shared" ref="I98" si="16">ROUND(F98*H98,2)</f>
        <v>1017.68</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531.41870000000006</v>
      </c>
      <c r="D104" s="774"/>
      <c r="E104" s="46">
        <f>H8</f>
        <v>1.0407999999999999</v>
      </c>
      <c r="F104" s="302">
        <f>'1461'!F104</f>
        <v>950.92</v>
      </c>
      <c r="G104" s="39" t="s">
        <v>12</v>
      </c>
      <c r="H104" s="101">
        <f>ROUND(C104*E104*F104,2)</f>
        <v>525954.41</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578.28290000000004</v>
      </c>
      <c r="D105" s="774"/>
      <c r="E105" s="46">
        <f>H8</f>
        <v>1.0407999999999999</v>
      </c>
      <c r="F105" s="302">
        <f>'1461'!F105</f>
        <v>907.92</v>
      </c>
      <c r="G105" s="39" t="s">
        <v>12</v>
      </c>
      <c r="H105" s="101">
        <f>ROUND(C105*E105*F105,2)</f>
        <v>546456.02</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1109.7016000000001</v>
      </c>
      <c r="D107" s="787"/>
      <c r="E107" s="123"/>
      <c r="F107" s="123"/>
      <c r="G107" s="123"/>
      <c r="H107" s="124" t="s">
        <v>100</v>
      </c>
      <c r="I107" s="101">
        <f>IF(A1=75,0,H106+H105+H104)</f>
        <v>1072410.4300000002</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90</v>
      </c>
      <c r="D113" s="143">
        <v>101</v>
      </c>
      <c r="E113" s="116">
        <f>(C113+D113)/2</f>
        <v>95.5</v>
      </c>
      <c r="F113" s="126" t="s">
        <v>30</v>
      </c>
      <c r="G113" s="303">
        <f>'1461'!G113</f>
        <v>584</v>
      </c>
      <c r="I113" s="101">
        <f>ROUND(G113*E113,2)</f>
        <v>55772</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9049668.1500000004</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8640281.5700000003</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8640281.5700000003</v>
      </c>
      <c r="I135" s="94">
        <f>ROUND(IF(E30=0,0,IF(E30&gt;250,-(((250/E30)*H135)*IF(G135="H",0.02,0.05)),IF(G135="H",-0.02*H135,-0.05*H135))),2)</f>
        <v>-41176.35</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9008491.8000000007</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Payments'!Q82</f>
        <v>-9010728.0299999993</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-2236.2299999985844</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-2236.23</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131629.28</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rgb="FFFFCCCC"/>
  </sheetPr>
  <dimension ref="A1:V221"/>
  <sheetViews>
    <sheetView topLeftCell="A48" workbookViewId="0">
      <selection activeCell="I145" sqref="I145"/>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116</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40.869999999999997</v>
      </c>
      <c r="D14" s="141">
        <v>39.49</v>
      </c>
      <c r="E14" s="187">
        <f>IF(D$30=0,C14*2,C14+D14)</f>
        <v>80.36</v>
      </c>
      <c r="F14" s="868">
        <f>'1461'!F14:G14</f>
        <v>1.1180000000000001</v>
      </c>
      <c r="G14" s="868"/>
      <c r="H14" s="145">
        <f>ROUND(E14*F14,4)</f>
        <v>89.842500000000001</v>
      </c>
      <c r="I14" s="111">
        <f>ROUND(ROUND(ROUND(H14*$C$8,4)*($H$8),2)*(MAX($H$9,1)),2)</f>
        <v>498489.67</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7.5</v>
      </c>
      <c r="D15" s="143">
        <v>7.5</v>
      </c>
      <c r="E15" s="116">
        <f t="shared" ref="E15:E29" si="1">IF(D$30=0,C15*2,C15+D15)</f>
        <v>15</v>
      </c>
      <c r="F15" s="859">
        <f>'1461'!F15:G15</f>
        <v>1.1180000000000001</v>
      </c>
      <c r="G15" s="859"/>
      <c r="H15" s="80">
        <f t="shared" ref="H15:H29" si="2">ROUND(E15*F15,4)</f>
        <v>16.77</v>
      </c>
      <c r="I15" s="101">
        <f t="shared" ref="I15:I29" si="3">ROUND(ROUND(ROUND(H15*$C$8,4)*($H$8),2)*(MAX($H$9,1)),2)</f>
        <v>93048.08</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65.64</v>
      </c>
      <c r="D16" s="143">
        <v>63.8</v>
      </c>
      <c r="E16" s="116">
        <f t="shared" si="1"/>
        <v>129.44</v>
      </c>
      <c r="F16" s="859">
        <f>'1461'!F16:G16</f>
        <v>1</v>
      </c>
      <c r="G16" s="859"/>
      <c r="H16" s="80">
        <f t="shared" si="2"/>
        <v>129.44</v>
      </c>
      <c r="I16" s="101">
        <f t="shared" si="3"/>
        <v>718195.77</v>
      </c>
      <c r="N16" s="818" t="s">
        <v>22</v>
      </c>
      <c r="O16" s="818"/>
      <c r="P16" s="860">
        <f t="shared" si="0"/>
        <v>0</v>
      </c>
      <c r="Q16" s="860"/>
      <c r="R16" s="864">
        <v>1</v>
      </c>
      <c r="S16" s="864"/>
      <c r="T16" s="95">
        <f t="shared" si="4"/>
        <v>0</v>
      </c>
      <c r="U16" s="523">
        <f t="shared" si="5"/>
        <v>0</v>
      </c>
    </row>
    <row r="17" spans="1:21" x14ac:dyDescent="0.3">
      <c r="A17" s="776" t="s">
        <v>23</v>
      </c>
      <c r="B17" s="776"/>
      <c r="C17" s="143">
        <v>16.010000000000002</v>
      </c>
      <c r="D17" s="143">
        <v>16</v>
      </c>
      <c r="E17" s="116">
        <f t="shared" si="1"/>
        <v>32.010000000000005</v>
      </c>
      <c r="F17" s="859">
        <f>'1461'!F17:G17</f>
        <v>1</v>
      </c>
      <c r="G17" s="859"/>
      <c r="H17" s="80">
        <f t="shared" si="2"/>
        <v>32.01</v>
      </c>
      <c r="I17" s="101">
        <f t="shared" si="3"/>
        <v>177606.97</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0.5</v>
      </c>
      <c r="D20" s="143">
        <v>0.5</v>
      </c>
      <c r="E20" s="116">
        <f t="shared" si="1"/>
        <v>1</v>
      </c>
      <c r="F20" s="859">
        <f>'1461'!F20:G20</f>
        <v>3.6970000000000001</v>
      </c>
      <c r="G20" s="859"/>
      <c r="H20" s="80">
        <f t="shared" si="2"/>
        <v>3.6970000000000001</v>
      </c>
      <c r="I20" s="101">
        <f t="shared" si="3"/>
        <v>20512.75</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4.07</v>
      </c>
      <c r="D26" s="143">
        <v>3.72</v>
      </c>
      <c r="E26" s="116">
        <f t="shared" si="1"/>
        <v>7.7900000000000009</v>
      </c>
      <c r="F26" s="859">
        <f>'1461'!F26:G26</f>
        <v>1.1919999999999999</v>
      </c>
      <c r="G26" s="859"/>
      <c r="H26" s="80">
        <f t="shared" si="2"/>
        <v>9.2857000000000003</v>
      </c>
      <c r="I26" s="101">
        <f t="shared" si="3"/>
        <v>51521.56</v>
      </c>
      <c r="N26" s="818" t="s">
        <v>85</v>
      </c>
      <c r="O26" s="818"/>
      <c r="P26" s="860">
        <f t="shared" si="0"/>
        <v>0</v>
      </c>
      <c r="Q26" s="860"/>
      <c r="R26" s="864">
        <v>1</v>
      </c>
      <c r="S26" s="864"/>
      <c r="T26" s="95">
        <f t="shared" si="4"/>
        <v>0</v>
      </c>
      <c r="U26" s="523">
        <f t="shared" si="5"/>
        <v>0</v>
      </c>
    </row>
    <row r="27" spans="1:21" x14ac:dyDescent="0.3">
      <c r="A27" s="776" t="s">
        <v>86</v>
      </c>
      <c r="B27" s="776"/>
      <c r="C27" s="143">
        <v>0.87</v>
      </c>
      <c r="D27" s="143">
        <v>0.8</v>
      </c>
      <c r="E27" s="116">
        <f t="shared" si="1"/>
        <v>1.67</v>
      </c>
      <c r="F27" s="859">
        <f>'1461'!F27:G27</f>
        <v>1.1919999999999999</v>
      </c>
      <c r="G27" s="859"/>
      <c r="H27" s="80">
        <f t="shared" si="2"/>
        <v>1.9905999999999999</v>
      </c>
      <c r="I27" s="101">
        <f t="shared" si="3"/>
        <v>11044.81</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135.45999999999998</v>
      </c>
      <c r="D30" s="94">
        <f>SUM(D14:D29)</f>
        <v>131.81</v>
      </c>
      <c r="E30" s="94">
        <f>SUM(E14:E29)</f>
        <v>267.27000000000004</v>
      </c>
      <c r="F30" s="795"/>
      <c r="G30" s="795"/>
      <c r="H30" s="99">
        <f>SUM(H14:H29)</f>
        <v>283.03579999999999</v>
      </c>
      <c r="I30" s="94">
        <f>SUM(I14:I29)</f>
        <v>1570419.61</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283.03579999999999</v>
      </c>
      <c r="F46" s="34"/>
      <c r="G46" s="106"/>
      <c r="H46" s="107" t="s">
        <v>98</v>
      </c>
      <c r="I46" s="94">
        <f>SUM(I44,I30)</f>
        <v>1570419.61</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1484980.7200000004</v>
      </c>
      <c r="G51" s="109" t="s">
        <v>6</v>
      </c>
      <c r="H51" s="452">
        <v>5.5899999999999998E-2</v>
      </c>
      <c r="I51" s="101">
        <f>ROUND(F51*H51,2)</f>
        <v>83010.42</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1484980.7200000004</v>
      </c>
      <c r="G52" s="109" t="s">
        <v>6</v>
      </c>
      <c r="H52" s="452">
        <v>1.0699999999999999E-2</v>
      </c>
      <c r="I52" s="101">
        <f>ROUND(F52*H52,2)</f>
        <v>15889.29</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98899.709999999992</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5.5</v>
      </c>
      <c r="D57" s="143">
        <v>5.5</v>
      </c>
      <c r="E57" s="116">
        <f t="shared" ref="E57:E65" si="10">IF(D$66=0,C57*2,C57+D57)</f>
        <v>11</v>
      </c>
      <c r="F57" s="493" t="s">
        <v>498</v>
      </c>
      <c r="G57" s="493">
        <v>251</v>
      </c>
      <c r="H57" s="507">
        <f>'1461'!H57</f>
        <v>1047</v>
      </c>
      <c r="I57" s="101">
        <f>ROUND(E57*H57,2)</f>
        <v>11517</v>
      </c>
      <c r="N57" s="849" t="s">
        <v>506</v>
      </c>
      <c r="O57" s="849"/>
      <c r="P57" s="851"/>
      <c r="Q57" s="851"/>
      <c r="R57" s="499" t="s">
        <v>498</v>
      </c>
      <c r="S57" s="499">
        <v>251</v>
      </c>
      <c r="T57" s="510">
        <f>H57</f>
        <v>1047</v>
      </c>
      <c r="U57" s="524">
        <f>ROUND(P57*T57,2)</f>
        <v>0</v>
      </c>
      <c r="V57" s="474"/>
    </row>
    <row r="58" spans="1:22" x14ac:dyDescent="0.3">
      <c r="A58" s="792"/>
      <c r="B58" s="792"/>
      <c r="C58" s="143">
        <v>1</v>
      </c>
      <c r="D58" s="143">
        <v>1</v>
      </c>
      <c r="E58" s="116">
        <f t="shared" si="10"/>
        <v>2</v>
      </c>
      <c r="F58" s="493" t="s">
        <v>498</v>
      </c>
      <c r="G58" s="493">
        <v>252</v>
      </c>
      <c r="H58" s="507">
        <f>'1461'!H58</f>
        <v>3380</v>
      </c>
      <c r="I58" s="101">
        <f t="shared" ref="I58:I65" si="11">ROUND(E58*H58,2)</f>
        <v>6760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1</v>
      </c>
      <c r="D59" s="143">
        <v>1</v>
      </c>
      <c r="E59" s="116">
        <f t="shared" si="10"/>
        <v>2</v>
      </c>
      <c r="F59" s="493" t="s">
        <v>498</v>
      </c>
      <c r="G59" s="493">
        <v>253</v>
      </c>
      <c r="H59" s="507">
        <f>'1461'!H59</f>
        <v>6896</v>
      </c>
      <c r="I59" s="101">
        <f t="shared" si="11"/>
        <v>13792</v>
      </c>
      <c r="N59" s="850"/>
      <c r="O59" s="850"/>
      <c r="P59" s="844"/>
      <c r="Q59" s="844"/>
      <c r="R59" s="499" t="s">
        <v>498</v>
      </c>
      <c r="S59" s="499">
        <v>253</v>
      </c>
      <c r="T59" s="510">
        <f t="shared" si="12"/>
        <v>6896</v>
      </c>
      <c r="U59" s="524">
        <f t="shared" si="13"/>
        <v>0</v>
      </c>
      <c r="V59" s="474"/>
    </row>
    <row r="60" spans="1:22" x14ac:dyDescent="0.3">
      <c r="A60" s="792"/>
      <c r="B60" s="792"/>
      <c r="C60" s="143">
        <v>15.01</v>
      </c>
      <c r="D60" s="143">
        <v>15</v>
      </c>
      <c r="E60" s="116">
        <f t="shared" si="10"/>
        <v>30.009999999999998</v>
      </c>
      <c r="F60" s="494" t="s">
        <v>13</v>
      </c>
      <c r="G60" s="493">
        <v>251</v>
      </c>
      <c r="H60" s="507">
        <f>'1461'!H60</f>
        <v>1173</v>
      </c>
      <c r="I60" s="101">
        <f t="shared" si="11"/>
        <v>35201.730000000003</v>
      </c>
      <c r="N60" s="850"/>
      <c r="O60" s="850"/>
      <c r="P60" s="844"/>
      <c r="Q60" s="844"/>
      <c r="R60" s="40" t="s">
        <v>13</v>
      </c>
      <c r="S60" s="499">
        <v>251</v>
      </c>
      <c r="T60" s="510">
        <f t="shared" si="12"/>
        <v>1173</v>
      </c>
      <c r="U60" s="524">
        <f t="shared" si="13"/>
        <v>0</v>
      </c>
      <c r="V60" s="474"/>
    </row>
    <row r="61" spans="1:22" x14ac:dyDescent="0.3">
      <c r="A61" s="792"/>
      <c r="B61" s="792"/>
      <c r="C61" s="143">
        <v>1</v>
      </c>
      <c r="D61" s="143">
        <v>1</v>
      </c>
      <c r="E61" s="116">
        <f t="shared" si="10"/>
        <v>2</v>
      </c>
      <c r="F61" s="494" t="s">
        <v>13</v>
      </c>
      <c r="G61" s="493">
        <v>252</v>
      </c>
      <c r="H61" s="507">
        <f>'1461'!H61</f>
        <v>3506</v>
      </c>
      <c r="I61" s="101">
        <f t="shared" si="11"/>
        <v>7012</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23.509999999999998</v>
      </c>
      <c r="D66" s="97">
        <f>SUM(D57:D65)</f>
        <v>23.5</v>
      </c>
      <c r="E66" s="97">
        <f>SUM(E57:E65)</f>
        <v>47.01</v>
      </c>
      <c r="F66" s="779" t="s">
        <v>507</v>
      </c>
      <c r="G66" s="779"/>
      <c r="H66" s="779"/>
      <c r="I66" s="97">
        <f>SUM(I57:I65)</f>
        <v>74282.73000000001</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267.27000000000004</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1.2719999999999999E-3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283.03579999999999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1.193E-3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267.27000000000004</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1.4400000000000001E-3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267.27000000000004</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1.274E-3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267.27000000000004</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1.4430000000000001E-3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1.274E-3</v>
      </c>
      <c r="I85" s="101">
        <f>ROUND(F85*H85,2)</f>
        <v>58796.47</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1.2719999999999999E-3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1.4430000000000001E-3</v>
      </c>
      <c r="I90" s="101">
        <f>ROUND(F90*H90,2)</f>
        <v>27553.13</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1.4400000000000001E-3</v>
      </c>
      <c r="I92" s="101">
        <f t="shared" ref="I92:I96" si="14">ROUND(F92*H92,2)</f>
        <v>16505.18</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1.193E-3</v>
      </c>
      <c r="I94" s="101">
        <f t="shared" si="14"/>
        <v>305117.88</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1.193E-3</v>
      </c>
      <c r="I96" s="101">
        <f t="shared" si="14"/>
        <v>-19929.5</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1.2719999999999999E-3</v>
      </c>
      <c r="I98" s="101">
        <f t="shared" ref="I98" si="16">ROUND(F98*H98,2)</f>
        <v>259.31</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119.59520000000001</v>
      </c>
      <c r="D104" s="774"/>
      <c r="E104" s="46">
        <f>H8</f>
        <v>1.0407999999999999</v>
      </c>
      <c r="F104" s="302">
        <f>'1461'!F104</f>
        <v>950.92</v>
      </c>
      <c r="G104" s="39" t="s">
        <v>12</v>
      </c>
      <c r="H104" s="101">
        <f>ROUND(C104*E104*F104,2)</f>
        <v>118365.47</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163.44059999999999</v>
      </c>
      <c r="D105" s="774"/>
      <c r="E105" s="46">
        <f>H8</f>
        <v>1.0407999999999999</v>
      </c>
      <c r="F105" s="302">
        <f>'1461'!F105</f>
        <v>907.92</v>
      </c>
      <c r="G105" s="39" t="s">
        <v>12</v>
      </c>
      <c r="H105" s="101">
        <f>ROUND(C105*E105*F105,2)</f>
        <v>154445.34</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283.03579999999999</v>
      </c>
      <c r="D107" s="787"/>
      <c r="E107" s="123"/>
      <c r="F107" s="123"/>
      <c r="G107" s="123"/>
      <c r="H107" s="124" t="s">
        <v>100</v>
      </c>
      <c r="I107" s="101">
        <f>IF(A1=75,0,H106+H105+H104)</f>
        <v>272810.81</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263</v>
      </c>
      <c r="D113" s="143">
        <v>254</v>
      </c>
      <c r="E113" s="116">
        <f>(C113+D113)/2</f>
        <v>258.5</v>
      </c>
      <c r="F113" s="126" t="s">
        <v>30</v>
      </c>
      <c r="G113" s="303">
        <f>'1461'!G113</f>
        <v>584</v>
      </c>
      <c r="I113" s="101">
        <f>ROUND(G113*E113,2)</f>
        <v>150964</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2456779.62</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2357879.91</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2357879.91</v>
      </c>
      <c r="I135" s="94">
        <f>ROUND(IF(E30=0,0,IF(E30&gt;250,-(((250/E30)*H135)*IF(G135="H",0.02,0.05)),IF(G135="H",-0.02*H135,-0.05*H135))),2)</f>
        <v>-110276.12</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2346503.5</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Payments'!Q83</f>
        <v>-2393764.3800000004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-47260.880000000354</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-47260.88</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7617.88</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B1:I1"/>
    <mergeCell ref="O1:U1"/>
    <mergeCell ref="N2:U2"/>
    <mergeCell ref="N3:U3"/>
    <mergeCell ref="A4:B4"/>
    <mergeCell ref="C4:E4"/>
    <mergeCell ref="N4:O4"/>
    <mergeCell ref="P4:Q4"/>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F20:G20"/>
    <mergeCell ref="N20:O20"/>
    <mergeCell ref="P20:Q20"/>
    <mergeCell ref="R20:S20"/>
    <mergeCell ref="A21:B21"/>
    <mergeCell ref="F21:G21"/>
    <mergeCell ref="N21:O21"/>
    <mergeCell ref="P21:Q21"/>
    <mergeCell ref="R21:S21"/>
    <mergeCell ref="A20:B20"/>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R120:S120"/>
    <mergeCell ref="A113:B113"/>
    <mergeCell ref="N113:O113"/>
    <mergeCell ref="P113:R113"/>
    <mergeCell ref="A114:B114"/>
    <mergeCell ref="N114:O114"/>
    <mergeCell ref="P114:R114"/>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117</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0</v>
      </c>
      <c r="D30" s="94">
        <f>SUM(D14:D29)</f>
        <v>0</v>
      </c>
      <c r="E30" s="94">
        <f>SUM(E14:E29)</f>
        <v>0</v>
      </c>
      <c r="F30" s="795"/>
      <c r="G30" s="795"/>
      <c r="H30" s="99">
        <f>SUM(H14:H29)</f>
        <v>0</v>
      </c>
      <c r="I30" s="94">
        <f>SUM(I14:I29)</f>
        <v>0</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0</v>
      </c>
      <c r="F46" s="34"/>
      <c r="G46" s="106"/>
      <c r="H46" s="107" t="s">
        <v>98</v>
      </c>
      <c r="I46" s="94">
        <f>SUM(I44,I30)</f>
        <v>0</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173308.56</v>
      </c>
      <c r="G51" s="109" t="s">
        <v>6</v>
      </c>
      <c r="H51" s="452">
        <v>5.5899999999999998E-2</v>
      </c>
      <c r="I51" s="101">
        <v>0</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173308.56</v>
      </c>
      <c r="G52" s="109" t="s">
        <v>6</v>
      </c>
      <c r="H52" s="452">
        <v>1.0699999999999999E-2</v>
      </c>
      <c r="I52" s="101">
        <v>0</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0</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0</v>
      </c>
      <c r="D66" s="97">
        <f>SUM(D57:D65)</f>
        <v>0</v>
      </c>
      <c r="E66" s="97">
        <f>SUM(E57:E65)</f>
        <v>0</v>
      </c>
      <c r="F66" s="779" t="s">
        <v>507</v>
      </c>
      <c r="G66" s="779"/>
      <c r="H66" s="779"/>
      <c r="I66" s="97">
        <f>SUM(I57:I65)</f>
        <v>0</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0</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0</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0</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0</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0</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0</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0</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0</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0</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0</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0</v>
      </c>
      <c r="I85" s="101">
        <f>ROUND(F85*H85,2)</f>
        <v>0</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0</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0</v>
      </c>
      <c r="I90" s="101">
        <f>ROUND(F90*H90,2)</f>
        <v>0</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0</v>
      </c>
      <c r="I92" s="101">
        <f t="shared" ref="I92:I96" si="14">ROUND(F92*H92,2)</f>
        <v>0</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0</v>
      </c>
      <c r="I94" s="101">
        <f t="shared" si="14"/>
        <v>0</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0</v>
      </c>
      <c r="I96" s="101">
        <f t="shared" si="14"/>
        <v>0</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0</v>
      </c>
      <c r="I98" s="101">
        <f t="shared" ref="I98" si="16">ROUND(F98*H98,2)</f>
        <v>0</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0</v>
      </c>
      <c r="D107" s="787"/>
      <c r="E107" s="123"/>
      <c r="F107" s="123"/>
      <c r="G107" s="123"/>
      <c r="H107" s="124" t="s">
        <v>100</v>
      </c>
      <c r="I107" s="101">
        <f>IF(A1=75,0,H106+H105+H104)</f>
        <v>0</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0</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0</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v>1</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0</v>
      </c>
      <c r="I135" s="94">
        <f>ROUND(IF(E30=0,0,IF(E30&gt;250,-(((250/E30)*H135)*IF(G135="H",0.02,0.05)),IF(G135="H",-0.02*H135,-0.05*H135))),2)</f>
        <v>0</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v>0</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Payments'!Q84</f>
        <v>-66663.929999999993</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-66663.929999999993</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v>0</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132:T132"/>
    <mergeCell ref="N133:T133"/>
    <mergeCell ref="N8:O8"/>
    <mergeCell ref="P8:Q8"/>
    <mergeCell ref="R8:S8"/>
    <mergeCell ref="T8:U8"/>
    <mergeCell ref="F11:G11"/>
    <mergeCell ref="R11:S11"/>
    <mergeCell ref="F12:G12"/>
    <mergeCell ref="N12:O12"/>
    <mergeCell ref="P12:Q12"/>
    <mergeCell ref="R12:S12"/>
    <mergeCell ref="T9:U9"/>
    <mergeCell ref="F13:G13"/>
    <mergeCell ref="N13:O13"/>
    <mergeCell ref="P13:Q13"/>
    <mergeCell ref="R13:S13"/>
    <mergeCell ref="P60:Q60"/>
    <mergeCell ref="P61:Q61"/>
    <mergeCell ref="P62:Q62"/>
    <mergeCell ref="P63:Q63"/>
    <mergeCell ref="P64:Q64"/>
    <mergeCell ref="T72:U72"/>
    <mergeCell ref="R66:T66"/>
    <mergeCell ref="B1:I1"/>
    <mergeCell ref="O1:U1"/>
    <mergeCell ref="N2:U2"/>
    <mergeCell ref="N3:U3"/>
    <mergeCell ref="A4:B4"/>
    <mergeCell ref="C4:E4"/>
    <mergeCell ref="N4:O4"/>
    <mergeCell ref="P4:Q4"/>
    <mergeCell ref="A7:I7"/>
    <mergeCell ref="N7:U7"/>
    <mergeCell ref="A14:B14"/>
    <mergeCell ref="F14:G14"/>
    <mergeCell ref="N14:O14"/>
    <mergeCell ref="P14:Q14"/>
    <mergeCell ref="R14:S14"/>
    <mergeCell ref="A13:B13"/>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94:C94"/>
    <mergeCell ref="A88:C88"/>
    <mergeCell ref="N94:P9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N155:U155"/>
    <mergeCell ref="N135:U135"/>
    <mergeCell ref="N126:P126"/>
    <mergeCell ref="A126:C126"/>
    <mergeCell ref="F126:H126"/>
    <mergeCell ref="N130:T130"/>
    <mergeCell ref="A128:H128"/>
    <mergeCell ref="A132:G132"/>
    <mergeCell ref="A12:B12"/>
    <mergeCell ref="A133:G133"/>
    <mergeCell ref="N136:U136"/>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118</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40.119999999999997</v>
      </c>
      <c r="D14" s="141">
        <v>40.08</v>
      </c>
      <c r="E14" s="187">
        <f>IF(D$30=0,C14*2,C14+D14)</f>
        <v>80.199999999999989</v>
      </c>
      <c r="F14" s="868">
        <f>'1461'!F14:G14</f>
        <v>1.1180000000000001</v>
      </c>
      <c r="G14" s="868"/>
      <c r="H14" s="145">
        <f>ROUND(E14*F14,4)</f>
        <v>89.663600000000002</v>
      </c>
      <c r="I14" s="111">
        <f>ROUND(ROUND(ROUND(H14*$C$8,4)*($H$8),2)*(MAX($H$9,1)),2)</f>
        <v>497497.05</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5</v>
      </c>
      <c r="D15" s="143">
        <v>5</v>
      </c>
      <c r="E15" s="116">
        <f t="shared" ref="E15:E29" si="1">IF(D$30=0,C15*2,C15+D15)</f>
        <v>10</v>
      </c>
      <c r="F15" s="859">
        <f>'1461'!F15:G15</f>
        <v>1.1180000000000001</v>
      </c>
      <c r="G15" s="859"/>
      <c r="H15" s="80">
        <f t="shared" ref="H15:H29" si="2">ROUND(E15*F15,4)</f>
        <v>11.18</v>
      </c>
      <c r="I15" s="101">
        <f t="shared" ref="I15:I29" si="3">ROUND(ROUND(ROUND(H15*$C$8,4)*($H$8),2)*(MAX($H$9,1)),2)</f>
        <v>62032.05</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17</v>
      </c>
      <c r="D16" s="143">
        <v>18.45</v>
      </c>
      <c r="E16" s="116">
        <f t="shared" si="1"/>
        <v>35.450000000000003</v>
      </c>
      <c r="F16" s="859">
        <f>'1461'!F16:G16</f>
        <v>1</v>
      </c>
      <c r="G16" s="859"/>
      <c r="H16" s="80">
        <f t="shared" si="2"/>
        <v>35.450000000000003</v>
      </c>
      <c r="I16" s="101">
        <f t="shared" si="3"/>
        <v>196693.76000000001</v>
      </c>
      <c r="N16" s="818" t="s">
        <v>22</v>
      </c>
      <c r="O16" s="818"/>
      <c r="P16" s="860">
        <f t="shared" si="0"/>
        <v>0</v>
      </c>
      <c r="Q16" s="860"/>
      <c r="R16" s="864">
        <v>1</v>
      </c>
      <c r="S16" s="864"/>
      <c r="T16" s="95">
        <f t="shared" si="4"/>
        <v>0</v>
      </c>
      <c r="U16" s="523">
        <f t="shared" si="5"/>
        <v>0</v>
      </c>
    </row>
    <row r="17" spans="1:21" x14ac:dyDescent="0.3">
      <c r="A17" s="776" t="s">
        <v>23</v>
      </c>
      <c r="B17" s="776"/>
      <c r="C17" s="143">
        <v>2.4900000000000002</v>
      </c>
      <c r="D17" s="143">
        <v>1.01</v>
      </c>
      <c r="E17" s="116">
        <f t="shared" si="1"/>
        <v>3.5</v>
      </c>
      <c r="F17" s="859">
        <f>'1461'!F17:G17</f>
        <v>1</v>
      </c>
      <c r="G17" s="859"/>
      <c r="H17" s="80">
        <f t="shared" si="2"/>
        <v>3.5</v>
      </c>
      <c r="I17" s="101">
        <f t="shared" si="3"/>
        <v>19419.689999999999</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26.37</v>
      </c>
      <c r="D26" s="143">
        <v>25.61</v>
      </c>
      <c r="E26" s="116">
        <f t="shared" si="1"/>
        <v>51.980000000000004</v>
      </c>
      <c r="F26" s="859">
        <f>'1461'!F26:G26</f>
        <v>1.1919999999999999</v>
      </c>
      <c r="G26" s="859"/>
      <c r="H26" s="80">
        <f t="shared" si="2"/>
        <v>61.9602</v>
      </c>
      <c r="I26" s="101">
        <f t="shared" si="3"/>
        <v>343785.18</v>
      </c>
      <c r="N26" s="818" t="s">
        <v>85</v>
      </c>
      <c r="O26" s="818"/>
      <c r="P26" s="860">
        <f t="shared" si="0"/>
        <v>0</v>
      </c>
      <c r="Q26" s="860"/>
      <c r="R26" s="864">
        <v>1</v>
      </c>
      <c r="S26" s="864"/>
      <c r="T26" s="95">
        <f t="shared" si="4"/>
        <v>0</v>
      </c>
      <c r="U26" s="523">
        <f t="shared" si="5"/>
        <v>0</v>
      </c>
    </row>
    <row r="27" spans="1:21" x14ac:dyDescent="0.3">
      <c r="A27" s="776" t="s">
        <v>86</v>
      </c>
      <c r="B27" s="776"/>
      <c r="C27" s="143">
        <v>5</v>
      </c>
      <c r="D27" s="143">
        <v>4.8600000000000003</v>
      </c>
      <c r="E27" s="116">
        <f t="shared" si="1"/>
        <v>9.86</v>
      </c>
      <c r="F27" s="859">
        <f>'1461'!F27:G27</f>
        <v>1.1919999999999999</v>
      </c>
      <c r="G27" s="859"/>
      <c r="H27" s="80">
        <f t="shared" si="2"/>
        <v>11.7531</v>
      </c>
      <c r="I27" s="101">
        <f t="shared" si="3"/>
        <v>65211.89</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95.98</v>
      </c>
      <c r="D30" s="94">
        <f>SUM(D14:D29)</f>
        <v>95.01</v>
      </c>
      <c r="E30" s="94">
        <f>SUM(E14:E29)</f>
        <v>190.99</v>
      </c>
      <c r="F30" s="795"/>
      <c r="G30" s="795"/>
      <c r="H30" s="99">
        <f>SUM(H14:H29)</f>
        <v>213.5069</v>
      </c>
      <c r="I30" s="94">
        <f>SUM(I14:I29)</f>
        <v>1184639.6199999999</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213.5069</v>
      </c>
      <c r="F46" s="34"/>
      <c r="G46" s="106"/>
      <c r="H46" s="107" t="s">
        <v>98</v>
      </c>
      <c r="I46" s="94">
        <f>SUM(I44,I30)</f>
        <v>1184639.6199999999</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1247703.69</v>
      </c>
      <c r="G51" s="109" t="s">
        <v>6</v>
      </c>
      <c r="H51" s="452">
        <v>5.5899999999999998E-2</v>
      </c>
      <c r="I51" s="101">
        <f>ROUND(F51*H51,2)</f>
        <v>69746.64</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1247703.69</v>
      </c>
      <c r="G52" s="109" t="s">
        <v>6</v>
      </c>
      <c r="H52" s="452">
        <v>1.0699999999999999E-2</v>
      </c>
      <c r="I52" s="101">
        <f>ROUND(F52*H52,2)</f>
        <v>13350.43</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83097.070000000007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5</v>
      </c>
      <c r="D57" s="143">
        <v>5</v>
      </c>
      <c r="E57" s="116">
        <f t="shared" ref="E57:E65" si="10">IF(D$66=0,C57*2,C57+D57)</f>
        <v>10</v>
      </c>
      <c r="F57" s="493" t="s">
        <v>498</v>
      </c>
      <c r="G57" s="493">
        <v>251</v>
      </c>
      <c r="H57" s="507">
        <f>'1461'!H57</f>
        <v>1047</v>
      </c>
      <c r="I57" s="101">
        <f>ROUND(E57*H57,2)</f>
        <v>10470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1.99</v>
      </c>
      <c r="D60" s="143">
        <v>0.81</v>
      </c>
      <c r="E60" s="116">
        <f t="shared" si="10"/>
        <v>2.8</v>
      </c>
      <c r="F60" s="494" t="s">
        <v>13</v>
      </c>
      <c r="G60" s="493">
        <v>251</v>
      </c>
      <c r="H60" s="507">
        <f>'1461'!H60</f>
        <v>1173</v>
      </c>
      <c r="I60" s="101">
        <f t="shared" si="11"/>
        <v>3284.4</v>
      </c>
      <c r="N60" s="850"/>
      <c r="O60" s="850"/>
      <c r="P60" s="844"/>
      <c r="Q60" s="844"/>
      <c r="R60" s="40" t="s">
        <v>13</v>
      </c>
      <c r="S60" s="499">
        <v>251</v>
      </c>
      <c r="T60" s="510">
        <f t="shared" si="12"/>
        <v>1173</v>
      </c>
      <c r="U60" s="524">
        <f t="shared" si="13"/>
        <v>0</v>
      </c>
      <c r="V60" s="474"/>
    </row>
    <row r="61" spans="1:22" x14ac:dyDescent="0.3">
      <c r="A61" s="792"/>
      <c r="B61" s="792"/>
      <c r="C61" s="143">
        <v>0.5</v>
      </c>
      <c r="D61" s="143">
        <v>0.2</v>
      </c>
      <c r="E61" s="116">
        <f t="shared" si="10"/>
        <v>0.7</v>
      </c>
      <c r="F61" s="494" t="s">
        <v>13</v>
      </c>
      <c r="G61" s="493">
        <v>252</v>
      </c>
      <c r="H61" s="507">
        <f>'1461'!H61</f>
        <v>3506</v>
      </c>
      <c r="I61" s="101">
        <f t="shared" si="11"/>
        <v>2454.1999999999998</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7.49</v>
      </c>
      <c r="D66" s="97">
        <f>SUM(D57:D65)</f>
        <v>6.0100000000000007</v>
      </c>
      <c r="E66" s="97">
        <f>SUM(E57:E65)</f>
        <v>13.5</v>
      </c>
      <c r="F66" s="779" t="s">
        <v>507</v>
      </c>
      <c r="G66" s="779"/>
      <c r="H66" s="779"/>
      <c r="I66" s="97">
        <f>SUM(I57:I65)</f>
        <v>16208.599999999999</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190.99</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9.0899999999999998E-4</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213.5069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8.9999999999999998E-4</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190.99</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1.029E-3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190.99</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9.1E-4</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190.99</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1.031E-3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9.1E-4</v>
      </c>
      <c r="I85" s="101">
        <f>ROUND(F85*H85,2)</f>
        <v>41997.48</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9.0899999999999998E-4</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1.031E-3</v>
      </c>
      <c r="I90" s="101">
        <f>ROUND(F90*H90,2)</f>
        <v>19686.259999999998</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1.029E-3</v>
      </c>
      <c r="I92" s="101">
        <f t="shared" ref="I92:I96" si="14">ROUND(F92*H92,2)</f>
        <v>11794.32</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8.9999999999999998E-4</v>
      </c>
      <c r="I94" s="101">
        <f t="shared" si="14"/>
        <v>230181.13</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8.9999999999999998E-4</v>
      </c>
      <c r="I96" s="101">
        <f t="shared" si="14"/>
        <v>-15034.83</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9.0899999999999998E-4</v>
      </c>
      <c r="I98" s="101">
        <f t="shared" ref="I98" si="16">ROUND(F98*H98,2)</f>
        <v>185.31</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162.80380000000002</v>
      </c>
      <c r="D104" s="774"/>
      <c r="E104" s="46">
        <f>H8</f>
        <v>1.0407999999999999</v>
      </c>
      <c r="F104" s="302">
        <f>'1461'!F104</f>
        <v>950.92</v>
      </c>
      <c r="G104" s="39" t="s">
        <v>12</v>
      </c>
      <c r="H104" s="101">
        <f>ROUND(C104*E104*F104,2)</f>
        <v>161129.78</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50.703100000000006</v>
      </c>
      <c r="D105" s="774"/>
      <c r="E105" s="46">
        <f>H8</f>
        <v>1.0407999999999999</v>
      </c>
      <c r="F105" s="302">
        <f>'1461'!F105</f>
        <v>907.92</v>
      </c>
      <c r="G105" s="39" t="s">
        <v>12</v>
      </c>
      <c r="H105" s="101">
        <f>ROUND(C105*E105*F105,2)</f>
        <v>47912.56</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213.50690000000003</v>
      </c>
      <c r="D107" s="787"/>
      <c r="E107" s="123"/>
      <c r="F107" s="123"/>
      <c r="G107" s="123"/>
      <c r="H107" s="124" t="s">
        <v>100</v>
      </c>
      <c r="I107" s="101">
        <f>IF(A1=75,0,H106+H105+H104)</f>
        <v>209042.34</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9</v>
      </c>
      <c r="D113" s="143">
        <v>10</v>
      </c>
      <c r="E113" s="116">
        <f>(C113+D113)/2</f>
        <v>9.5</v>
      </c>
      <c r="F113" s="126" t="s">
        <v>30</v>
      </c>
      <c r="G113" s="303">
        <f>'1461'!G113</f>
        <v>584</v>
      </c>
      <c r="I113" s="101">
        <f>ROUND(G113*E113,2)</f>
        <v>5548</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1704248.2300000002</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1621151.1600000001</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1621151.1600000001</v>
      </c>
      <c r="I135" s="94">
        <f>ROUND(IF(E30=0,0,IF(E30&gt;250,-(((250/E30)*H135)*IF(G135="H",0.02,0.05)),IF(G135="H",-0.02*H135,-0.05*H135))),2)</f>
        <v>-81057.56</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1623190.6700000002</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Payments'!Q85</f>
        <v>-1639762.0899999996</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-16571.41999999946</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-16571.419999999998</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B1:I1"/>
    <mergeCell ref="O1:U1"/>
    <mergeCell ref="N2:U2"/>
    <mergeCell ref="N3:U3"/>
    <mergeCell ref="A4:B4"/>
    <mergeCell ref="C4:E4"/>
    <mergeCell ref="N4:O4"/>
    <mergeCell ref="P4:Q4"/>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F20:G20"/>
    <mergeCell ref="N20:O20"/>
    <mergeCell ref="P20:Q20"/>
    <mergeCell ref="R20:S20"/>
    <mergeCell ref="A21:B21"/>
    <mergeCell ref="F21:G21"/>
    <mergeCell ref="N21:O21"/>
    <mergeCell ref="P21:Q21"/>
    <mergeCell ref="R21:S21"/>
    <mergeCell ref="A20:B20"/>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285</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74.95</v>
      </c>
      <c r="D14" s="141">
        <v>68.739999999999995</v>
      </c>
      <c r="E14" s="187">
        <f>IF(D$30=0,C14*2,C14+D14)</f>
        <v>143.69</v>
      </c>
      <c r="F14" s="868">
        <f>'1461'!F14:G14</f>
        <v>1.1180000000000001</v>
      </c>
      <c r="G14" s="868"/>
      <c r="H14" s="145">
        <f>ROUND(E14*F14,4)</f>
        <v>160.6454</v>
      </c>
      <c r="I14" s="111">
        <f>ROUND(ROUND(ROUND(H14*$C$8,4)*($H$8),2)*(MAX($H$9,1)),2)</f>
        <v>891338.43</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8</v>
      </c>
      <c r="D15" s="143">
        <v>9.5</v>
      </c>
      <c r="E15" s="116">
        <f t="shared" ref="E15:E29" si="1">IF(D$30=0,C15*2,C15+D15)</f>
        <v>17.5</v>
      </c>
      <c r="F15" s="859">
        <f>'1461'!F15:G15</f>
        <v>1.1180000000000001</v>
      </c>
      <c r="G15" s="859"/>
      <c r="H15" s="80">
        <f t="shared" ref="H15:H29" si="2">ROUND(E15*F15,4)</f>
        <v>19.565000000000001</v>
      </c>
      <c r="I15" s="101">
        <f t="shared" ref="I15:I29" si="3">ROUND(ROUND(ROUND(H15*$C$8,4)*($H$8),2)*(MAX($H$9,1)),2)</f>
        <v>108556.09</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101.93</v>
      </c>
      <c r="D16" s="143">
        <v>101.83</v>
      </c>
      <c r="E16" s="116">
        <f t="shared" si="1"/>
        <v>203.76</v>
      </c>
      <c r="F16" s="859">
        <f>'1461'!F16:G16</f>
        <v>1</v>
      </c>
      <c r="G16" s="859"/>
      <c r="H16" s="80">
        <f t="shared" si="2"/>
        <v>203.76</v>
      </c>
      <c r="I16" s="101">
        <f t="shared" si="3"/>
        <v>1130559.1000000001</v>
      </c>
      <c r="N16" s="818" t="s">
        <v>22</v>
      </c>
      <c r="O16" s="818"/>
      <c r="P16" s="860">
        <f t="shared" si="0"/>
        <v>0</v>
      </c>
      <c r="Q16" s="860"/>
      <c r="R16" s="864">
        <v>1</v>
      </c>
      <c r="S16" s="864"/>
      <c r="T16" s="95">
        <f t="shared" si="4"/>
        <v>0</v>
      </c>
      <c r="U16" s="523">
        <f t="shared" si="5"/>
        <v>0</v>
      </c>
    </row>
    <row r="17" spans="1:21" x14ac:dyDescent="0.3">
      <c r="A17" s="776" t="s">
        <v>23</v>
      </c>
      <c r="B17" s="776"/>
      <c r="C17" s="143">
        <v>17.52</v>
      </c>
      <c r="D17" s="143">
        <v>19.04</v>
      </c>
      <c r="E17" s="116">
        <f t="shared" si="1"/>
        <v>36.56</v>
      </c>
      <c r="F17" s="859">
        <f>'1461'!F17:G17</f>
        <v>1</v>
      </c>
      <c r="G17" s="859"/>
      <c r="H17" s="80">
        <f t="shared" si="2"/>
        <v>36.56</v>
      </c>
      <c r="I17" s="101">
        <f t="shared" si="3"/>
        <v>202852.57</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43.55</v>
      </c>
      <c r="D26" s="143">
        <v>44.06</v>
      </c>
      <c r="E26" s="116">
        <f t="shared" si="1"/>
        <v>87.61</v>
      </c>
      <c r="F26" s="859">
        <f>'1461'!F26:G26</f>
        <v>1.1919999999999999</v>
      </c>
      <c r="G26" s="859"/>
      <c r="H26" s="80">
        <f t="shared" si="2"/>
        <v>104.4311</v>
      </c>
      <c r="I26" s="101">
        <f t="shared" si="3"/>
        <v>579434.29</v>
      </c>
      <c r="N26" s="818" t="s">
        <v>85</v>
      </c>
      <c r="O26" s="818"/>
      <c r="P26" s="860">
        <f t="shared" si="0"/>
        <v>0</v>
      </c>
      <c r="Q26" s="860"/>
      <c r="R26" s="864">
        <v>1</v>
      </c>
      <c r="S26" s="864"/>
      <c r="T26" s="95">
        <f t="shared" si="4"/>
        <v>0</v>
      </c>
      <c r="U26" s="523">
        <f t="shared" si="5"/>
        <v>0</v>
      </c>
    </row>
    <row r="27" spans="1:21" x14ac:dyDescent="0.3">
      <c r="A27" s="776" t="s">
        <v>86</v>
      </c>
      <c r="B27" s="776"/>
      <c r="C27" s="143">
        <v>11.82</v>
      </c>
      <c r="D27" s="143">
        <v>11.96</v>
      </c>
      <c r="E27" s="116">
        <f t="shared" si="1"/>
        <v>23.78</v>
      </c>
      <c r="F27" s="859">
        <f>'1461'!F27:G27</f>
        <v>1.1919999999999999</v>
      </c>
      <c r="G27" s="859"/>
      <c r="H27" s="80">
        <f t="shared" si="2"/>
        <v>28.345800000000001</v>
      </c>
      <c r="I27" s="101">
        <f t="shared" si="3"/>
        <v>157276.22</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257.77</v>
      </c>
      <c r="D30" s="94">
        <f>SUM(D14:D29)</f>
        <v>255.13</v>
      </c>
      <c r="E30" s="94">
        <f>SUM(E14:E29)</f>
        <v>512.9</v>
      </c>
      <c r="F30" s="795"/>
      <c r="G30" s="795"/>
      <c r="H30" s="99">
        <f>SUM(H14:H29)</f>
        <v>553.30730000000005</v>
      </c>
      <c r="I30" s="94">
        <f>SUM(I14:I29)</f>
        <v>3070016.7</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553.30730000000005</v>
      </c>
      <c r="F46" s="34"/>
      <c r="G46" s="106"/>
      <c r="H46" s="107" t="s">
        <v>98</v>
      </c>
      <c r="I46" s="94">
        <f>SUM(I44,I30)</f>
        <v>3070016.7</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3133058.57</v>
      </c>
      <c r="G51" s="109" t="s">
        <v>6</v>
      </c>
      <c r="H51" s="452">
        <v>5.5899999999999998E-2</v>
      </c>
      <c r="I51" s="101">
        <f>ROUND(F51*H51,2)</f>
        <v>175137.97</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3133058.57</v>
      </c>
      <c r="G52" s="109" t="s">
        <v>6</v>
      </c>
      <c r="H52" s="452">
        <v>1.0699999999999999E-2</v>
      </c>
      <c r="I52" s="101">
        <f>ROUND(F52*H52,2)</f>
        <v>33523.730000000003</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208661.7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7.5</v>
      </c>
      <c r="D57" s="143">
        <v>8.91</v>
      </c>
      <c r="E57" s="116">
        <f t="shared" ref="E57:E65" si="10">IF(D$66=0,C57*2,C57+D57)</f>
        <v>16.41</v>
      </c>
      <c r="F57" s="493" t="s">
        <v>498</v>
      </c>
      <c r="G57" s="493">
        <v>251</v>
      </c>
      <c r="H57" s="507">
        <f>'1461'!H57</f>
        <v>1047</v>
      </c>
      <c r="I57" s="101">
        <f>ROUND(E57*H57,2)</f>
        <v>17181.27</v>
      </c>
      <c r="N57" s="849" t="s">
        <v>506</v>
      </c>
      <c r="O57" s="849"/>
      <c r="P57" s="851"/>
      <c r="Q57" s="851"/>
      <c r="R57" s="499" t="s">
        <v>498</v>
      </c>
      <c r="S57" s="499">
        <v>251</v>
      </c>
      <c r="T57" s="510">
        <f>H57</f>
        <v>1047</v>
      </c>
      <c r="U57" s="524">
        <f>ROUND(P57*T57,2)</f>
        <v>0</v>
      </c>
      <c r="V57" s="474"/>
    </row>
    <row r="58" spans="1:22" x14ac:dyDescent="0.3">
      <c r="A58" s="792"/>
      <c r="B58" s="792"/>
      <c r="C58" s="143">
        <v>0.5</v>
      </c>
      <c r="D58" s="143">
        <v>0.59</v>
      </c>
      <c r="E58" s="116">
        <f t="shared" si="10"/>
        <v>1.0899999999999999</v>
      </c>
      <c r="F58" s="493" t="s">
        <v>498</v>
      </c>
      <c r="G58" s="493">
        <v>252</v>
      </c>
      <c r="H58" s="507">
        <f>'1461'!H58</f>
        <v>3380</v>
      </c>
      <c r="I58" s="101">
        <f t="shared" ref="I58:I65" si="11">ROUND(E58*H58,2)</f>
        <v>3684.2</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16.52</v>
      </c>
      <c r="D60" s="143">
        <v>17.95</v>
      </c>
      <c r="E60" s="116">
        <f t="shared" si="10"/>
        <v>34.47</v>
      </c>
      <c r="F60" s="494" t="s">
        <v>13</v>
      </c>
      <c r="G60" s="493">
        <v>251</v>
      </c>
      <c r="H60" s="507">
        <f>'1461'!H60</f>
        <v>1173</v>
      </c>
      <c r="I60" s="101">
        <f t="shared" si="11"/>
        <v>40433.31</v>
      </c>
      <c r="N60" s="850"/>
      <c r="O60" s="850"/>
      <c r="P60" s="844"/>
      <c r="Q60" s="844"/>
      <c r="R60" s="40" t="s">
        <v>13</v>
      </c>
      <c r="S60" s="499">
        <v>251</v>
      </c>
      <c r="T60" s="510">
        <f t="shared" si="12"/>
        <v>1173</v>
      </c>
      <c r="U60" s="524">
        <f t="shared" si="13"/>
        <v>0</v>
      </c>
      <c r="V60" s="474"/>
    </row>
    <row r="61" spans="1:22" x14ac:dyDescent="0.3">
      <c r="A61" s="792"/>
      <c r="B61" s="792"/>
      <c r="C61" s="143">
        <v>1</v>
      </c>
      <c r="D61" s="143">
        <v>1.0900000000000001</v>
      </c>
      <c r="E61" s="116">
        <f t="shared" si="10"/>
        <v>2.09</v>
      </c>
      <c r="F61" s="494" t="s">
        <v>13</v>
      </c>
      <c r="G61" s="493">
        <v>252</v>
      </c>
      <c r="H61" s="507">
        <f>'1461'!H61</f>
        <v>3506</v>
      </c>
      <c r="I61" s="101">
        <f t="shared" si="11"/>
        <v>7327.54</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25.52</v>
      </c>
      <c r="D66" s="97">
        <f>SUM(D57:D65)</f>
        <v>28.54</v>
      </c>
      <c r="E66" s="97">
        <f>SUM(E57:E65)</f>
        <v>54.06</v>
      </c>
      <c r="F66" s="779" t="s">
        <v>507</v>
      </c>
      <c r="G66" s="779"/>
      <c r="H66" s="779"/>
      <c r="I66" s="97">
        <f>SUM(I57:I65)</f>
        <v>68626.319999999992</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512.9</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2.4399999999999999E-3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553.30730000000005</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2.333E-3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512.9</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2.764E-3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512.9</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2.444E-3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512.9</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2.7690000000000002E-3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2.444E-3</v>
      </c>
      <c r="I85" s="101">
        <f>ROUND(F85*H85,2)</f>
        <v>112793.24</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2.4399999999999999E-3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2.7690000000000002E-3</v>
      </c>
      <c r="I90" s="101">
        <f>ROUND(F90*H90,2)</f>
        <v>52872.23</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2.764E-3</v>
      </c>
      <c r="I92" s="101">
        <f t="shared" ref="I92:I96" si="14">ROUND(F92*H92,2)</f>
        <v>31680.77</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2.333E-3</v>
      </c>
      <c r="I94" s="101">
        <f t="shared" si="14"/>
        <v>596680.65</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2.333E-3</v>
      </c>
      <c r="I96" s="101">
        <f t="shared" si="14"/>
        <v>-38973.620000000003</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2.4399999999999999E-3</v>
      </c>
      <c r="I98" s="101">
        <f t="shared" ref="I98" si="16">ROUND(F98*H98,2)</f>
        <v>497.42</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284.64150000000001</v>
      </c>
      <c r="D104" s="774"/>
      <c r="E104" s="46">
        <f>H8</f>
        <v>1.0407999999999999</v>
      </c>
      <c r="F104" s="302">
        <f>'1461'!F104</f>
        <v>950.92</v>
      </c>
      <c r="G104" s="39" t="s">
        <v>12</v>
      </c>
      <c r="H104" s="101">
        <f>ROUND(C104*E104*F104,2)</f>
        <v>281714.68</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268.66579999999999</v>
      </c>
      <c r="D105" s="774"/>
      <c r="E105" s="46">
        <f>H8</f>
        <v>1.0407999999999999</v>
      </c>
      <c r="F105" s="302">
        <f>'1461'!F105</f>
        <v>907.92</v>
      </c>
      <c r="G105" s="39" t="s">
        <v>12</v>
      </c>
      <c r="H105" s="101">
        <f>ROUND(C105*E105*F105,2)</f>
        <v>253879.28</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553.30729999999994</v>
      </c>
      <c r="D107" s="787"/>
      <c r="E107" s="123"/>
      <c r="F107" s="123"/>
      <c r="G107" s="123"/>
      <c r="H107" s="124" t="s">
        <v>100</v>
      </c>
      <c r="I107" s="101">
        <f>IF(A1=75,0,H106+H105+H104)</f>
        <v>535593.96</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17</v>
      </c>
      <c r="D113" s="143">
        <v>18</v>
      </c>
      <c r="E113" s="116">
        <f>(C113+D113)/2</f>
        <v>17.5</v>
      </c>
      <c r="F113" s="126" t="s">
        <v>30</v>
      </c>
      <c r="G113" s="303">
        <f>'1461'!G113</f>
        <v>584</v>
      </c>
      <c r="I113" s="101">
        <f>ROUND(G113*E113,2)</f>
        <v>10220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4440007.67</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4231345.97</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4231345.97</v>
      </c>
      <c r="I135" s="94">
        <f>ROUND(IF(E30=0,0,IF(E30&gt;250,-(((250/E30)*H135)*IF(G135="H",0.02,0.05)),IF(G135="H",-0.02*H135,-0.05*H135))),2)</f>
        <v>-103123.07</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4336884.5999999996</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Payments'!Q86</f>
        <v>-4367554.4399999995</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-30669.839999999851</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-30669.84</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108444.23</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F13:G13"/>
    <mergeCell ref="N13:O13"/>
    <mergeCell ref="P13:Q13"/>
    <mergeCell ref="R13:S13"/>
    <mergeCell ref="A14:B14"/>
    <mergeCell ref="F14:G14"/>
    <mergeCell ref="N14:O14"/>
    <mergeCell ref="P14:Q14"/>
    <mergeCell ref="R14:S14"/>
    <mergeCell ref="A13:B13"/>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2.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119</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61</v>
      </c>
      <c r="D16" s="143">
        <v>61.61</v>
      </c>
      <c r="E16" s="116">
        <f t="shared" si="1"/>
        <v>122.61</v>
      </c>
      <c r="F16" s="859">
        <f>'1461'!F16:G16</f>
        <v>1</v>
      </c>
      <c r="G16" s="859"/>
      <c r="H16" s="80">
        <f t="shared" si="2"/>
        <v>122.61</v>
      </c>
      <c r="I16" s="101">
        <f t="shared" si="3"/>
        <v>680299.62</v>
      </c>
      <c r="N16" s="818" t="s">
        <v>22</v>
      </c>
      <c r="O16" s="818"/>
      <c r="P16" s="860">
        <f t="shared" si="0"/>
        <v>0</v>
      </c>
      <c r="Q16" s="860"/>
      <c r="R16" s="864">
        <v>1</v>
      </c>
      <c r="S16" s="864"/>
      <c r="T16" s="95">
        <f t="shared" si="4"/>
        <v>0</v>
      </c>
      <c r="U16" s="523">
        <f t="shared" si="5"/>
        <v>0</v>
      </c>
    </row>
    <row r="17" spans="1:21" x14ac:dyDescent="0.3">
      <c r="A17" s="776" t="s">
        <v>23</v>
      </c>
      <c r="B17" s="776"/>
      <c r="C17" s="143">
        <v>8</v>
      </c>
      <c r="D17" s="143">
        <v>8.15</v>
      </c>
      <c r="E17" s="116">
        <f t="shared" si="1"/>
        <v>16.149999999999999</v>
      </c>
      <c r="F17" s="859">
        <f>'1461'!F17:G17</f>
        <v>1</v>
      </c>
      <c r="G17" s="859"/>
      <c r="H17" s="80">
        <f t="shared" si="2"/>
        <v>16.149999999999999</v>
      </c>
      <c r="I17" s="101">
        <f t="shared" si="3"/>
        <v>89608.02</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210.62</v>
      </c>
      <c r="D18" s="143">
        <v>202.05</v>
      </c>
      <c r="E18" s="116">
        <f t="shared" si="1"/>
        <v>412.67</v>
      </c>
      <c r="F18" s="859">
        <f>'1461'!F18:G18</f>
        <v>0.97799999999999998</v>
      </c>
      <c r="G18" s="859"/>
      <c r="H18" s="80">
        <f t="shared" si="2"/>
        <v>403.59129999999999</v>
      </c>
      <c r="I18" s="101">
        <f t="shared" si="3"/>
        <v>2239319.86</v>
      </c>
      <c r="N18" s="818" t="s">
        <v>24</v>
      </c>
      <c r="O18" s="818"/>
      <c r="P18" s="860">
        <f t="shared" si="0"/>
        <v>0</v>
      </c>
      <c r="Q18" s="860"/>
      <c r="R18" s="864">
        <v>1</v>
      </c>
      <c r="S18" s="864"/>
      <c r="T18" s="95">
        <f t="shared" si="4"/>
        <v>0</v>
      </c>
      <c r="U18" s="523">
        <f t="shared" si="5"/>
        <v>0</v>
      </c>
    </row>
    <row r="19" spans="1:21" x14ac:dyDescent="0.3">
      <c r="A19" s="776" t="s">
        <v>25</v>
      </c>
      <c r="B19" s="776"/>
      <c r="C19" s="143">
        <v>37.39</v>
      </c>
      <c r="D19" s="143">
        <v>35.08</v>
      </c>
      <c r="E19" s="116">
        <f t="shared" si="1"/>
        <v>72.47</v>
      </c>
      <c r="F19" s="859">
        <f>'1461'!F19:G19</f>
        <v>0.97799999999999998</v>
      </c>
      <c r="G19" s="859"/>
      <c r="H19" s="80">
        <f t="shared" si="2"/>
        <v>70.875699999999995</v>
      </c>
      <c r="I19" s="101">
        <f t="shared" si="3"/>
        <v>393252.69</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4.78</v>
      </c>
      <c r="D27" s="143">
        <v>5</v>
      </c>
      <c r="E27" s="116">
        <f t="shared" si="1"/>
        <v>9.7800000000000011</v>
      </c>
      <c r="F27" s="859">
        <f>'1461'!F27:G27</f>
        <v>1.1919999999999999</v>
      </c>
      <c r="G27" s="859"/>
      <c r="H27" s="80">
        <f t="shared" si="2"/>
        <v>11.6578</v>
      </c>
      <c r="I27" s="101">
        <f t="shared" si="3"/>
        <v>64683.12</v>
      </c>
      <c r="N27" s="818" t="s">
        <v>86</v>
      </c>
      <c r="O27" s="818"/>
      <c r="P27" s="860">
        <f t="shared" si="0"/>
        <v>0</v>
      </c>
      <c r="Q27" s="860"/>
      <c r="R27" s="864">
        <v>1</v>
      </c>
      <c r="S27" s="864"/>
      <c r="T27" s="95">
        <f t="shared" si="4"/>
        <v>0</v>
      </c>
      <c r="U27" s="523">
        <f t="shared" si="5"/>
        <v>0</v>
      </c>
    </row>
    <row r="28" spans="1:21" x14ac:dyDescent="0.3">
      <c r="A28" s="776" t="s">
        <v>87</v>
      </c>
      <c r="B28" s="776"/>
      <c r="C28" s="143">
        <v>9.25</v>
      </c>
      <c r="D28" s="143">
        <v>9.69</v>
      </c>
      <c r="E28" s="116">
        <f t="shared" si="1"/>
        <v>18.939999999999998</v>
      </c>
      <c r="F28" s="859">
        <f>'1461'!F28:G28</f>
        <v>1.1919999999999999</v>
      </c>
      <c r="G28" s="859"/>
      <c r="H28" s="80">
        <f t="shared" si="2"/>
        <v>22.576499999999999</v>
      </c>
      <c r="I28" s="101">
        <f t="shared" si="3"/>
        <v>125265.35</v>
      </c>
      <c r="N28" s="818" t="s">
        <v>87</v>
      </c>
      <c r="O28" s="818"/>
      <c r="P28" s="860">
        <f t="shared" si="0"/>
        <v>0</v>
      </c>
      <c r="Q28" s="860"/>
      <c r="R28" s="864">
        <v>1</v>
      </c>
      <c r="S28" s="864"/>
      <c r="T28" s="95">
        <f t="shared" si="4"/>
        <v>0</v>
      </c>
      <c r="U28" s="523">
        <f t="shared" si="5"/>
        <v>0</v>
      </c>
    </row>
    <row r="29" spans="1:21" x14ac:dyDescent="0.3">
      <c r="A29" s="776" t="s">
        <v>88</v>
      </c>
      <c r="B29" s="776"/>
      <c r="C29" s="110">
        <v>22.77</v>
      </c>
      <c r="D29" s="110">
        <v>21.67</v>
      </c>
      <c r="E29" s="116">
        <f t="shared" si="1"/>
        <v>44.44</v>
      </c>
      <c r="F29" s="859">
        <f>'1461'!F29:G29</f>
        <v>1.079</v>
      </c>
      <c r="G29" s="859"/>
      <c r="H29" s="93">
        <f t="shared" si="2"/>
        <v>47.950800000000001</v>
      </c>
      <c r="I29" s="94">
        <f t="shared" si="3"/>
        <v>266054.25</v>
      </c>
      <c r="N29" s="819" t="s">
        <v>88</v>
      </c>
      <c r="O29" s="819"/>
      <c r="P29" s="860">
        <f t="shared" si="0"/>
        <v>0</v>
      </c>
      <c r="Q29" s="860"/>
      <c r="R29" s="861">
        <v>1</v>
      </c>
      <c r="S29" s="861"/>
      <c r="T29" s="95">
        <f t="shared" si="4"/>
        <v>0</v>
      </c>
      <c r="U29" s="523">
        <f t="shared" si="5"/>
        <v>0</v>
      </c>
    </row>
    <row r="30" spans="1:21" x14ac:dyDescent="0.3">
      <c r="A30" s="779" t="s">
        <v>5</v>
      </c>
      <c r="B30" s="779"/>
      <c r="C30" s="94">
        <f>SUM(C14:C29)</f>
        <v>353.80999999999995</v>
      </c>
      <c r="D30" s="94">
        <f>SUM(D14:D29)</f>
        <v>343.25</v>
      </c>
      <c r="E30" s="97">
        <f>SUM(E14:E29)</f>
        <v>697.06000000000017</v>
      </c>
      <c r="F30" s="795"/>
      <c r="G30" s="795"/>
      <c r="H30" s="99">
        <f>SUM(H14:H29)</f>
        <v>695.41210000000001</v>
      </c>
      <c r="I30" s="94">
        <f>SUM(I14:I29)</f>
        <v>3858482.91</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695.41210000000001</v>
      </c>
      <c r="F46" s="34"/>
      <c r="G46" s="106"/>
      <c r="H46" s="107" t="s">
        <v>98</v>
      </c>
      <c r="I46" s="94">
        <f>SUM(I44,I30)</f>
        <v>3858482.91</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3716552.68</v>
      </c>
      <c r="G51" s="109" t="s">
        <v>6</v>
      </c>
      <c r="H51" s="452">
        <v>5.5899999999999998E-2</v>
      </c>
      <c r="I51" s="101">
        <f>ROUND(F51*H51,2)</f>
        <v>207755.29</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3716552.68</v>
      </c>
      <c r="G52" s="109" t="s">
        <v>6</v>
      </c>
      <c r="H52" s="452">
        <v>1.0699999999999999E-2</v>
      </c>
      <c r="I52" s="101">
        <f>ROUND(F52*H52,2)</f>
        <v>39767.11</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247522.40000000002</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7.5</v>
      </c>
      <c r="D60" s="143">
        <v>7.64</v>
      </c>
      <c r="E60" s="116">
        <f t="shared" si="10"/>
        <v>15.14</v>
      </c>
      <c r="F60" s="494" t="s">
        <v>13</v>
      </c>
      <c r="G60" s="493">
        <v>251</v>
      </c>
      <c r="H60" s="507">
        <f>'1461'!H60</f>
        <v>1173</v>
      </c>
      <c r="I60" s="101">
        <f t="shared" si="11"/>
        <v>17759.22</v>
      </c>
      <c r="N60" s="850"/>
      <c r="O60" s="850"/>
      <c r="P60" s="844"/>
      <c r="Q60" s="844"/>
      <c r="R60" s="40" t="s">
        <v>13</v>
      </c>
      <c r="S60" s="499">
        <v>251</v>
      </c>
      <c r="T60" s="510">
        <f t="shared" si="12"/>
        <v>1173</v>
      </c>
      <c r="U60" s="524">
        <f t="shared" si="13"/>
        <v>0</v>
      </c>
      <c r="V60" s="474"/>
    </row>
    <row r="61" spans="1:22" x14ac:dyDescent="0.3">
      <c r="A61" s="792"/>
      <c r="B61" s="792"/>
      <c r="C61" s="143">
        <v>0.5</v>
      </c>
      <c r="D61" s="143">
        <v>0.51</v>
      </c>
      <c r="E61" s="116">
        <f t="shared" si="10"/>
        <v>1.01</v>
      </c>
      <c r="F61" s="494" t="s">
        <v>13</v>
      </c>
      <c r="G61" s="493">
        <v>252</v>
      </c>
      <c r="H61" s="507">
        <f>'1461'!H61</f>
        <v>3506</v>
      </c>
      <c r="I61" s="101">
        <f t="shared" si="11"/>
        <v>3541.06</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36.39</v>
      </c>
      <c r="D63" s="143">
        <v>34.14</v>
      </c>
      <c r="E63" s="116">
        <f t="shared" si="10"/>
        <v>70.53</v>
      </c>
      <c r="F63" s="494" t="s">
        <v>14</v>
      </c>
      <c r="G63" s="493">
        <v>251</v>
      </c>
      <c r="H63" s="507">
        <f>'1461'!H63</f>
        <v>835</v>
      </c>
      <c r="I63" s="101">
        <f t="shared" si="11"/>
        <v>58892.55</v>
      </c>
      <c r="N63" s="850"/>
      <c r="O63" s="850"/>
      <c r="P63" s="844"/>
      <c r="Q63" s="844"/>
      <c r="R63" s="40" t="s">
        <v>14</v>
      </c>
      <c r="S63" s="499">
        <v>251</v>
      </c>
      <c r="T63" s="510">
        <f t="shared" si="12"/>
        <v>835</v>
      </c>
      <c r="U63" s="524">
        <f t="shared" si="13"/>
        <v>0</v>
      </c>
      <c r="V63" s="474"/>
    </row>
    <row r="64" spans="1:22" x14ac:dyDescent="0.3">
      <c r="A64" s="792"/>
      <c r="B64" s="792"/>
      <c r="C64" s="143">
        <v>1</v>
      </c>
      <c r="D64" s="143">
        <v>0.94</v>
      </c>
      <c r="E64" s="116">
        <f t="shared" si="10"/>
        <v>1.94</v>
      </c>
      <c r="F64" s="494" t="s">
        <v>14</v>
      </c>
      <c r="G64" s="493">
        <v>252</v>
      </c>
      <c r="H64" s="507">
        <f>'1461'!H64</f>
        <v>3168</v>
      </c>
      <c r="I64" s="101">
        <f t="shared" si="11"/>
        <v>6145.92</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45.39</v>
      </c>
      <c r="D66" s="97">
        <f>SUM(D57:D65)</f>
        <v>43.23</v>
      </c>
      <c r="E66" s="97">
        <f>SUM(E57:E65)</f>
        <v>88.62</v>
      </c>
      <c r="F66" s="779" t="s">
        <v>507</v>
      </c>
      <c r="G66" s="779"/>
      <c r="H66" s="779"/>
      <c r="I66" s="97">
        <f>SUM(I57:I65)</f>
        <v>86338.75</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697.06000000000017</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3.3170000000000001E-3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695.41210000000001</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2.9320000000000001E-3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697.06000000000017</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3.7559999999999998E-3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697.06000000000017</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3.3219999999999999E-3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697.06000000000017</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3.7629999999999999E-3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3.3219999999999999E-3</v>
      </c>
      <c r="I85" s="101">
        <f>ROUND(F85*H85,2)</f>
        <v>153313.88</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3.3170000000000001E-3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3.7629999999999999E-3</v>
      </c>
      <c r="I90" s="101">
        <f>ROUND(F90*H90,2)</f>
        <v>71852</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3.7559999999999998E-3</v>
      </c>
      <c r="I92" s="101">
        <f t="shared" ref="I92:I96" si="14">ROUND(F92*H92,2)</f>
        <v>43051</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2.9320000000000001E-3</v>
      </c>
      <c r="I94" s="101">
        <f t="shared" si="14"/>
        <v>749878.98</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2.9320000000000001E-3</v>
      </c>
      <c r="I96" s="101">
        <f t="shared" si="14"/>
        <v>-48980.13</v>
      </c>
      <c r="N96" s="817" t="s">
        <v>483</v>
      </c>
      <c r="O96" s="818"/>
      <c r="P96" s="818"/>
      <c r="Q96" s="44"/>
      <c r="R96" s="469">
        <f t="shared" si="15"/>
        <v>-16705366</v>
      </c>
      <c r="S96" s="38" t="s">
        <v>6</v>
      </c>
      <c r="T96" s="471">
        <f>T73</f>
        <v>0</v>
      </c>
      <c r="U96" s="523">
        <f>ROUND(R96*T96,2)</f>
        <v>0</v>
      </c>
    </row>
    <row r="97" spans="1:21" x14ac:dyDescent="0.3">
      <c r="A97" s="582"/>
      <c r="B97" s="581"/>
      <c r="C97" s="581"/>
      <c r="D97" s="581"/>
      <c r="E97" s="579"/>
      <c r="F97" s="117"/>
      <c r="G97" s="580"/>
      <c r="H97" s="472"/>
      <c r="I97" s="101"/>
      <c r="N97" s="585"/>
      <c r="O97" s="584"/>
      <c r="P97" s="584"/>
      <c r="Q97" s="44"/>
      <c r="R97" s="587"/>
      <c r="S97" s="586"/>
      <c r="T97" s="471"/>
      <c r="U97" s="527"/>
    </row>
    <row r="98" spans="1:21" x14ac:dyDescent="0.3">
      <c r="A98" s="582" t="s">
        <v>556</v>
      </c>
      <c r="B98" s="581"/>
      <c r="C98" s="581"/>
      <c r="D98" s="581"/>
      <c r="E98" s="579" t="s">
        <v>3</v>
      </c>
      <c r="F98" s="301">
        <f>'1461'!F98</f>
        <v>203862</v>
      </c>
      <c r="G98" s="580" t="s">
        <v>6</v>
      </c>
      <c r="H98" s="472">
        <f>H70</f>
        <v>3.3170000000000001E-3</v>
      </c>
      <c r="I98" s="101">
        <f t="shared" ref="I98" si="16">ROUND(F98*H98,2)</f>
        <v>676.21</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484</v>
      </c>
      <c r="N101" s="458" t="s">
        <v>484</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150.4178</v>
      </c>
      <c r="D105" s="774"/>
      <c r="E105" s="46">
        <f>H8</f>
        <v>1.0407999999999999</v>
      </c>
      <c r="F105" s="302">
        <f>'1461'!F105</f>
        <v>907.92</v>
      </c>
      <c r="G105" s="39" t="s">
        <v>12</v>
      </c>
      <c r="H105" s="101">
        <f>ROUND(C105*E105*F105,2)</f>
        <v>142139.28</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544.99429999999995</v>
      </c>
      <c r="D106" s="774"/>
      <c r="E106" s="46">
        <f>H8</f>
        <v>1.0407999999999999</v>
      </c>
      <c r="F106" s="302">
        <f>'1461'!F106</f>
        <v>910.12</v>
      </c>
      <c r="G106" s="39" t="s">
        <v>12</v>
      </c>
      <c r="H106" s="94">
        <f>ROUND(C106*E106*F106,2)</f>
        <v>516247.43</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695.41210000000001</v>
      </c>
      <c r="D107" s="787"/>
      <c r="E107" s="123"/>
      <c r="F107" s="123"/>
      <c r="G107" s="123"/>
      <c r="H107" s="124" t="s">
        <v>100</v>
      </c>
      <c r="I107" s="101">
        <f>IF(A1=75,0,H106+H105+H104)</f>
        <v>658386.71</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81" t="s">
        <v>489</v>
      </c>
      <c r="C110" s="43"/>
      <c r="D110" s="69"/>
      <c r="E110" s="43" t="s">
        <v>32</v>
      </c>
      <c r="F110" s="813"/>
      <c r="G110" s="813"/>
      <c r="H110" s="813"/>
      <c r="I110" s="813"/>
      <c r="N110" s="817" t="s">
        <v>489</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239</v>
      </c>
      <c r="D113" s="143">
        <v>266</v>
      </c>
      <c r="E113" s="116">
        <f>(C113+D113)/2</f>
        <v>252.5</v>
      </c>
      <c r="F113" s="126" t="s">
        <v>30</v>
      </c>
      <c r="G113" s="303">
        <f>'1461'!G113</f>
        <v>584</v>
      </c>
      <c r="I113" s="101">
        <f>ROUND(G113*E113,2)</f>
        <v>147460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564</v>
      </c>
      <c r="B126" s="776"/>
      <c r="C126" s="776"/>
      <c r="D126" s="69"/>
      <c r="E126" s="68" t="s">
        <v>34</v>
      </c>
      <c r="F126" s="778"/>
      <c r="G126" s="778"/>
      <c r="H126" s="778"/>
      <c r="I126" s="154">
        <v>0</v>
      </c>
      <c r="N126" s="817" t="s">
        <v>564</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5720460.3099999996</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5472937.9099999992</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5472937.9099999992</v>
      </c>
      <c r="I135" s="94">
        <f>ROUND(IF(E30=0,0,IF(E30&gt;250,-(((250/E30)*H135)*IF(G135="H",0.02,0.05)),IF(G135="H",-0.02*H135,-0.05*H135))),2)</f>
        <v>-39257.29</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5681203.0199999996</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Payments'!Q87</f>
        <v>-5776245.8300000001</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-95042.810000000522</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-95042.81</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70201.47</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F13:G13"/>
    <mergeCell ref="N13:O13"/>
    <mergeCell ref="P13:Q13"/>
    <mergeCell ref="R13:S13"/>
    <mergeCell ref="A14:B14"/>
    <mergeCell ref="F14:G14"/>
    <mergeCell ref="N14:O14"/>
    <mergeCell ref="P14:Q14"/>
    <mergeCell ref="R14:S14"/>
    <mergeCell ref="A13:B13"/>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120</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7.96</v>
      </c>
      <c r="D16" s="143">
        <v>7.99</v>
      </c>
      <c r="E16" s="116">
        <f t="shared" si="1"/>
        <v>15.95</v>
      </c>
      <c r="F16" s="859">
        <f>'1461'!F16:G16</f>
        <v>1</v>
      </c>
      <c r="G16" s="859"/>
      <c r="H16" s="80">
        <f t="shared" si="2"/>
        <v>15.95</v>
      </c>
      <c r="I16" s="101">
        <f t="shared" si="3"/>
        <v>88498.32</v>
      </c>
      <c r="N16" s="818" t="s">
        <v>22</v>
      </c>
      <c r="O16" s="818"/>
      <c r="P16" s="860">
        <f t="shared" si="0"/>
        <v>0</v>
      </c>
      <c r="Q16" s="860"/>
      <c r="R16" s="864">
        <v>1</v>
      </c>
      <c r="S16" s="864"/>
      <c r="T16" s="95">
        <f t="shared" si="4"/>
        <v>0</v>
      </c>
      <c r="U16" s="523">
        <f t="shared" si="5"/>
        <v>0</v>
      </c>
    </row>
    <row r="17" spans="1:21" x14ac:dyDescent="0.3">
      <c r="A17" s="776" t="s">
        <v>23</v>
      </c>
      <c r="B17" s="776"/>
      <c r="C17" s="143">
        <v>1</v>
      </c>
      <c r="D17" s="143">
        <v>1</v>
      </c>
      <c r="E17" s="116">
        <f t="shared" si="1"/>
        <v>2</v>
      </c>
      <c r="F17" s="859">
        <f>'1461'!F17:G17</f>
        <v>1</v>
      </c>
      <c r="G17" s="859"/>
      <c r="H17" s="80">
        <f t="shared" si="2"/>
        <v>2</v>
      </c>
      <c r="I17" s="101">
        <f t="shared" si="3"/>
        <v>11096.97</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36.46</v>
      </c>
      <c r="D18" s="143">
        <v>35.090000000000003</v>
      </c>
      <c r="E18" s="116">
        <f t="shared" si="1"/>
        <v>71.550000000000011</v>
      </c>
      <c r="F18" s="859">
        <f>'1461'!F18:G18</f>
        <v>0.97799999999999998</v>
      </c>
      <c r="G18" s="859"/>
      <c r="H18" s="80">
        <f t="shared" si="2"/>
        <v>69.975899999999996</v>
      </c>
      <c r="I18" s="101">
        <f t="shared" si="3"/>
        <v>388260.16</v>
      </c>
      <c r="N18" s="818" t="s">
        <v>24</v>
      </c>
      <c r="O18" s="818"/>
      <c r="P18" s="860">
        <f t="shared" si="0"/>
        <v>0</v>
      </c>
      <c r="Q18" s="860"/>
      <c r="R18" s="864">
        <v>1</v>
      </c>
      <c r="S18" s="864"/>
      <c r="T18" s="95">
        <f t="shared" si="4"/>
        <v>0</v>
      </c>
      <c r="U18" s="523">
        <f t="shared" si="5"/>
        <v>0</v>
      </c>
    </row>
    <row r="19" spans="1:21" x14ac:dyDescent="0.3">
      <c r="A19" s="776" t="s">
        <v>25</v>
      </c>
      <c r="B19" s="776"/>
      <c r="C19" s="143">
        <v>9.52</v>
      </c>
      <c r="D19" s="143">
        <v>10.06</v>
      </c>
      <c r="E19" s="116">
        <f t="shared" si="1"/>
        <v>19.579999999999998</v>
      </c>
      <c r="F19" s="859">
        <f>'1461'!F19:G19</f>
        <v>0.97799999999999998</v>
      </c>
      <c r="G19" s="859"/>
      <c r="H19" s="80">
        <f t="shared" si="2"/>
        <v>19.1492</v>
      </c>
      <c r="I19" s="101">
        <f t="shared" si="3"/>
        <v>106249.03</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0.83</v>
      </c>
      <c r="D28" s="143">
        <v>0.83</v>
      </c>
      <c r="E28" s="116">
        <f t="shared" si="1"/>
        <v>1.66</v>
      </c>
      <c r="F28" s="859">
        <f>'1461'!F28:G28</f>
        <v>1.1919999999999999</v>
      </c>
      <c r="G28" s="859"/>
      <c r="H28" s="80">
        <f t="shared" si="2"/>
        <v>1.9786999999999999</v>
      </c>
      <c r="I28" s="101">
        <f t="shared" si="3"/>
        <v>10978.79</v>
      </c>
      <c r="N28" s="818" t="s">
        <v>87</v>
      </c>
      <c r="O28" s="818"/>
      <c r="P28" s="860">
        <f t="shared" si="0"/>
        <v>0</v>
      </c>
      <c r="Q28" s="860"/>
      <c r="R28" s="864">
        <v>1</v>
      </c>
      <c r="S28" s="864"/>
      <c r="T28" s="95">
        <f t="shared" si="4"/>
        <v>0</v>
      </c>
      <c r="U28" s="523">
        <f t="shared" si="5"/>
        <v>0</v>
      </c>
    </row>
    <row r="29" spans="1:21" x14ac:dyDescent="0.3">
      <c r="A29" s="776" t="s">
        <v>88</v>
      </c>
      <c r="B29" s="776"/>
      <c r="C29" s="110">
        <v>0.98</v>
      </c>
      <c r="D29" s="110">
        <v>2.93</v>
      </c>
      <c r="E29" s="116">
        <f t="shared" si="1"/>
        <v>3.91</v>
      </c>
      <c r="F29" s="859">
        <f>'1461'!F29:G29</f>
        <v>1.079</v>
      </c>
      <c r="G29" s="859"/>
      <c r="H29" s="93">
        <f t="shared" si="2"/>
        <v>4.2188999999999997</v>
      </c>
      <c r="I29" s="94">
        <f t="shared" si="3"/>
        <v>23408.5</v>
      </c>
      <c r="N29" s="819" t="s">
        <v>88</v>
      </c>
      <c r="O29" s="819"/>
      <c r="P29" s="860">
        <f t="shared" si="0"/>
        <v>0</v>
      </c>
      <c r="Q29" s="860"/>
      <c r="R29" s="861">
        <v>1</v>
      </c>
      <c r="S29" s="861"/>
      <c r="T29" s="95">
        <f t="shared" si="4"/>
        <v>0</v>
      </c>
      <c r="U29" s="523">
        <f t="shared" si="5"/>
        <v>0</v>
      </c>
    </row>
    <row r="30" spans="1:21" x14ac:dyDescent="0.3">
      <c r="A30" s="779" t="s">
        <v>5</v>
      </c>
      <c r="B30" s="779"/>
      <c r="C30" s="94">
        <f>SUM(C14:C29)</f>
        <v>56.749999999999993</v>
      </c>
      <c r="D30" s="94">
        <f>SUM(D14:D29)</f>
        <v>57.900000000000006</v>
      </c>
      <c r="E30" s="97">
        <f>SUM(E14:E29)</f>
        <v>114.65</v>
      </c>
      <c r="F30" s="795"/>
      <c r="G30" s="795"/>
      <c r="H30" s="99">
        <f>SUM(H14:H29)</f>
        <v>113.2727</v>
      </c>
      <c r="I30" s="94">
        <f>SUM(I14:I29)</f>
        <v>628491.77</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113.2727</v>
      </c>
      <c r="F46" s="34"/>
      <c r="G46" s="106"/>
      <c r="H46" s="107" t="s">
        <v>98</v>
      </c>
      <c r="I46" s="94">
        <f>SUM(I44,I30)</f>
        <v>628491.77</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669861.27</v>
      </c>
      <c r="G51" s="109" t="s">
        <v>6</v>
      </c>
      <c r="H51" s="452">
        <v>5.5899999999999998E-2</v>
      </c>
      <c r="I51" s="101">
        <f>ROUND(F51*H51,2)</f>
        <v>37445.24</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669861.27</v>
      </c>
      <c r="G52" s="109" t="s">
        <v>6</v>
      </c>
      <c r="H52" s="452">
        <v>1.0699999999999999E-2</v>
      </c>
      <c r="I52" s="101">
        <f>ROUND(F52*H52,2)</f>
        <v>7167.52</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44612.759999999995</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1</v>
      </c>
      <c r="D60" s="143">
        <v>1</v>
      </c>
      <c r="E60" s="116">
        <f t="shared" si="10"/>
        <v>2</v>
      </c>
      <c r="F60" s="494" t="s">
        <v>13</v>
      </c>
      <c r="G60" s="493">
        <v>251</v>
      </c>
      <c r="H60" s="507">
        <f>'1461'!H60</f>
        <v>1173</v>
      </c>
      <c r="I60" s="101">
        <f t="shared" si="11"/>
        <v>2346</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9.0299999999999994</v>
      </c>
      <c r="D63" s="143">
        <v>9.5399999999999991</v>
      </c>
      <c r="E63" s="116">
        <f t="shared" si="10"/>
        <v>18.57</v>
      </c>
      <c r="F63" s="494" t="s">
        <v>14</v>
      </c>
      <c r="G63" s="493">
        <v>251</v>
      </c>
      <c r="H63" s="507">
        <f>'1461'!H63</f>
        <v>835</v>
      </c>
      <c r="I63" s="101">
        <f t="shared" si="11"/>
        <v>15505.95</v>
      </c>
      <c r="N63" s="850"/>
      <c r="O63" s="850"/>
      <c r="P63" s="844"/>
      <c r="Q63" s="844"/>
      <c r="R63" s="40" t="s">
        <v>14</v>
      </c>
      <c r="S63" s="499">
        <v>251</v>
      </c>
      <c r="T63" s="510">
        <f t="shared" si="12"/>
        <v>835</v>
      </c>
      <c r="U63" s="524">
        <f t="shared" si="13"/>
        <v>0</v>
      </c>
      <c r="V63" s="474"/>
    </row>
    <row r="64" spans="1:22" x14ac:dyDescent="0.3">
      <c r="A64" s="792"/>
      <c r="B64" s="792"/>
      <c r="C64" s="143">
        <v>0.49</v>
      </c>
      <c r="D64" s="143">
        <v>0.52</v>
      </c>
      <c r="E64" s="116">
        <f t="shared" si="10"/>
        <v>1.01</v>
      </c>
      <c r="F64" s="494" t="s">
        <v>14</v>
      </c>
      <c r="G64" s="493">
        <v>252</v>
      </c>
      <c r="H64" s="507">
        <f>'1461'!H64</f>
        <v>3168</v>
      </c>
      <c r="I64" s="101">
        <f t="shared" si="11"/>
        <v>3199.68</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10.52</v>
      </c>
      <c r="D66" s="97">
        <f>SUM(D57:D65)</f>
        <v>11.059999999999999</v>
      </c>
      <c r="E66" s="97">
        <f>SUM(E57:E65)</f>
        <v>21.580000000000002</v>
      </c>
      <c r="F66" s="779" t="s">
        <v>507</v>
      </c>
      <c r="G66" s="779"/>
      <c r="H66" s="779"/>
      <c r="I66" s="97">
        <f>SUM(I57:I65)</f>
        <v>21051.63</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114.65</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5.4600000000000004E-4</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113.2727</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4.7800000000000002E-4</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114.65</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6.1799999999999995E-4</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114.65</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5.4600000000000004E-4</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114.65</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6.1899999999999998E-4</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5.4600000000000004E-4</v>
      </c>
      <c r="I85" s="101">
        <f>ROUND(F85*H85,2)</f>
        <v>25198.49</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5.4600000000000004E-4</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6.1899999999999998E-4</v>
      </c>
      <c r="I90" s="101">
        <f>ROUND(F90*H90,2)</f>
        <v>11819.4</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6.1799999999999995E-4</v>
      </c>
      <c r="I92" s="101">
        <f t="shared" ref="I92:I96" si="14">ROUND(F92*H92,2)</f>
        <v>7083.47</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4.7800000000000002E-4</v>
      </c>
      <c r="I94" s="101">
        <f t="shared" si="14"/>
        <v>122251.76</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4.7800000000000002E-4</v>
      </c>
      <c r="I96" s="101">
        <f t="shared" si="14"/>
        <v>-7985.16</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5.4600000000000004E-4</v>
      </c>
      <c r="I98" s="101">
        <f t="shared" ref="I98" si="16">ROUND(F98*H98,2)</f>
        <v>111.31</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17.95</v>
      </c>
      <c r="D105" s="774"/>
      <c r="E105" s="46">
        <f>H8</f>
        <v>1.0407999999999999</v>
      </c>
      <c r="F105" s="302">
        <f>'1461'!F105</f>
        <v>907.92</v>
      </c>
      <c r="G105" s="39" t="s">
        <v>12</v>
      </c>
      <c r="H105" s="101">
        <f>ROUND(C105*E105*F105,2)</f>
        <v>16962.09</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95.322700000000012</v>
      </c>
      <c r="D106" s="774"/>
      <c r="E106" s="46">
        <f>H8</f>
        <v>1.0407999999999999</v>
      </c>
      <c r="F106" s="302">
        <f>'1461'!F106</f>
        <v>910.12</v>
      </c>
      <c r="G106" s="39" t="s">
        <v>12</v>
      </c>
      <c r="H106" s="94">
        <f>ROUND(C106*E106*F106,2)</f>
        <v>90294.7</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113.27270000000001</v>
      </c>
      <c r="D107" s="787"/>
      <c r="E107" s="123"/>
      <c r="F107" s="123"/>
      <c r="G107" s="123"/>
      <c r="H107" s="124" t="s">
        <v>100</v>
      </c>
      <c r="I107" s="101">
        <f>IF(A1=75,0,H106+H105+H104)</f>
        <v>107256.79</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73</v>
      </c>
      <c r="D113" s="143">
        <v>82</v>
      </c>
      <c r="E113" s="116">
        <f>(C113+D113)/2</f>
        <v>77.5</v>
      </c>
      <c r="F113" s="126" t="s">
        <v>30</v>
      </c>
      <c r="G113" s="303">
        <f>'1461'!G113</f>
        <v>584</v>
      </c>
      <c r="I113" s="101">
        <f>ROUND(G113*E113,2)</f>
        <v>45260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960539.46000000008</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915926.70000000007</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915926.70000000007</v>
      </c>
      <c r="I135" s="94">
        <f>ROUND(IF(E30=0,0,IF(E30&gt;250,-(((250/E30)*H135)*IF(G135="H",0.02,0.05)),IF(G135="H",-0.02*H135,-0.05*H135))),2)</f>
        <v>-45796.34</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914743.12000000011</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Payments'!Q88</f>
        <v>-904441.77</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10301.350000000093</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10301.35</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112</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2.5</v>
      </c>
      <c r="D17" s="143">
        <v>2.5</v>
      </c>
      <c r="E17" s="116">
        <f t="shared" si="1"/>
        <v>5</v>
      </c>
      <c r="F17" s="859">
        <f>'1461'!F17:G17</f>
        <v>1</v>
      </c>
      <c r="G17" s="859"/>
      <c r="H17" s="80">
        <f t="shared" si="2"/>
        <v>5</v>
      </c>
      <c r="I17" s="101">
        <f t="shared" si="3"/>
        <v>27742.42</v>
      </c>
      <c r="J17" s="65" t="str">
        <f>IF(ROUND(E17,2)=ROUND(SUM(E60:E62),2)," ","CHECK 4-8 LINES BELOW")</f>
        <v xml:space="preserve"> </v>
      </c>
      <c r="N17" s="818" t="s">
        <v>23</v>
      </c>
      <c r="O17" s="818"/>
      <c r="P17" s="860">
        <f t="shared" si="0"/>
        <v>5</v>
      </c>
      <c r="Q17" s="860"/>
      <c r="R17" s="864">
        <v>1</v>
      </c>
      <c r="S17" s="864"/>
      <c r="T17" s="95">
        <f t="shared" si="4"/>
        <v>5</v>
      </c>
      <c r="U17" s="523">
        <f t="shared" si="5"/>
        <v>27742.42</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45.46</v>
      </c>
      <c r="D19" s="143">
        <v>49.74</v>
      </c>
      <c r="E19" s="116">
        <f t="shared" si="1"/>
        <v>95.2</v>
      </c>
      <c r="F19" s="859">
        <f>'1461'!F19:G19</f>
        <v>0.97799999999999998</v>
      </c>
      <c r="G19" s="859"/>
      <c r="H19" s="80">
        <f t="shared" si="2"/>
        <v>93.105599999999995</v>
      </c>
      <c r="I19" s="101">
        <f>ROUND(ROUND(ROUND(H19*$C$8,4)*($H$8),2)*(MAX($H$9,1)),2)</f>
        <v>516594.93</v>
      </c>
      <c r="J19" s="65" t="str">
        <f>IF(ROUND(E19,2)=ROUND(SUM(E63:E65),2)," ","CHECK 4-8 LINES BELOW")</f>
        <v xml:space="preserve"> </v>
      </c>
      <c r="N19" s="818" t="s">
        <v>25</v>
      </c>
      <c r="O19" s="818"/>
      <c r="P19" s="860">
        <f t="shared" si="0"/>
        <v>95.2</v>
      </c>
      <c r="Q19" s="860"/>
      <c r="R19" s="864">
        <v>1</v>
      </c>
      <c r="S19" s="864"/>
      <c r="T19" s="95">
        <f t="shared" si="4"/>
        <v>95.2</v>
      </c>
      <c r="U19" s="522">
        <f t="shared" si="5"/>
        <v>528215.68000000005</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47.96</v>
      </c>
      <c r="D30" s="94">
        <f>SUM(D14:D29)</f>
        <v>52.24</v>
      </c>
      <c r="E30" s="94">
        <f>SUM(E14:E29)</f>
        <v>100.2</v>
      </c>
      <c r="F30" s="795"/>
      <c r="G30" s="795"/>
      <c r="H30" s="99">
        <f>SUM(H14:H29)</f>
        <v>98.105599999999995</v>
      </c>
      <c r="I30" s="94">
        <f>SUM(I14:I29)</f>
        <v>544337.35</v>
      </c>
      <c r="N30" s="862" t="s">
        <v>5</v>
      </c>
      <c r="O30" s="862"/>
      <c r="P30" s="863">
        <f>SUM(P14:P29)</f>
        <v>100.2</v>
      </c>
      <c r="Q30" s="863"/>
      <c r="R30" s="852"/>
      <c r="S30" s="852"/>
      <c r="T30" s="100">
        <f>SUM(T14:T29)</f>
        <v>100.2</v>
      </c>
      <c r="U30" s="523">
        <f>SUM(U14:U29)</f>
        <v>555958.10000000009</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98.105599999999995</v>
      </c>
      <c r="F46" s="34"/>
      <c r="G46" s="106"/>
      <c r="H46" s="107" t="s">
        <v>98</v>
      </c>
      <c r="I46" s="94">
        <f>SUM(I44,I30)</f>
        <v>544337.35</v>
      </c>
      <c r="N46" s="847" t="s">
        <v>44</v>
      </c>
      <c r="O46" s="847"/>
      <c r="P46" s="847"/>
      <c r="Q46" s="847"/>
      <c r="R46" s="35">
        <f>R44+T30</f>
        <v>100.2</v>
      </c>
      <c r="S46" s="852" t="s">
        <v>42</v>
      </c>
      <c r="T46" s="852"/>
      <c r="U46" s="108">
        <f>SUM(U44,U30)</f>
        <v>555958.10000000009</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508726.63</v>
      </c>
      <c r="G51" s="109" t="s">
        <v>6</v>
      </c>
      <c r="H51" s="452">
        <v>5.5899999999999998E-2</v>
      </c>
      <c r="I51" s="101">
        <f>ROUND(F51*H51,2)</f>
        <v>28437.82</v>
      </c>
      <c r="N51" s="457"/>
      <c r="O51" s="458" t="s">
        <v>576</v>
      </c>
      <c r="P51" s="28"/>
      <c r="Q51" s="44" t="s">
        <v>461</v>
      </c>
      <c r="R51" s="459">
        <f>U30</f>
        <v>555958.10000000009</v>
      </c>
      <c r="S51" s="460" t="s">
        <v>6</v>
      </c>
      <c r="T51" s="461">
        <v>5.5899999999999998E-2</v>
      </c>
      <c r="U51" s="453">
        <f>I51</f>
        <v>28437.82</v>
      </c>
    </row>
    <row r="52" spans="1:22" x14ac:dyDescent="0.3">
      <c r="A52" s="26"/>
      <c r="B52" s="617" t="s">
        <v>580</v>
      </c>
      <c r="C52" s="26"/>
      <c r="D52" s="26"/>
      <c r="E52" s="43" t="s">
        <v>461</v>
      </c>
      <c r="F52" s="451">
        <v>508726.63</v>
      </c>
      <c r="G52" s="109" t="s">
        <v>6</v>
      </c>
      <c r="H52" s="452">
        <v>1.0699999999999999E-2</v>
      </c>
      <c r="I52" s="101">
        <f>ROUND(F52*H52,2)</f>
        <v>5443.37</v>
      </c>
      <c r="N52" s="28"/>
      <c r="O52" s="618" t="s">
        <v>579</v>
      </c>
      <c r="P52" s="28"/>
      <c r="Q52" s="44" t="s">
        <v>461</v>
      </c>
      <c r="R52" s="459">
        <f>U30</f>
        <v>555958.10000000009</v>
      </c>
      <c r="S52" s="460" t="s">
        <v>6</v>
      </c>
      <c r="T52" s="461">
        <v>1.0699999999999999E-2</v>
      </c>
      <c r="U52" s="462">
        <f>I52</f>
        <v>5443.37</v>
      </c>
    </row>
    <row r="53" spans="1:22" x14ac:dyDescent="0.3">
      <c r="A53" s="26"/>
      <c r="B53" s="81" t="s">
        <v>462</v>
      </c>
      <c r="C53" s="26"/>
      <c r="D53" s="26"/>
      <c r="E53" s="43"/>
      <c r="F53" s="451"/>
      <c r="G53" s="109"/>
      <c r="H53" s="452"/>
      <c r="I53" s="97">
        <f>SUM(I51:I52)</f>
        <v>33881.19</v>
      </c>
      <c r="N53" s="28"/>
      <c r="O53" s="434" t="s">
        <v>462</v>
      </c>
      <c r="P53" s="28"/>
      <c r="Q53" s="44"/>
      <c r="R53" s="459"/>
      <c r="S53" s="460"/>
      <c r="T53" s="461"/>
      <c r="U53" s="453">
        <f>SUM(U51:U52)</f>
        <v>33881.19</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2.5</v>
      </c>
      <c r="D61" s="143">
        <v>2.5</v>
      </c>
      <c r="E61" s="116">
        <f t="shared" si="10"/>
        <v>5</v>
      </c>
      <c r="F61" s="494" t="s">
        <v>13</v>
      </c>
      <c r="G61" s="493">
        <v>252</v>
      </c>
      <c r="H61" s="507">
        <f>'1461'!H61</f>
        <v>3506</v>
      </c>
      <c r="I61" s="101">
        <f t="shared" si="11"/>
        <v>17530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0.4</v>
      </c>
      <c r="D63" s="143">
        <v>0.44</v>
      </c>
      <c r="E63" s="116">
        <f t="shared" si="10"/>
        <v>0.84000000000000008</v>
      </c>
      <c r="F63" s="494" t="s">
        <v>14</v>
      </c>
      <c r="G63" s="493">
        <v>251</v>
      </c>
      <c r="H63" s="507">
        <f>'1461'!H63</f>
        <v>835</v>
      </c>
      <c r="I63" s="101">
        <f t="shared" si="11"/>
        <v>701.4</v>
      </c>
      <c r="N63" s="850"/>
      <c r="O63" s="850"/>
      <c r="P63" s="844"/>
      <c r="Q63" s="844"/>
      <c r="R63" s="40" t="s">
        <v>14</v>
      </c>
      <c r="S63" s="499">
        <v>251</v>
      </c>
      <c r="T63" s="510">
        <f t="shared" si="12"/>
        <v>835</v>
      </c>
      <c r="U63" s="524">
        <f t="shared" si="13"/>
        <v>0</v>
      </c>
      <c r="V63" s="474"/>
    </row>
    <row r="64" spans="1:22" x14ac:dyDescent="0.3">
      <c r="A64" s="792"/>
      <c r="B64" s="792"/>
      <c r="C64" s="143">
        <v>32.54</v>
      </c>
      <c r="D64" s="143">
        <v>35.6</v>
      </c>
      <c r="E64" s="116">
        <f t="shared" si="10"/>
        <v>68.14</v>
      </c>
      <c r="F64" s="494" t="s">
        <v>14</v>
      </c>
      <c r="G64" s="493">
        <v>252</v>
      </c>
      <c r="H64" s="507">
        <f>'1461'!H64</f>
        <v>3168</v>
      </c>
      <c r="I64" s="101">
        <f t="shared" si="11"/>
        <v>215867.51999999999</v>
      </c>
      <c r="N64" s="850"/>
      <c r="O64" s="850"/>
      <c r="P64" s="844"/>
      <c r="Q64" s="844"/>
      <c r="R64" s="40" t="s">
        <v>14</v>
      </c>
      <c r="S64" s="499">
        <v>252</v>
      </c>
      <c r="T64" s="510">
        <f t="shared" si="12"/>
        <v>3168</v>
      </c>
      <c r="U64" s="524">
        <f t="shared" si="13"/>
        <v>0</v>
      </c>
      <c r="V64" s="474"/>
    </row>
    <row r="65" spans="1:22" ht="16.2" thickBot="1" x14ac:dyDescent="0.35">
      <c r="A65" s="792"/>
      <c r="B65" s="792"/>
      <c r="C65" s="143">
        <v>12.52</v>
      </c>
      <c r="D65" s="143">
        <v>13.7</v>
      </c>
      <c r="E65" s="116">
        <f t="shared" si="10"/>
        <v>26.22</v>
      </c>
      <c r="F65" s="494" t="s">
        <v>14</v>
      </c>
      <c r="G65" s="493">
        <v>253</v>
      </c>
      <c r="H65" s="507">
        <f>'1461'!H65</f>
        <v>6685</v>
      </c>
      <c r="I65" s="101">
        <f t="shared" si="11"/>
        <v>175280.7</v>
      </c>
      <c r="N65" s="850"/>
      <c r="O65" s="850"/>
      <c r="P65" s="845"/>
      <c r="Q65" s="845"/>
      <c r="R65" s="40" t="s">
        <v>14</v>
      </c>
      <c r="S65" s="499">
        <v>253</v>
      </c>
      <c r="T65" s="510">
        <f t="shared" si="12"/>
        <v>6685</v>
      </c>
      <c r="U65" s="525">
        <f t="shared" si="13"/>
        <v>0</v>
      </c>
      <c r="V65" s="474"/>
    </row>
    <row r="66" spans="1:22" ht="16.2" thickBot="1" x14ac:dyDescent="0.35">
      <c r="A66" s="490"/>
      <c r="C66" s="97">
        <f>SUM(C57:C65)</f>
        <v>47.959999999999994</v>
      </c>
      <c r="D66" s="97">
        <f>SUM(D57:D65)</f>
        <v>52.239999999999995</v>
      </c>
      <c r="E66" s="97">
        <f>SUM(E57:E65)</f>
        <v>100.2</v>
      </c>
      <c r="F66" s="779" t="s">
        <v>507</v>
      </c>
      <c r="G66" s="779"/>
      <c r="H66" s="779"/>
      <c r="I66" s="97">
        <f>SUM(I57:I65)</f>
        <v>409379.62</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100.2</v>
      </c>
      <c r="D69" s="789" t="s">
        <v>474</v>
      </c>
      <c r="E69" s="789"/>
      <c r="F69" s="789"/>
      <c r="G69" s="789"/>
      <c r="H69" s="299">
        <f>'1461'!H69</f>
        <v>210166.87</v>
      </c>
      <c r="I69" s="113"/>
      <c r="N69" s="817" t="s">
        <v>467</v>
      </c>
      <c r="O69" s="818"/>
      <c r="P69" s="41">
        <f>P30</f>
        <v>100.2</v>
      </c>
      <c r="Q69" s="842" t="s">
        <v>469</v>
      </c>
      <c r="R69" s="843"/>
      <c r="S69" s="843"/>
      <c r="T69" s="831">
        <f>H69</f>
        <v>210166.87</v>
      </c>
      <c r="U69" s="831"/>
    </row>
    <row r="70" spans="1:22" x14ac:dyDescent="0.3">
      <c r="B70" s="69"/>
      <c r="G70" s="42" t="s">
        <v>12</v>
      </c>
      <c r="H70" s="114">
        <f>ROUND(C69/H69,6)</f>
        <v>4.7699999999999999E-4</v>
      </c>
      <c r="I70" s="115"/>
      <c r="N70" s="818"/>
      <c r="O70" s="818"/>
      <c r="P70" s="818"/>
      <c r="Q70" s="818"/>
      <c r="R70" s="818"/>
      <c r="S70" s="818"/>
      <c r="T70" s="836">
        <f>ROUND(P69/T69,6)</f>
        <v>4.7699999999999999E-4</v>
      </c>
      <c r="U70" s="836"/>
    </row>
    <row r="71" spans="1:22" x14ac:dyDescent="0.3">
      <c r="A71" s="492" t="s">
        <v>510</v>
      </c>
      <c r="N71" s="503" t="s">
        <v>518</v>
      </c>
      <c r="O71" s="51"/>
      <c r="P71" s="51"/>
      <c r="Q71" s="51"/>
      <c r="R71" s="51"/>
      <c r="S71" s="51"/>
      <c r="T71" s="51"/>
      <c r="U71" s="51"/>
    </row>
    <row r="72" spans="1:22" x14ac:dyDescent="0.3">
      <c r="A72" s="775" t="s">
        <v>464</v>
      </c>
      <c r="B72" s="776"/>
      <c r="C72" s="112">
        <f>H30</f>
        <v>98.105599999999995</v>
      </c>
      <c r="D72" s="789" t="s">
        <v>475</v>
      </c>
      <c r="E72" s="789"/>
      <c r="F72" s="789"/>
      <c r="G72" s="789"/>
      <c r="H72" s="300">
        <f>'1461'!H72</f>
        <v>237198.6</v>
      </c>
      <c r="I72" s="116"/>
      <c r="N72" s="817" t="s">
        <v>468</v>
      </c>
      <c r="O72" s="818"/>
      <c r="P72" s="41">
        <f>T30</f>
        <v>100.2</v>
      </c>
      <c r="Q72" s="842" t="s">
        <v>470</v>
      </c>
      <c r="R72" s="843"/>
      <c r="S72" s="843"/>
      <c r="T72" s="831">
        <f>H72</f>
        <v>237198.6</v>
      </c>
      <c r="U72" s="831"/>
    </row>
    <row r="73" spans="1:22" x14ac:dyDescent="0.3">
      <c r="G73" s="42" t="s">
        <v>12</v>
      </c>
      <c r="H73" s="114">
        <f>ROUND(C72/H72,6)</f>
        <v>4.1399999999999998E-4</v>
      </c>
      <c r="I73" s="114"/>
      <c r="N73" s="818"/>
      <c r="O73" s="818"/>
      <c r="P73" s="818"/>
      <c r="Q73" s="818"/>
      <c r="R73" s="818"/>
      <c r="S73" s="818"/>
      <c r="T73" s="836">
        <f>ROUND(P72/T72,6)</f>
        <v>4.2200000000000001E-4</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100.2</v>
      </c>
      <c r="D75" s="788" t="s">
        <v>476</v>
      </c>
      <c r="E75" s="788"/>
      <c r="F75" s="788"/>
      <c r="G75" s="788"/>
      <c r="H75" s="299">
        <f>'1461'!H75</f>
        <v>185588.37</v>
      </c>
      <c r="I75" s="113"/>
      <c r="N75" s="817" t="s">
        <v>466</v>
      </c>
      <c r="O75" s="818"/>
      <c r="P75" s="41">
        <f>P30</f>
        <v>100.2</v>
      </c>
      <c r="Q75" s="838" t="s">
        <v>471</v>
      </c>
      <c r="R75" s="839"/>
      <c r="S75" s="839"/>
      <c r="T75" s="831">
        <f>H75</f>
        <v>185588.37</v>
      </c>
      <c r="U75" s="831"/>
    </row>
    <row r="76" spans="1:22" x14ac:dyDescent="0.3">
      <c r="B76" s="69"/>
      <c r="G76" s="42" t="s">
        <v>12</v>
      </c>
      <c r="H76" s="114">
        <f>ROUND(C75/H75,6)</f>
        <v>5.4000000000000001E-4</v>
      </c>
      <c r="I76" s="115"/>
      <c r="N76" s="818"/>
      <c r="O76" s="818"/>
      <c r="P76" s="818"/>
      <c r="Q76" s="818"/>
      <c r="R76" s="818"/>
      <c r="S76" s="818"/>
      <c r="T76" s="836">
        <f>ROUND(P75/T75,6)</f>
        <v>5.4000000000000001E-4</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100.2</v>
      </c>
      <c r="D78" s="784" t="s">
        <v>477</v>
      </c>
      <c r="E78" s="784"/>
      <c r="F78" s="784"/>
      <c r="G78" s="784"/>
      <c r="H78" s="299">
        <f>'1461'!H78</f>
        <v>209834.86</v>
      </c>
      <c r="I78" s="113"/>
      <c r="N78" s="817" t="s">
        <v>466</v>
      </c>
      <c r="O78" s="818"/>
      <c r="P78" s="41">
        <f>P30</f>
        <v>100.2</v>
      </c>
      <c r="Q78" s="840" t="s">
        <v>472</v>
      </c>
      <c r="R78" s="841"/>
      <c r="S78" s="841"/>
      <c r="T78" s="831">
        <f>H78</f>
        <v>209834.86</v>
      </c>
      <c r="U78" s="831"/>
    </row>
    <row r="79" spans="1:22" x14ac:dyDescent="0.3">
      <c r="B79" s="69"/>
      <c r="G79" s="42" t="s">
        <v>12</v>
      </c>
      <c r="H79" s="114">
        <f>ROUND(C78/H78,6)</f>
        <v>4.7800000000000002E-4</v>
      </c>
      <c r="I79" s="115"/>
      <c r="N79" s="818"/>
      <c r="O79" s="818"/>
      <c r="P79" s="818"/>
      <c r="Q79" s="818"/>
      <c r="R79" s="818"/>
      <c r="S79" s="818"/>
      <c r="T79" s="836">
        <f>ROUND(P78/T78,6)</f>
        <v>4.7800000000000002E-4</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100.2</v>
      </c>
      <c r="D81" s="788" t="s">
        <v>478</v>
      </c>
      <c r="E81" s="788"/>
      <c r="F81" s="788"/>
      <c r="G81" s="788"/>
      <c r="H81" s="299">
        <f>'1461'!H81</f>
        <v>185256.36</v>
      </c>
      <c r="I81" s="113"/>
      <c r="N81" s="817" t="s">
        <v>479</v>
      </c>
      <c r="O81" s="818"/>
      <c r="P81" s="41">
        <f>P30</f>
        <v>100.2</v>
      </c>
      <c r="Q81" s="838" t="s">
        <v>480</v>
      </c>
      <c r="R81" s="839"/>
      <c r="S81" s="839"/>
      <c r="T81" s="831">
        <f>H81</f>
        <v>185256.36</v>
      </c>
      <c r="U81" s="831"/>
    </row>
    <row r="82" spans="1:21" x14ac:dyDescent="0.3">
      <c r="B82" s="69"/>
      <c r="G82" s="42" t="s">
        <v>12</v>
      </c>
      <c r="H82" s="114">
        <f>ROUND(C81/H81,6)</f>
        <v>5.4100000000000003E-4</v>
      </c>
      <c r="I82" s="115"/>
      <c r="N82" s="818"/>
      <c r="O82" s="818"/>
      <c r="P82" s="818"/>
      <c r="Q82" s="818"/>
      <c r="R82" s="818"/>
      <c r="S82" s="818"/>
      <c r="T82" s="836">
        <f>ROUND(P81/T81,6)</f>
        <v>5.4100000000000003E-4</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4.7800000000000002E-4</v>
      </c>
      <c r="I85" s="101">
        <f>ROUND(F85*H85,2)</f>
        <v>22060.22</v>
      </c>
      <c r="N85" s="503" t="s">
        <v>514</v>
      </c>
      <c r="O85" s="51"/>
      <c r="P85" s="51"/>
      <c r="Q85" s="44"/>
      <c r="R85" s="469">
        <f>F85</f>
        <v>46151079</v>
      </c>
      <c r="S85" s="38" t="s">
        <v>6</v>
      </c>
      <c r="T85" s="471">
        <f>T79</f>
        <v>4.7800000000000002E-4</v>
      </c>
      <c r="U85" s="523">
        <f>ROUND(R85*T85,2)</f>
        <v>22060.22</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4.7699999999999999E-4</v>
      </c>
      <c r="I88" s="101">
        <f>ROUND(F88*H88,2)</f>
        <v>0</v>
      </c>
      <c r="N88" s="837" t="s">
        <v>99</v>
      </c>
      <c r="O88" s="818"/>
      <c r="P88" s="818"/>
      <c r="Q88" s="44"/>
      <c r="R88" s="469">
        <f>F88</f>
        <v>0</v>
      </c>
      <c r="S88" s="38" t="s">
        <v>6</v>
      </c>
      <c r="T88" s="471">
        <f>T70</f>
        <v>4.7699999999999999E-4</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5.4100000000000003E-4</v>
      </c>
      <c r="I90" s="101">
        <f>ROUND(F90*H90,2)</f>
        <v>10330.040000000001</v>
      </c>
      <c r="N90" s="503" t="s">
        <v>515</v>
      </c>
      <c r="O90" s="51"/>
      <c r="P90" s="51"/>
      <c r="Q90" s="44"/>
      <c r="R90" s="469">
        <f>F90</f>
        <v>19094340</v>
      </c>
      <c r="S90" s="38" t="s">
        <v>6</v>
      </c>
      <c r="T90" s="471">
        <f>T82</f>
        <v>5.4100000000000003E-4</v>
      </c>
      <c r="U90" s="523">
        <f>ROUND(R90*T90,2)</f>
        <v>10330.040000000001</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5.4000000000000001E-4</v>
      </c>
      <c r="I92" s="101">
        <f t="shared" ref="I92:I96" si="14">ROUND(F92*H92,2)</f>
        <v>6189.44</v>
      </c>
      <c r="N92" s="503" t="s">
        <v>516</v>
      </c>
      <c r="O92" s="51"/>
      <c r="P92" s="51"/>
      <c r="Q92" s="44"/>
      <c r="R92" s="469">
        <f t="shared" ref="R92:R96" si="15">F92</f>
        <v>11461928</v>
      </c>
      <c r="S92" s="38" t="s">
        <v>6</v>
      </c>
      <c r="T92" s="471">
        <f>T76</f>
        <v>5.4000000000000001E-4</v>
      </c>
      <c r="U92" s="523">
        <f>ROUND(R92*T92,2)</f>
        <v>6189.44</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4.1399999999999998E-4</v>
      </c>
      <c r="I94" s="101">
        <f t="shared" si="14"/>
        <v>105883.32</v>
      </c>
      <c r="N94" s="818" t="s">
        <v>482</v>
      </c>
      <c r="O94" s="818"/>
      <c r="P94" s="818"/>
      <c r="Q94" s="44"/>
      <c r="R94" s="469">
        <f t="shared" si="15"/>
        <v>255756816</v>
      </c>
      <c r="S94" s="38" t="s">
        <v>6</v>
      </c>
      <c r="T94" s="471">
        <f>T73</f>
        <v>4.2200000000000001E-4</v>
      </c>
      <c r="U94" s="523">
        <f>ROUND(R94*T94,2)</f>
        <v>107929.38</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4.1399999999999998E-4</v>
      </c>
      <c r="I96" s="101">
        <f t="shared" si="14"/>
        <v>-6916.02</v>
      </c>
      <c r="N96" s="817" t="s">
        <v>483</v>
      </c>
      <c r="O96" s="818"/>
      <c r="P96" s="818"/>
      <c r="Q96" s="44"/>
      <c r="R96" s="469">
        <f t="shared" si="15"/>
        <v>-16705366</v>
      </c>
      <c r="S96" s="38" t="s">
        <v>6</v>
      </c>
      <c r="T96" s="471">
        <f>T73</f>
        <v>4.2200000000000001E-4</v>
      </c>
      <c r="U96" s="523">
        <f>ROUND(R96*T96,2)</f>
        <v>-7049.66</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4.7699999999999999E-4</v>
      </c>
      <c r="I98" s="101">
        <f t="shared" ref="I98" si="16">ROUND(F98*H98,2)</f>
        <v>97.24</v>
      </c>
      <c r="N98" s="585" t="s">
        <v>556</v>
      </c>
      <c r="O98" s="585"/>
      <c r="P98" s="585"/>
      <c r="Q98" s="44"/>
      <c r="R98" s="588">
        <f>F98</f>
        <v>203862</v>
      </c>
      <c r="S98" s="586" t="s">
        <v>6</v>
      </c>
      <c r="T98" s="471">
        <f>T70</f>
        <v>4.7699999999999999E-4</v>
      </c>
      <c r="U98" s="523">
        <f>ROUND(R98*T98,2)</f>
        <v>97.24</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v>
      </c>
      <c r="D105" s="774"/>
      <c r="E105" s="46">
        <f>H8</f>
        <v>1.0407999999999999</v>
      </c>
      <c r="F105" s="302">
        <f>'1461'!F105</f>
        <v>907.92</v>
      </c>
      <c r="G105" s="39" t="s">
        <v>12</v>
      </c>
      <c r="H105" s="101">
        <f>ROUND(C105*E105*F105,2)</f>
        <v>4724.82</v>
      </c>
      <c r="N105" s="50" t="s">
        <v>13</v>
      </c>
      <c r="O105" s="47">
        <f>T16+T17+T21+T24+T27</f>
        <v>5</v>
      </c>
      <c r="P105" s="832">
        <f>T8</f>
        <v>1.0407999999999999</v>
      </c>
      <c r="Q105" s="832"/>
      <c r="R105" s="48">
        <f>F105</f>
        <v>907.92</v>
      </c>
      <c r="S105" s="40" t="s">
        <v>12</v>
      </c>
      <c r="T105" s="529">
        <f>ROUND(O105*P105*R105,2)</f>
        <v>4724.82</v>
      </c>
      <c r="U105" s="51"/>
    </row>
    <row r="106" spans="1:21" ht="16.2" thickBot="1" x14ac:dyDescent="0.35">
      <c r="A106" s="52"/>
      <c r="B106" s="52" t="s">
        <v>103</v>
      </c>
      <c r="C106" s="774">
        <f>H18+H19+H22+H25+H28+H29</f>
        <v>93.105599999999995</v>
      </c>
      <c r="D106" s="774"/>
      <c r="E106" s="46">
        <f>H8</f>
        <v>1.0407999999999999</v>
      </c>
      <c r="F106" s="302">
        <f>'1461'!F106</f>
        <v>910.12</v>
      </c>
      <c r="G106" s="39" t="s">
        <v>12</v>
      </c>
      <c r="H106" s="94">
        <f>ROUND(C106*E106*F106,2)</f>
        <v>88194.55</v>
      </c>
      <c r="N106" s="53" t="s">
        <v>14</v>
      </c>
      <c r="O106" s="54">
        <f>T18+T19+T22+T25+T28+T29</f>
        <v>95.2</v>
      </c>
      <c r="P106" s="832">
        <f>T8</f>
        <v>1.0407999999999999</v>
      </c>
      <c r="Q106" s="832"/>
      <c r="R106" s="48">
        <f>F106</f>
        <v>910.12</v>
      </c>
      <c r="S106" s="40" t="s">
        <v>12</v>
      </c>
      <c r="T106" s="529">
        <f>ROUND(O106*P106*R106,2)</f>
        <v>90178.48</v>
      </c>
      <c r="U106" s="51"/>
    </row>
    <row r="107" spans="1:21" ht="16.2" thickBot="1" x14ac:dyDescent="0.35">
      <c r="A107" s="55"/>
      <c r="B107" s="122" t="s">
        <v>102</v>
      </c>
      <c r="C107" s="787">
        <f>SUM(C104:C106)</f>
        <v>98.105599999999995</v>
      </c>
      <c r="D107" s="787"/>
      <c r="E107" s="123"/>
      <c r="F107" s="123"/>
      <c r="G107" s="123"/>
      <c r="H107" s="124" t="s">
        <v>100</v>
      </c>
      <c r="I107" s="101">
        <f>IF(A1=75,0,H106+H105+H104)</f>
        <v>92919.37</v>
      </c>
      <c r="N107" s="56" t="s">
        <v>89</v>
      </c>
      <c r="O107" s="57">
        <f>SUM(O104:O106)</f>
        <v>100.2</v>
      </c>
      <c r="P107" s="827" t="s">
        <v>16</v>
      </c>
      <c r="Q107" s="828"/>
      <c r="R107" s="828"/>
      <c r="S107" s="828"/>
      <c r="T107" s="828"/>
      <c r="U107" s="523">
        <f>IF(N1=75,0,T106+T105+T104)</f>
        <v>94903.299999999988</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40</v>
      </c>
      <c r="D113" s="143">
        <v>41</v>
      </c>
      <c r="E113" s="116">
        <f>(C113+D113)/2</f>
        <v>40.5</v>
      </c>
      <c r="F113" s="126" t="s">
        <v>30</v>
      </c>
      <c r="G113" s="303">
        <f>'1461'!G113</f>
        <v>584</v>
      </c>
      <c r="I113" s="101">
        <f>ROUND(G113*E113,2)</f>
        <v>23652</v>
      </c>
      <c r="N113" s="826" t="s">
        <v>52</v>
      </c>
      <c r="O113" s="826"/>
      <c r="P113" s="825">
        <f>IF(H133=1,E113,0)</f>
        <v>40.5</v>
      </c>
      <c r="Q113" s="825"/>
      <c r="R113" s="825"/>
      <c r="S113" s="83" t="s">
        <v>30</v>
      </c>
      <c r="T113" s="58">
        <f>G113</f>
        <v>584</v>
      </c>
      <c r="U113" s="523">
        <f>ROUND(T113*P113,2)</f>
        <v>23652</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1207932.58</v>
      </c>
      <c r="N128" s="503"/>
      <c r="O128" s="502"/>
      <c r="P128" s="502"/>
      <c r="Q128" s="305"/>
      <c r="R128" s="305"/>
      <c r="S128" s="305"/>
      <c r="T128" s="305"/>
      <c r="U128" s="530">
        <f>SUM(U30,U85,U88,U90,U92,U94,U96,U107,U113,U114,U124,U126,U98)</f>
        <v>814070.06</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1174051.3900000001</v>
      </c>
      <c r="N130" s="818" t="s">
        <v>494</v>
      </c>
      <c r="O130" s="818"/>
      <c r="P130" s="818"/>
      <c r="Q130" s="818"/>
      <c r="R130" s="818"/>
      <c r="S130" s="818"/>
      <c r="T130" s="818"/>
      <c r="U130" s="132">
        <f>U128-U53</f>
        <v>780188.87000000011</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780188.87000000011</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780188.87000000011</v>
      </c>
      <c r="I135" s="94">
        <f>ROUND(IF(E30=0,0,IF(E30&gt;250,-(((250/E30)*H135)*IF(G135="H",0.02,0.05)),IF(G135="H",-0.02*H135,-0.05*H135))),2)</f>
        <v>-39009.440000000002</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1168923.1400000001</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Payments'!Q89</f>
        <v>-1122489.1599999999</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46433.980000000214</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46433.98</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O1:U1"/>
    <mergeCell ref="N2:U2"/>
    <mergeCell ref="N3:U3"/>
    <mergeCell ref="A4:B4"/>
    <mergeCell ref="C4:E4"/>
    <mergeCell ref="N4:O4"/>
    <mergeCell ref="P4:Q4"/>
    <mergeCell ref="B1:I1"/>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121</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0.5</v>
      </c>
      <c r="D16" s="143">
        <v>1.92</v>
      </c>
      <c r="E16" s="116">
        <f t="shared" si="1"/>
        <v>2.42</v>
      </c>
      <c r="F16" s="859">
        <f>'1461'!F16:G16</f>
        <v>1</v>
      </c>
      <c r="G16" s="859"/>
      <c r="H16" s="80">
        <f t="shared" si="2"/>
        <v>2.42</v>
      </c>
      <c r="I16" s="101">
        <f t="shared" si="3"/>
        <v>13427.33</v>
      </c>
      <c r="N16" s="818" t="s">
        <v>22</v>
      </c>
      <c r="O16" s="818"/>
      <c r="P16" s="860">
        <f t="shared" si="0"/>
        <v>0</v>
      </c>
      <c r="Q16" s="860"/>
      <c r="R16" s="864">
        <v>1</v>
      </c>
      <c r="S16" s="864"/>
      <c r="T16" s="95">
        <f t="shared" si="4"/>
        <v>0</v>
      </c>
      <c r="U16" s="523">
        <f t="shared" si="5"/>
        <v>0</v>
      </c>
    </row>
    <row r="17" spans="1:21" x14ac:dyDescent="0.3">
      <c r="A17" s="776" t="s">
        <v>23</v>
      </c>
      <c r="B17" s="776"/>
      <c r="C17" s="143">
        <v>0.5</v>
      </c>
      <c r="D17" s="143">
        <v>2.41</v>
      </c>
      <c r="E17" s="116">
        <f t="shared" si="1"/>
        <v>2.91</v>
      </c>
      <c r="F17" s="859">
        <f>'1461'!F17:G17</f>
        <v>1</v>
      </c>
      <c r="G17" s="859"/>
      <c r="H17" s="80">
        <f t="shared" si="2"/>
        <v>2.91</v>
      </c>
      <c r="I17" s="101">
        <f t="shared" si="3"/>
        <v>16146.09</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159.62</v>
      </c>
      <c r="D18" s="143">
        <v>166.84</v>
      </c>
      <c r="E18" s="116">
        <f t="shared" si="1"/>
        <v>326.46000000000004</v>
      </c>
      <c r="F18" s="859">
        <f>'1461'!F18:G18</f>
        <v>0.97799999999999998</v>
      </c>
      <c r="G18" s="859"/>
      <c r="H18" s="80">
        <f t="shared" si="2"/>
        <v>319.27789999999999</v>
      </c>
      <c r="I18" s="101">
        <f t="shared" si="3"/>
        <v>1771508.31</v>
      </c>
      <c r="N18" s="818" t="s">
        <v>24</v>
      </c>
      <c r="O18" s="818"/>
      <c r="P18" s="860">
        <f t="shared" si="0"/>
        <v>0</v>
      </c>
      <c r="Q18" s="860"/>
      <c r="R18" s="864">
        <v>1</v>
      </c>
      <c r="S18" s="864"/>
      <c r="T18" s="95">
        <f t="shared" si="4"/>
        <v>0</v>
      </c>
      <c r="U18" s="523">
        <f t="shared" si="5"/>
        <v>0</v>
      </c>
    </row>
    <row r="19" spans="1:21" x14ac:dyDescent="0.3">
      <c r="A19" s="776" t="s">
        <v>25</v>
      </c>
      <c r="B19" s="776"/>
      <c r="C19" s="143">
        <v>39.229999999999997</v>
      </c>
      <c r="D19" s="143">
        <v>37.86</v>
      </c>
      <c r="E19" s="116">
        <f t="shared" si="1"/>
        <v>77.09</v>
      </c>
      <c r="F19" s="859">
        <f>'1461'!F19:G19</f>
        <v>0.97799999999999998</v>
      </c>
      <c r="G19" s="859"/>
      <c r="H19" s="80">
        <f t="shared" si="2"/>
        <v>75.394000000000005</v>
      </c>
      <c r="I19" s="101">
        <f t="shared" si="3"/>
        <v>418322.4</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11.28</v>
      </c>
      <c r="D28" s="143">
        <v>12.71</v>
      </c>
      <c r="E28" s="116">
        <f t="shared" si="1"/>
        <v>23.990000000000002</v>
      </c>
      <c r="F28" s="859">
        <f>'1461'!F28:G28</f>
        <v>1.1919999999999999</v>
      </c>
      <c r="G28" s="859"/>
      <c r="H28" s="80">
        <f t="shared" si="2"/>
        <v>28.5961</v>
      </c>
      <c r="I28" s="101">
        <f t="shared" si="3"/>
        <v>158665</v>
      </c>
      <c r="N28" s="818" t="s">
        <v>87</v>
      </c>
      <c r="O28" s="818"/>
      <c r="P28" s="860">
        <f t="shared" si="0"/>
        <v>0</v>
      </c>
      <c r="Q28" s="860"/>
      <c r="R28" s="864">
        <v>1</v>
      </c>
      <c r="S28" s="864"/>
      <c r="T28" s="95">
        <f t="shared" si="4"/>
        <v>0</v>
      </c>
      <c r="U28" s="523">
        <f t="shared" si="5"/>
        <v>0</v>
      </c>
    </row>
    <row r="29" spans="1:21" x14ac:dyDescent="0.3">
      <c r="A29" s="776" t="s">
        <v>88</v>
      </c>
      <c r="B29" s="776"/>
      <c r="C29" s="110">
        <v>1.7</v>
      </c>
      <c r="D29" s="110">
        <v>1.8</v>
      </c>
      <c r="E29" s="154">
        <f t="shared" si="1"/>
        <v>3.5</v>
      </c>
      <c r="F29" s="859">
        <f>'1461'!F29:G29</f>
        <v>1.079</v>
      </c>
      <c r="G29" s="859"/>
      <c r="H29" s="93">
        <f t="shared" si="2"/>
        <v>3.7765</v>
      </c>
      <c r="I29" s="94">
        <f t="shared" si="3"/>
        <v>20953.849999999999</v>
      </c>
      <c r="N29" s="819" t="s">
        <v>88</v>
      </c>
      <c r="O29" s="819"/>
      <c r="P29" s="860">
        <f t="shared" si="0"/>
        <v>0</v>
      </c>
      <c r="Q29" s="860"/>
      <c r="R29" s="861">
        <v>1</v>
      </c>
      <c r="S29" s="861"/>
      <c r="T29" s="95">
        <f t="shared" si="4"/>
        <v>0</v>
      </c>
      <c r="U29" s="523">
        <f t="shared" si="5"/>
        <v>0</v>
      </c>
    </row>
    <row r="30" spans="1:21" x14ac:dyDescent="0.3">
      <c r="A30" s="779" t="s">
        <v>5</v>
      </c>
      <c r="B30" s="779"/>
      <c r="C30" s="94">
        <f>SUM(C14:C29)</f>
        <v>212.82999999999998</v>
      </c>
      <c r="D30" s="94">
        <f>SUM(D14:D29)</f>
        <v>223.54000000000005</v>
      </c>
      <c r="E30" s="94">
        <f>SUM(E14:E29)</f>
        <v>436.37</v>
      </c>
      <c r="F30" s="795"/>
      <c r="G30" s="795"/>
      <c r="H30" s="99">
        <f>SUM(H14:H29)</f>
        <v>432.37449999999995</v>
      </c>
      <c r="I30" s="94">
        <f>SUM(I14:I29)</f>
        <v>2399022.98</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432.37449999999995</v>
      </c>
      <c r="F46" s="34"/>
      <c r="G46" s="106"/>
      <c r="H46" s="107" t="s">
        <v>98</v>
      </c>
      <c r="I46" s="94">
        <f>SUM(I44,I30)</f>
        <v>2399022.98</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2100483.48</v>
      </c>
      <c r="G51" s="109" t="s">
        <v>6</v>
      </c>
      <c r="H51" s="452">
        <v>5.5899999999999998E-2</v>
      </c>
      <c r="I51" s="101">
        <f>ROUND(F51*H51,2)</f>
        <v>117417.03</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2100483.48</v>
      </c>
      <c r="G52" s="109" t="s">
        <v>6</v>
      </c>
      <c r="H52" s="452">
        <v>1.0699999999999999E-2</v>
      </c>
      <c r="I52" s="101">
        <f>ROUND(F52*H52,2)</f>
        <v>22475.17</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139892.20000000001</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0.5</v>
      </c>
      <c r="D60" s="143">
        <v>2.41</v>
      </c>
      <c r="E60" s="116">
        <f t="shared" si="10"/>
        <v>2.91</v>
      </c>
      <c r="F60" s="494" t="s">
        <v>13</v>
      </c>
      <c r="G60" s="493">
        <v>251</v>
      </c>
      <c r="H60" s="507">
        <f>'1461'!H60</f>
        <v>1173</v>
      </c>
      <c r="I60" s="101">
        <f t="shared" si="11"/>
        <v>3413.43</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c r="D62" s="143"/>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34.76</v>
      </c>
      <c r="D63" s="143">
        <v>33.549999999999997</v>
      </c>
      <c r="E63" s="116">
        <f t="shared" si="10"/>
        <v>68.31</v>
      </c>
      <c r="F63" s="494" t="s">
        <v>14</v>
      </c>
      <c r="G63" s="493">
        <v>251</v>
      </c>
      <c r="H63" s="507">
        <f>'1461'!H63</f>
        <v>835</v>
      </c>
      <c r="I63" s="101">
        <f t="shared" si="11"/>
        <v>57038.85</v>
      </c>
      <c r="N63" s="850"/>
      <c r="O63" s="850"/>
      <c r="P63" s="844"/>
      <c r="Q63" s="844"/>
      <c r="R63" s="40" t="s">
        <v>14</v>
      </c>
      <c r="S63" s="499">
        <v>251</v>
      </c>
      <c r="T63" s="510">
        <f t="shared" si="12"/>
        <v>835</v>
      </c>
      <c r="U63" s="524">
        <f t="shared" si="13"/>
        <v>0</v>
      </c>
      <c r="V63" s="474"/>
    </row>
    <row r="64" spans="1:22" x14ac:dyDescent="0.3">
      <c r="A64" s="792"/>
      <c r="B64" s="792"/>
      <c r="C64" s="143">
        <v>3.97</v>
      </c>
      <c r="D64" s="143">
        <v>3.83</v>
      </c>
      <c r="E64" s="116">
        <f t="shared" si="10"/>
        <v>7.8000000000000007</v>
      </c>
      <c r="F64" s="494" t="s">
        <v>14</v>
      </c>
      <c r="G64" s="493">
        <v>252</v>
      </c>
      <c r="H64" s="507">
        <f>'1461'!H64</f>
        <v>3168</v>
      </c>
      <c r="I64" s="101">
        <f t="shared" si="11"/>
        <v>24710.400000000001</v>
      </c>
      <c r="N64" s="850"/>
      <c r="O64" s="850"/>
      <c r="P64" s="844"/>
      <c r="Q64" s="844"/>
      <c r="R64" s="40" t="s">
        <v>14</v>
      </c>
      <c r="S64" s="499">
        <v>252</v>
      </c>
      <c r="T64" s="510">
        <f t="shared" si="12"/>
        <v>3168</v>
      </c>
      <c r="U64" s="524">
        <f t="shared" si="13"/>
        <v>0</v>
      </c>
      <c r="V64" s="474"/>
    </row>
    <row r="65" spans="1:22" ht="16.2" thickBot="1" x14ac:dyDescent="0.35">
      <c r="A65" s="792"/>
      <c r="B65" s="792"/>
      <c r="C65" s="143">
        <v>0.5</v>
      </c>
      <c r="D65" s="143">
        <v>0.48</v>
      </c>
      <c r="E65" s="116">
        <f t="shared" si="10"/>
        <v>0.98</v>
      </c>
      <c r="F65" s="494" t="s">
        <v>14</v>
      </c>
      <c r="G65" s="493">
        <v>253</v>
      </c>
      <c r="H65" s="507">
        <f>'1461'!H65</f>
        <v>6685</v>
      </c>
      <c r="I65" s="101">
        <f t="shared" si="11"/>
        <v>6551.3</v>
      </c>
      <c r="N65" s="850"/>
      <c r="O65" s="850"/>
      <c r="P65" s="845"/>
      <c r="Q65" s="845"/>
      <c r="R65" s="40" t="s">
        <v>14</v>
      </c>
      <c r="S65" s="499">
        <v>253</v>
      </c>
      <c r="T65" s="510">
        <f t="shared" si="12"/>
        <v>6685</v>
      </c>
      <c r="U65" s="525">
        <f t="shared" si="13"/>
        <v>0</v>
      </c>
      <c r="V65" s="474"/>
    </row>
    <row r="66" spans="1:22" ht="16.2" thickBot="1" x14ac:dyDescent="0.35">
      <c r="A66" s="490"/>
      <c r="C66" s="97">
        <f>SUM(C57:C65)</f>
        <v>39.729999999999997</v>
      </c>
      <c r="D66" s="97">
        <f>SUM(D57:D65)</f>
        <v>40.269999999999989</v>
      </c>
      <c r="E66" s="97">
        <f>SUM(E57:E65)</f>
        <v>80</v>
      </c>
      <c r="F66" s="779" t="s">
        <v>507</v>
      </c>
      <c r="G66" s="779"/>
      <c r="H66" s="779"/>
      <c r="I66" s="97">
        <f>SUM(I57:I65)</f>
        <v>91713.98</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436.37</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2.0760000000000002E-3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432.37449999999995</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1.823E-3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436.37</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2.3509999999999998E-3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436.37</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2.0799999999999998E-3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436.37</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2.3549999999999999E-3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2.0799999999999998E-3</v>
      </c>
      <c r="I85" s="101">
        <f>ROUND(F85*H85,2)</f>
        <v>95994.240000000005</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2.0760000000000002E-3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2.3549999999999999E-3</v>
      </c>
      <c r="I90" s="101">
        <f>ROUND(F90*H90,2)</f>
        <v>44967.17</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2.3509999999999998E-3</v>
      </c>
      <c r="I92" s="101">
        <f t="shared" ref="I92:I96" si="14">ROUND(F92*H92,2)</f>
        <v>26946.99</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1.823E-3</v>
      </c>
      <c r="I94" s="101">
        <f t="shared" si="14"/>
        <v>466244.68</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1.823E-3</v>
      </c>
      <c r="I96" s="101">
        <f t="shared" si="14"/>
        <v>-30453.88</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2.0760000000000002E-3</v>
      </c>
      <c r="I98" s="101">
        <f t="shared" ref="I98" si="16">ROUND(F98*H98,2)</f>
        <v>423.22</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5.33</v>
      </c>
      <c r="D105" s="774"/>
      <c r="E105" s="46">
        <f>H8</f>
        <v>1.0407999999999999</v>
      </c>
      <c r="F105" s="302">
        <f>'1461'!F105</f>
        <v>907.92</v>
      </c>
      <c r="G105" s="39" t="s">
        <v>12</v>
      </c>
      <c r="H105" s="101">
        <f>ROUND(C105*E105*F105,2)</f>
        <v>5036.6499999999996</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427.04449999999997</v>
      </c>
      <c r="D106" s="774"/>
      <c r="E106" s="46">
        <f>H8</f>
        <v>1.0407999999999999</v>
      </c>
      <c r="F106" s="302">
        <f>'1461'!F106</f>
        <v>910.12</v>
      </c>
      <c r="G106" s="39" t="s">
        <v>12</v>
      </c>
      <c r="H106" s="94">
        <f>ROUND(C106*E106*F106,2)</f>
        <v>404519.14</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432.37449999999995</v>
      </c>
      <c r="D107" s="787"/>
      <c r="E107" s="123"/>
      <c r="F107" s="123"/>
      <c r="G107" s="123"/>
      <c r="H107" s="124" t="s">
        <v>100</v>
      </c>
      <c r="I107" s="101">
        <f>IF(A1=75,0,H106+H105+H104)</f>
        <v>409555.79000000004</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276</v>
      </c>
      <c r="D113" s="143">
        <v>308</v>
      </c>
      <c r="E113" s="116">
        <f>(C113+D113)/2</f>
        <v>292</v>
      </c>
      <c r="F113" s="126" t="s">
        <v>30</v>
      </c>
      <c r="G113" s="303">
        <f>'1461'!G113</f>
        <v>584</v>
      </c>
      <c r="I113" s="101">
        <f>ROUND(G113*E113,2)</f>
        <v>170528</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3674943.1700000009</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3535050.9700000007</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3535050.9700000007</v>
      </c>
      <c r="I135" s="94">
        <f>ROUND(IF(E30=0,0,IF(E30&gt;250,-(((250/E30)*H135)*IF(G135="H",0.02,0.05)),IF(G135="H",-0.02*H135,-0.05*H135))),2)</f>
        <v>-101263</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3573680.1700000009</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Payments'!Q90</f>
        <v>-3496818.64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76861.530000000726</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76861.53</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75489.55</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FFCCCC"/>
  </sheetPr>
  <dimension ref="A1:V221"/>
  <sheetViews>
    <sheetView workbookViewId="0">
      <selection activeCell="E31" sqref="E31"/>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122</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99.81</v>
      </c>
      <c r="D14" s="141">
        <v>97.12</v>
      </c>
      <c r="E14" s="187">
        <f>IF(D$30=0,C14*2,C14+D14)</f>
        <v>196.93</v>
      </c>
      <c r="F14" s="868">
        <f>'1461'!F14:G14</f>
        <v>1.1180000000000001</v>
      </c>
      <c r="G14" s="868"/>
      <c r="H14" s="145">
        <f>ROUND(E14*F14,4)</f>
        <v>220.1677</v>
      </c>
      <c r="I14" s="111">
        <f>ROUND(ROUND(ROUND(H14*$C$8,4)*($H$8),2)*(MAX($H$9,1)),2)</f>
        <v>1221596.96</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18</v>
      </c>
      <c r="D15" s="143">
        <v>21.5</v>
      </c>
      <c r="E15" s="116">
        <f t="shared" ref="E15:E29" si="1">IF(D$30=0,C15*2,C15+D15)</f>
        <v>39.5</v>
      </c>
      <c r="F15" s="859">
        <f>'1461'!F15:G15</f>
        <v>1.1180000000000001</v>
      </c>
      <c r="G15" s="859"/>
      <c r="H15" s="80">
        <f t="shared" ref="H15:H29" si="2">ROUND(E15*F15,4)</f>
        <v>44.161000000000001</v>
      </c>
      <c r="I15" s="101">
        <f t="shared" ref="I15:I29" si="3">ROUND(ROUND(ROUND(H15*$C$8,4)*($H$8),2)*(MAX($H$9,1)),2)</f>
        <v>245026.6</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47.68</v>
      </c>
      <c r="D16" s="143">
        <v>46.27</v>
      </c>
      <c r="E16" s="116">
        <f t="shared" si="1"/>
        <v>93.95</v>
      </c>
      <c r="F16" s="859">
        <f>'1461'!F16:G16</f>
        <v>1</v>
      </c>
      <c r="G16" s="859"/>
      <c r="H16" s="80">
        <f t="shared" si="2"/>
        <v>93.95</v>
      </c>
      <c r="I16" s="101">
        <f t="shared" si="3"/>
        <v>521280.07</v>
      </c>
      <c r="N16" s="818" t="s">
        <v>22</v>
      </c>
      <c r="O16" s="818"/>
      <c r="P16" s="860">
        <f t="shared" si="0"/>
        <v>0</v>
      </c>
      <c r="Q16" s="860"/>
      <c r="R16" s="864">
        <v>1</v>
      </c>
      <c r="S16" s="864"/>
      <c r="T16" s="95">
        <f t="shared" si="4"/>
        <v>0</v>
      </c>
      <c r="U16" s="523">
        <f t="shared" si="5"/>
        <v>0</v>
      </c>
    </row>
    <row r="17" spans="1:21" x14ac:dyDescent="0.3">
      <c r="A17" s="776" t="s">
        <v>23</v>
      </c>
      <c r="B17" s="776"/>
      <c r="C17" s="143">
        <v>15</v>
      </c>
      <c r="D17" s="143">
        <v>16</v>
      </c>
      <c r="E17" s="116">
        <f t="shared" si="1"/>
        <v>31</v>
      </c>
      <c r="F17" s="859">
        <f>'1461'!F17:G17</f>
        <v>1</v>
      </c>
      <c r="G17" s="859"/>
      <c r="H17" s="80">
        <f t="shared" si="2"/>
        <v>31</v>
      </c>
      <c r="I17" s="101">
        <f t="shared" si="3"/>
        <v>172003</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11.69</v>
      </c>
      <c r="D26" s="143">
        <v>11.36</v>
      </c>
      <c r="E26" s="116">
        <f t="shared" si="1"/>
        <v>23.049999999999997</v>
      </c>
      <c r="F26" s="859">
        <f>'1461'!F26:G26</f>
        <v>1.1919999999999999</v>
      </c>
      <c r="G26" s="859"/>
      <c r="H26" s="80">
        <f t="shared" si="2"/>
        <v>27.4756</v>
      </c>
      <c r="I26" s="101">
        <f t="shared" si="3"/>
        <v>152447.93</v>
      </c>
      <c r="N26" s="818" t="s">
        <v>85</v>
      </c>
      <c r="O26" s="818"/>
      <c r="P26" s="860">
        <f t="shared" si="0"/>
        <v>0</v>
      </c>
      <c r="Q26" s="860"/>
      <c r="R26" s="864">
        <v>1</v>
      </c>
      <c r="S26" s="864"/>
      <c r="T26" s="95">
        <f t="shared" si="4"/>
        <v>0</v>
      </c>
      <c r="U26" s="523">
        <f t="shared" si="5"/>
        <v>0</v>
      </c>
    </row>
    <row r="27" spans="1:21" x14ac:dyDescent="0.3">
      <c r="A27" s="776" t="s">
        <v>86</v>
      </c>
      <c r="B27" s="776"/>
      <c r="C27" s="143">
        <v>2.83</v>
      </c>
      <c r="D27" s="143">
        <v>2.75</v>
      </c>
      <c r="E27" s="116">
        <f t="shared" si="1"/>
        <v>5.58</v>
      </c>
      <c r="F27" s="859">
        <f>'1461'!F27:G27</f>
        <v>1.1919999999999999</v>
      </c>
      <c r="G27" s="859"/>
      <c r="H27" s="80">
        <f t="shared" si="2"/>
        <v>6.6513999999999998</v>
      </c>
      <c r="I27" s="101">
        <f t="shared" si="3"/>
        <v>36905.19</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195.01000000000002</v>
      </c>
      <c r="D30" s="94">
        <f>SUM(D14:D29)</f>
        <v>195</v>
      </c>
      <c r="E30" s="94">
        <f>SUM(E14:E29)</f>
        <v>390.01</v>
      </c>
      <c r="F30" s="795"/>
      <c r="G30" s="795"/>
      <c r="H30" s="99">
        <f>SUM(H14:H29)</f>
        <v>423.40570000000002</v>
      </c>
      <c r="I30" s="94">
        <f>SUM(I14:I29)</f>
        <v>2349259.75</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423.40570000000002</v>
      </c>
      <c r="F46" s="34"/>
      <c r="G46" s="106"/>
      <c r="H46" s="107" t="s">
        <v>98</v>
      </c>
      <c r="I46" s="94">
        <f>SUM(I44,I30)</f>
        <v>2349259.75</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2243858.5099999998</v>
      </c>
      <c r="G51" s="109" t="s">
        <v>6</v>
      </c>
      <c r="H51" s="452">
        <v>5.5899999999999998E-2</v>
      </c>
      <c r="I51" s="101">
        <f>ROUND(F51*H51,2)</f>
        <v>125431.69</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2243858.5099999998</v>
      </c>
      <c r="G52" s="109" t="s">
        <v>6</v>
      </c>
      <c r="H52" s="452">
        <v>1.0699999999999999E-2</v>
      </c>
      <c r="I52" s="101">
        <f>ROUND(F52*H52,2)</f>
        <v>24009.29</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149440.98000000001</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16.5</v>
      </c>
      <c r="D57" s="143">
        <v>19.71</v>
      </c>
      <c r="E57" s="116">
        <f t="shared" ref="E57:E65" si="10">IF(D$66=0,C57*2,C57+D57)</f>
        <v>36.21</v>
      </c>
      <c r="F57" s="493" t="s">
        <v>498</v>
      </c>
      <c r="G57" s="493">
        <v>251</v>
      </c>
      <c r="H57" s="507">
        <f>'1461'!H57</f>
        <v>1047</v>
      </c>
      <c r="I57" s="101">
        <f>ROUND(E57*H57,2)</f>
        <v>37911.870000000003</v>
      </c>
      <c r="N57" s="849" t="s">
        <v>506</v>
      </c>
      <c r="O57" s="849"/>
      <c r="P57" s="851"/>
      <c r="Q57" s="851"/>
      <c r="R57" s="499" t="s">
        <v>498</v>
      </c>
      <c r="S57" s="499">
        <v>251</v>
      </c>
      <c r="T57" s="510">
        <f>H57</f>
        <v>1047</v>
      </c>
      <c r="U57" s="524">
        <f>ROUND(P57*T57,2)</f>
        <v>0</v>
      </c>
      <c r="V57" s="474"/>
    </row>
    <row r="58" spans="1:22" x14ac:dyDescent="0.3">
      <c r="A58" s="792"/>
      <c r="B58" s="792"/>
      <c r="C58" s="143">
        <v>1.5</v>
      </c>
      <c r="D58" s="143">
        <v>1.79</v>
      </c>
      <c r="E58" s="116">
        <f t="shared" si="10"/>
        <v>3.29</v>
      </c>
      <c r="F58" s="493" t="s">
        <v>498</v>
      </c>
      <c r="G58" s="493">
        <v>252</v>
      </c>
      <c r="H58" s="507">
        <f>'1461'!H58</f>
        <v>3380</v>
      </c>
      <c r="I58" s="101">
        <f t="shared" ref="I58:I65" si="11">ROUND(E58*H58,2)</f>
        <v>11120.2</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14</v>
      </c>
      <c r="D60" s="143">
        <v>14.93</v>
      </c>
      <c r="E60" s="116">
        <f t="shared" si="10"/>
        <v>28.93</v>
      </c>
      <c r="F60" s="494" t="s">
        <v>13</v>
      </c>
      <c r="G60" s="493">
        <v>251</v>
      </c>
      <c r="H60" s="507">
        <f>'1461'!H60</f>
        <v>1173</v>
      </c>
      <c r="I60" s="101">
        <f t="shared" si="11"/>
        <v>33934.89</v>
      </c>
      <c r="N60" s="850"/>
      <c r="O60" s="850"/>
      <c r="P60" s="844"/>
      <c r="Q60" s="844"/>
      <c r="R60" s="40" t="s">
        <v>13</v>
      </c>
      <c r="S60" s="499">
        <v>251</v>
      </c>
      <c r="T60" s="510">
        <f t="shared" si="12"/>
        <v>1173</v>
      </c>
      <c r="U60" s="524">
        <f t="shared" si="13"/>
        <v>0</v>
      </c>
      <c r="V60" s="474"/>
    </row>
    <row r="61" spans="1:22" x14ac:dyDescent="0.3">
      <c r="A61" s="792"/>
      <c r="B61" s="792"/>
      <c r="C61" s="143">
        <v>1</v>
      </c>
      <c r="D61" s="143">
        <v>1.07</v>
      </c>
      <c r="E61" s="116">
        <f t="shared" si="10"/>
        <v>2.0700000000000003</v>
      </c>
      <c r="F61" s="494" t="s">
        <v>13</v>
      </c>
      <c r="G61" s="493">
        <v>252</v>
      </c>
      <c r="H61" s="507">
        <f>'1461'!H61</f>
        <v>3506</v>
      </c>
      <c r="I61" s="101">
        <f t="shared" si="11"/>
        <v>7257.42</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33</v>
      </c>
      <c r="D66" s="97">
        <f>SUM(D57:D65)</f>
        <v>37.5</v>
      </c>
      <c r="E66" s="97">
        <f>SUM(E57:E65)</f>
        <v>70.5</v>
      </c>
      <c r="F66" s="779" t="s">
        <v>507</v>
      </c>
      <c r="G66" s="779"/>
      <c r="H66" s="779"/>
      <c r="I66" s="97">
        <f>SUM(I57:I65)</f>
        <v>90224.38</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390.01</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1.856E-3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423.40570000000002</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1.7849999999999999E-3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390.01</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2.101E-3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390.01</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1.859E-3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390.01</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2.1050000000000001E-3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1.859E-3</v>
      </c>
      <c r="I85" s="101">
        <f>ROUND(F85*H85,2)</f>
        <v>85794.86</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1.856E-3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2.1050000000000001E-3</v>
      </c>
      <c r="I90" s="101">
        <f>ROUND(F90*H90,2)</f>
        <v>40193.589999999997</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2.101E-3</v>
      </c>
      <c r="I92" s="101">
        <f t="shared" ref="I92:I96" si="14">ROUND(F92*H92,2)</f>
        <v>24081.51</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1.7849999999999999E-3</v>
      </c>
      <c r="I94" s="101">
        <f t="shared" si="14"/>
        <v>456525.92</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1.7849999999999999E-3</v>
      </c>
      <c r="I96" s="101">
        <f t="shared" si="14"/>
        <v>-29819.08</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1.856E-3</v>
      </c>
      <c r="I98" s="101">
        <f t="shared" ref="I98" si="16">ROUND(F98*H98,2)</f>
        <v>378.37</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291.80430000000001</v>
      </c>
      <c r="D104" s="774"/>
      <c r="E104" s="46">
        <f>H8</f>
        <v>1.0407999999999999</v>
      </c>
      <c r="F104" s="302">
        <f>'1461'!F104</f>
        <v>950.92</v>
      </c>
      <c r="G104" s="39" t="s">
        <v>12</v>
      </c>
      <c r="H104" s="101">
        <f>ROUND(C104*E104*F104,2)</f>
        <v>288803.83</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131.60140000000001</v>
      </c>
      <c r="D105" s="774"/>
      <c r="E105" s="46">
        <f>H8</f>
        <v>1.0407999999999999</v>
      </c>
      <c r="F105" s="302">
        <f>'1461'!F105</f>
        <v>907.92</v>
      </c>
      <c r="G105" s="39" t="s">
        <v>12</v>
      </c>
      <c r="H105" s="101">
        <f>ROUND(C105*E105*F105,2)</f>
        <v>124358.47</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423.40570000000002</v>
      </c>
      <c r="D107" s="787"/>
      <c r="E107" s="123"/>
      <c r="F107" s="123"/>
      <c r="G107" s="123"/>
      <c r="H107" s="124" t="s">
        <v>100</v>
      </c>
      <c r="I107" s="101">
        <f>IF(A1=75,0,H106+H105+H104)</f>
        <v>413162.30000000005</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3429801.5999999996</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3280360.6199999996</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3280360.6199999996</v>
      </c>
      <c r="I135" s="94">
        <f>ROUND(IF(E30=0,0,IF(E30&gt;250,-(((250/E30)*H135)*IF(G135="H",0.02,0.05)),IF(G135="H",-0.02*H135,-0.05*H135))),2)</f>
        <v>-42054.83</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3387746.7699999996</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Payments'!Q91</f>
        <v>-3393187.68</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-5440.9100000006147</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-5440.91</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23552.38</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rgb="FFFFCCCC"/>
  </sheetPr>
  <dimension ref="A1:V221"/>
  <sheetViews>
    <sheetView topLeftCell="A130" workbookViewId="0">
      <selection activeCell="E32" sqref="E32"/>
    </sheetView>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187.48</v>
      </c>
      <c r="D18" s="143">
        <v>212.82</v>
      </c>
      <c r="E18" s="116">
        <f t="shared" si="1"/>
        <v>400.29999999999995</v>
      </c>
      <c r="F18" s="859">
        <f>'1461'!F18:G18</f>
        <v>0.97799999999999998</v>
      </c>
      <c r="G18" s="859"/>
      <c r="H18" s="80">
        <f t="shared" si="2"/>
        <v>391.49340000000001</v>
      </c>
      <c r="I18" s="101">
        <f t="shared" si="3"/>
        <v>2172194.86</v>
      </c>
      <c r="N18" s="818" t="s">
        <v>24</v>
      </c>
      <c r="O18" s="818"/>
      <c r="P18" s="860">
        <f t="shared" si="0"/>
        <v>0</v>
      </c>
      <c r="Q18" s="860"/>
      <c r="R18" s="864">
        <v>1</v>
      </c>
      <c r="S18" s="864"/>
      <c r="T18" s="95">
        <f t="shared" si="4"/>
        <v>0</v>
      </c>
      <c r="U18" s="523">
        <f t="shared" si="5"/>
        <v>0</v>
      </c>
    </row>
    <row r="19" spans="1:21" x14ac:dyDescent="0.3">
      <c r="A19" s="776" t="s">
        <v>25</v>
      </c>
      <c r="B19" s="776"/>
      <c r="C19" s="143">
        <v>44.25</v>
      </c>
      <c r="D19" s="143">
        <v>49.7</v>
      </c>
      <c r="E19" s="116">
        <f t="shared" si="1"/>
        <v>93.95</v>
      </c>
      <c r="F19" s="859">
        <f>'1461'!F19:G19</f>
        <v>0.97799999999999998</v>
      </c>
      <c r="G19" s="859"/>
      <c r="H19" s="80">
        <f t="shared" si="2"/>
        <v>91.883099999999999</v>
      </c>
      <c r="I19" s="101">
        <f t="shared" si="3"/>
        <v>509811.91</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4.47</v>
      </c>
      <c r="D28" s="143">
        <v>21.24</v>
      </c>
      <c r="E28" s="116">
        <f t="shared" si="1"/>
        <v>25.709999999999997</v>
      </c>
      <c r="F28" s="859">
        <f>'1461'!F28:G28</f>
        <v>1.1919999999999999</v>
      </c>
      <c r="G28" s="859"/>
      <c r="H28" s="80">
        <f t="shared" si="2"/>
        <v>30.6463</v>
      </c>
      <c r="I28" s="101">
        <f t="shared" si="3"/>
        <v>170040.5</v>
      </c>
      <c r="N28" s="818" t="s">
        <v>87</v>
      </c>
      <c r="O28" s="818"/>
      <c r="P28" s="860">
        <f t="shared" si="0"/>
        <v>0</v>
      </c>
      <c r="Q28" s="860"/>
      <c r="R28" s="864">
        <v>1</v>
      </c>
      <c r="S28" s="864"/>
      <c r="T28" s="95">
        <f t="shared" si="4"/>
        <v>0</v>
      </c>
      <c r="U28" s="523">
        <f t="shared" si="5"/>
        <v>0</v>
      </c>
    </row>
    <row r="29" spans="1:21" x14ac:dyDescent="0.3">
      <c r="A29" s="776" t="s">
        <v>88</v>
      </c>
      <c r="B29" s="776"/>
      <c r="C29" s="110">
        <v>2.9</v>
      </c>
      <c r="D29" s="110">
        <v>2.48</v>
      </c>
      <c r="E29" s="154">
        <f t="shared" si="1"/>
        <v>5.38</v>
      </c>
      <c r="F29" s="859">
        <f>'1461'!F29:G29</f>
        <v>1.079</v>
      </c>
      <c r="G29" s="859"/>
      <c r="H29" s="93">
        <f t="shared" si="2"/>
        <v>5.8049999999999997</v>
      </c>
      <c r="I29" s="94">
        <f t="shared" si="3"/>
        <v>32208.95</v>
      </c>
      <c r="N29" s="819" t="s">
        <v>88</v>
      </c>
      <c r="O29" s="819"/>
      <c r="P29" s="860">
        <f t="shared" si="0"/>
        <v>0</v>
      </c>
      <c r="Q29" s="860"/>
      <c r="R29" s="861">
        <v>1</v>
      </c>
      <c r="S29" s="861"/>
      <c r="T29" s="95">
        <f t="shared" si="4"/>
        <v>0</v>
      </c>
      <c r="U29" s="523">
        <f t="shared" si="5"/>
        <v>0</v>
      </c>
    </row>
    <row r="30" spans="1:21" x14ac:dyDescent="0.3">
      <c r="A30" s="779" t="s">
        <v>5</v>
      </c>
      <c r="B30" s="779"/>
      <c r="C30" s="94">
        <f>SUM(C14:C29)</f>
        <v>239.1</v>
      </c>
      <c r="D30" s="94">
        <f>SUM(D14:D29)</f>
        <v>286.24</v>
      </c>
      <c r="E30" s="94">
        <f>SUM(E14:E29)</f>
        <v>525.33999999999992</v>
      </c>
      <c r="F30" s="795"/>
      <c r="G30" s="795"/>
      <c r="H30" s="99">
        <f>SUM(H14:H29)</f>
        <v>519.82780000000002</v>
      </c>
      <c r="I30" s="94">
        <f>SUM(I14:I29)</f>
        <v>2884256.22</v>
      </c>
      <c r="N30" s="862" t="s">
        <v>5</v>
      </c>
      <c r="O30" s="862"/>
      <c r="P30" s="863">
        <f>SUM(P14:P29)</f>
        <v>0</v>
      </c>
      <c r="Q30" s="863"/>
      <c r="R30" s="852"/>
      <c r="S30" s="852"/>
      <c r="T30" s="100">
        <f>SUM(T14:T29)</f>
        <v>0</v>
      </c>
      <c r="U30" s="523">
        <f>SUM(U14:U29)</f>
        <v>0</v>
      </c>
    </row>
    <row r="31" spans="1:21" x14ac:dyDescent="0.3">
      <c r="A31" s="26"/>
      <c r="B31" s="26"/>
      <c r="C31" s="101"/>
      <c r="D31" s="101"/>
      <c r="E31" s="101" t="e">
        <f>E30-#REF!</f>
        <v>#REF!</v>
      </c>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519.82780000000002</v>
      </c>
      <c r="F46" s="34"/>
      <c r="G46" s="106"/>
      <c r="H46" s="107" t="s">
        <v>98</v>
      </c>
      <c r="I46" s="94">
        <f>SUM(I44,I30)</f>
        <v>2884256.22</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2233709.7999999998</v>
      </c>
      <c r="G51" s="109" t="s">
        <v>6</v>
      </c>
      <c r="H51" s="452">
        <v>5.5899999999999998E-2</v>
      </c>
      <c r="I51" s="101">
        <f>ROUND(F51*H51,2)</f>
        <v>124864.38</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2233709.7999999998</v>
      </c>
      <c r="G52" s="109" t="s">
        <v>6</v>
      </c>
      <c r="H52" s="452">
        <v>1.0699999999999999E-2</v>
      </c>
      <c r="I52" s="101">
        <f>ROUND(F52*H52,2)</f>
        <v>23900.69</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148765.07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39.75</v>
      </c>
      <c r="D63" s="143">
        <v>44.65</v>
      </c>
      <c r="E63" s="116">
        <f t="shared" si="10"/>
        <v>84.4</v>
      </c>
      <c r="F63" s="494" t="s">
        <v>14</v>
      </c>
      <c r="G63" s="493">
        <v>251</v>
      </c>
      <c r="H63" s="507">
        <f>'1461'!H63</f>
        <v>835</v>
      </c>
      <c r="I63" s="101">
        <f t="shared" si="11"/>
        <v>70474</v>
      </c>
      <c r="N63" s="850"/>
      <c r="O63" s="850"/>
      <c r="P63" s="844"/>
      <c r="Q63" s="844"/>
      <c r="R63" s="40" t="s">
        <v>14</v>
      </c>
      <c r="S63" s="499">
        <v>251</v>
      </c>
      <c r="T63" s="510">
        <f t="shared" si="12"/>
        <v>835</v>
      </c>
      <c r="U63" s="524">
        <f t="shared" si="13"/>
        <v>0</v>
      </c>
      <c r="V63" s="474"/>
    </row>
    <row r="64" spans="1:22" x14ac:dyDescent="0.3">
      <c r="A64" s="792"/>
      <c r="B64" s="792"/>
      <c r="C64" s="143">
        <v>4</v>
      </c>
      <c r="D64" s="143">
        <v>4.49</v>
      </c>
      <c r="E64" s="116">
        <f t="shared" si="10"/>
        <v>8.49</v>
      </c>
      <c r="F64" s="494" t="s">
        <v>14</v>
      </c>
      <c r="G64" s="493">
        <v>252</v>
      </c>
      <c r="H64" s="507">
        <f>'1461'!H64</f>
        <v>3168</v>
      </c>
      <c r="I64" s="101">
        <f t="shared" si="11"/>
        <v>26896.32</v>
      </c>
      <c r="N64" s="850"/>
      <c r="O64" s="850"/>
      <c r="P64" s="844"/>
      <c r="Q64" s="844"/>
      <c r="R64" s="40" t="s">
        <v>14</v>
      </c>
      <c r="S64" s="499">
        <v>252</v>
      </c>
      <c r="T64" s="510">
        <f t="shared" si="12"/>
        <v>3168</v>
      </c>
      <c r="U64" s="524">
        <f t="shared" si="13"/>
        <v>0</v>
      </c>
      <c r="V64" s="474"/>
    </row>
    <row r="65" spans="1:22" ht="16.2" thickBot="1" x14ac:dyDescent="0.35">
      <c r="A65" s="792"/>
      <c r="B65" s="792"/>
      <c r="C65" s="143">
        <v>0.5</v>
      </c>
      <c r="D65" s="143">
        <v>0.56000000000000005</v>
      </c>
      <c r="E65" s="116">
        <f t="shared" si="10"/>
        <v>1.06</v>
      </c>
      <c r="F65" s="494" t="s">
        <v>14</v>
      </c>
      <c r="G65" s="493">
        <v>253</v>
      </c>
      <c r="H65" s="507">
        <f>'1461'!H65</f>
        <v>6685</v>
      </c>
      <c r="I65" s="101">
        <f t="shared" si="11"/>
        <v>7086.1</v>
      </c>
      <c r="N65" s="850"/>
      <c r="O65" s="850"/>
      <c r="P65" s="845"/>
      <c r="Q65" s="845"/>
      <c r="R65" s="40" t="s">
        <v>14</v>
      </c>
      <c r="S65" s="499">
        <v>253</v>
      </c>
      <c r="T65" s="510">
        <f t="shared" si="12"/>
        <v>6685</v>
      </c>
      <c r="U65" s="525">
        <f t="shared" si="13"/>
        <v>0</v>
      </c>
      <c r="V65" s="474"/>
    </row>
    <row r="66" spans="1:22" ht="16.2" thickBot="1" x14ac:dyDescent="0.35">
      <c r="A66" s="490"/>
      <c r="C66" s="97">
        <f>SUM(C57:C65)</f>
        <v>44.25</v>
      </c>
      <c r="D66" s="97">
        <f>SUM(D57:D65)</f>
        <v>49.7</v>
      </c>
      <c r="E66" s="97">
        <f>SUM(E57:E65)</f>
        <v>93.95</v>
      </c>
      <c r="F66" s="779" t="s">
        <v>507</v>
      </c>
      <c r="G66" s="779"/>
      <c r="H66" s="779"/>
      <c r="I66" s="97">
        <f>SUM(I57:I65)</f>
        <v>104456.42000000001</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525.33999999999992</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2.5000000000000001E-3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519.82780000000002</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2.1919999999999999E-3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525.33999999999992</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2.8310000000000002E-3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525.33999999999992</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2.5040000000000001E-3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525.33999999999992</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2.836E-3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2.5040000000000001E-3</v>
      </c>
      <c r="I85" s="101">
        <f>ROUND(F85*H85,2)</f>
        <v>115562.3</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2.5000000000000001E-3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2.836E-3</v>
      </c>
      <c r="I90" s="101">
        <f>ROUND(F90*H90,2)</f>
        <v>54151.55</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2.8310000000000002E-3</v>
      </c>
      <c r="I92" s="101">
        <f t="shared" ref="I92:I96" si="14">ROUND(F92*H92,2)</f>
        <v>32448.720000000001</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2.1919999999999999E-3</v>
      </c>
      <c r="I94" s="101">
        <f t="shared" si="14"/>
        <v>560618.93999999994</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2.1919999999999999E-3</v>
      </c>
      <c r="I96" s="101">
        <f t="shared" si="14"/>
        <v>-36618.160000000003</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2.5000000000000001E-3</v>
      </c>
      <c r="I98" s="101">
        <f t="shared" ref="I98" si="16">ROUND(F98*H98,2)</f>
        <v>509.66</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519.82780000000002</v>
      </c>
      <c r="D106" s="774"/>
      <c r="E106" s="46">
        <f>H8</f>
        <v>1.0407999999999999</v>
      </c>
      <c r="F106" s="302">
        <f>'1461'!F106</f>
        <v>910.12</v>
      </c>
      <c r="G106" s="39" t="s">
        <v>12</v>
      </c>
      <c r="H106" s="94">
        <f>ROUND(C106*E106*F106,2)</f>
        <v>492408.39</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519.82780000000002</v>
      </c>
      <c r="D107" s="787"/>
      <c r="E107" s="123"/>
      <c r="F107" s="123"/>
      <c r="G107" s="123"/>
      <c r="H107" s="124" t="s">
        <v>100</v>
      </c>
      <c r="I107" s="101">
        <f>IF(A1=75,0,H106+H105+H104)</f>
        <v>492408.39</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149</v>
      </c>
      <c r="D113" s="143">
        <v>39</v>
      </c>
      <c r="E113" s="116">
        <f>(C113+D113)/2</f>
        <v>94</v>
      </c>
      <c r="F113" s="126" t="s">
        <v>30</v>
      </c>
      <c r="G113" s="303">
        <f>'1461'!G113</f>
        <v>584</v>
      </c>
      <c r="I113" s="101">
        <f>ROUND(G113*E113,2)</f>
        <v>54896</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4262690.04</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4113924.97</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4113924.97</v>
      </c>
      <c r="I135" s="94">
        <f>ROUND(IF(E30=0,0,IF(E30&gt;250,-(((250/E30)*H135)*IF(G135="H",0.02,0.05)),IF(G135="H",-0.02*H135,-0.05*H135))),2)</f>
        <v>-97887.2</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4164802.84</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Payments'!Q92</f>
        <v>-3824239.7499999991</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340563.09000000078</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340563.09</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107809.05</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rgb="FFFFCCCC"/>
  </sheetPr>
  <dimension ref="A1:V221"/>
  <sheetViews>
    <sheetView topLeftCell="A108"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124</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182.54</v>
      </c>
      <c r="D14" s="141">
        <v>175.93</v>
      </c>
      <c r="E14" s="187">
        <f>IF(D$30=0,C14*2,C14+D14)</f>
        <v>358.47</v>
      </c>
      <c r="F14" s="868">
        <f>'1461'!F14:G14</f>
        <v>1.1180000000000001</v>
      </c>
      <c r="G14" s="868"/>
      <c r="H14" s="145">
        <f>ROUND(E14*F14,4)</f>
        <v>400.76949999999999</v>
      </c>
      <c r="I14" s="111">
        <f>ROUND(ROUND(ROUND(H14*$C$8,4)*($H$8),2)*(MAX($H$9,1)),2)</f>
        <v>2223663.15</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28.46</v>
      </c>
      <c r="D15" s="143">
        <v>29</v>
      </c>
      <c r="E15" s="116">
        <f t="shared" ref="E15:E29" si="1">IF(D$30=0,C15*2,C15+D15)</f>
        <v>57.46</v>
      </c>
      <c r="F15" s="859">
        <f>'1461'!F15:G15</f>
        <v>1.1180000000000001</v>
      </c>
      <c r="G15" s="859"/>
      <c r="H15" s="80">
        <f t="shared" ref="H15:H29" si="2">ROUND(E15*F15,4)</f>
        <v>64.240300000000005</v>
      </c>
      <c r="I15" s="101">
        <f t="shared" ref="I15:I29" si="3">ROUND(ROUND(ROUND(H15*$C$8,4)*($H$8),2)*(MAX($H$9,1)),2)</f>
        <v>356436.28</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218.17</v>
      </c>
      <c r="D16" s="143">
        <v>213.57</v>
      </c>
      <c r="E16" s="116">
        <f t="shared" si="1"/>
        <v>431.74</v>
      </c>
      <c r="F16" s="859">
        <f>'1461'!F16:G16</f>
        <v>1</v>
      </c>
      <c r="G16" s="859"/>
      <c r="H16" s="80">
        <f t="shared" si="2"/>
        <v>431.74</v>
      </c>
      <c r="I16" s="101">
        <f t="shared" si="3"/>
        <v>2395502.48</v>
      </c>
      <c r="N16" s="818" t="s">
        <v>22</v>
      </c>
      <c r="O16" s="818"/>
      <c r="P16" s="860">
        <f t="shared" si="0"/>
        <v>0</v>
      </c>
      <c r="Q16" s="860"/>
      <c r="R16" s="864">
        <v>1</v>
      </c>
      <c r="S16" s="864"/>
      <c r="T16" s="95">
        <f t="shared" si="4"/>
        <v>0</v>
      </c>
      <c r="U16" s="523">
        <f t="shared" si="5"/>
        <v>0</v>
      </c>
    </row>
    <row r="17" spans="1:21" x14ac:dyDescent="0.3">
      <c r="A17" s="776" t="s">
        <v>23</v>
      </c>
      <c r="B17" s="776"/>
      <c r="C17" s="143">
        <v>33.5</v>
      </c>
      <c r="D17" s="143">
        <v>33.049999999999997</v>
      </c>
      <c r="E17" s="116">
        <f t="shared" si="1"/>
        <v>66.55</v>
      </c>
      <c r="F17" s="859">
        <f>'1461'!F17:G17</f>
        <v>1</v>
      </c>
      <c r="G17" s="859"/>
      <c r="H17" s="80">
        <f t="shared" si="2"/>
        <v>66.55</v>
      </c>
      <c r="I17" s="101">
        <f t="shared" si="3"/>
        <v>369251.61</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34.380000000000003</v>
      </c>
      <c r="D26" s="143">
        <v>33.700000000000003</v>
      </c>
      <c r="E26" s="116">
        <f t="shared" si="1"/>
        <v>68.080000000000013</v>
      </c>
      <c r="F26" s="859">
        <f>'1461'!F26:G26</f>
        <v>1.1919999999999999</v>
      </c>
      <c r="G26" s="859"/>
      <c r="H26" s="80">
        <f t="shared" si="2"/>
        <v>81.151399999999995</v>
      </c>
      <c r="I26" s="101">
        <f t="shared" si="3"/>
        <v>450267.24</v>
      </c>
      <c r="N26" s="818" t="s">
        <v>85</v>
      </c>
      <c r="O26" s="818"/>
      <c r="P26" s="860">
        <f t="shared" si="0"/>
        <v>0</v>
      </c>
      <c r="Q26" s="860"/>
      <c r="R26" s="864">
        <v>1</v>
      </c>
      <c r="S26" s="864"/>
      <c r="T26" s="95">
        <f t="shared" si="4"/>
        <v>0</v>
      </c>
      <c r="U26" s="523">
        <f t="shared" si="5"/>
        <v>0</v>
      </c>
    </row>
    <row r="27" spans="1:21" x14ac:dyDescent="0.3">
      <c r="A27" s="776" t="s">
        <v>86</v>
      </c>
      <c r="B27" s="776"/>
      <c r="C27" s="143">
        <v>9.5399999999999991</v>
      </c>
      <c r="D27" s="143">
        <v>9.34</v>
      </c>
      <c r="E27" s="116">
        <f t="shared" si="1"/>
        <v>18.88</v>
      </c>
      <c r="F27" s="859">
        <f>'1461'!F27:G27</f>
        <v>1.1919999999999999</v>
      </c>
      <c r="G27" s="859"/>
      <c r="H27" s="80">
        <f t="shared" si="2"/>
        <v>22.504999999999999</v>
      </c>
      <c r="I27" s="101">
        <f t="shared" si="3"/>
        <v>124868.63</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506.59</v>
      </c>
      <c r="D30" s="94">
        <f>SUM(D14:D29)</f>
        <v>494.59</v>
      </c>
      <c r="E30" s="94">
        <f>SUM(E14:E29)</f>
        <v>1001.1800000000001</v>
      </c>
      <c r="F30" s="795"/>
      <c r="G30" s="795"/>
      <c r="H30" s="99">
        <f>SUM(H14:H29)</f>
        <v>1066.9562000000001</v>
      </c>
      <c r="I30" s="94">
        <f>SUM(I14:I29)</f>
        <v>5919989.3900000006</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1066.9562000000001</v>
      </c>
      <c r="F46" s="34"/>
      <c r="G46" s="106"/>
      <c r="H46" s="107" t="s">
        <v>98</v>
      </c>
      <c r="I46" s="94">
        <f>SUM(I44,I30)</f>
        <v>5919989.3900000006</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5801835.5199999996</v>
      </c>
      <c r="G51" s="109" t="s">
        <v>6</v>
      </c>
      <c r="H51" s="452">
        <v>5.5899999999999998E-2</v>
      </c>
      <c r="I51" s="101">
        <f>ROUND(F51*H51,2)</f>
        <v>324322.61</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5801835.5199999996</v>
      </c>
      <c r="G52" s="109" t="s">
        <v>6</v>
      </c>
      <c r="H52" s="452">
        <v>1.0699999999999999E-2</v>
      </c>
      <c r="I52" s="101">
        <f>ROUND(F52*H52,2)</f>
        <v>62079.64</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386402.25</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24.459999999999997</v>
      </c>
      <c r="D57" s="143">
        <v>24.93</v>
      </c>
      <c r="E57" s="116">
        <f t="shared" ref="E57:E65" si="10">IF(D$66=0,C57*2,C57+D57)</f>
        <v>49.39</v>
      </c>
      <c r="F57" s="493" t="s">
        <v>498</v>
      </c>
      <c r="G57" s="493">
        <v>251</v>
      </c>
      <c r="H57" s="507">
        <f>'1461'!H57</f>
        <v>1047</v>
      </c>
      <c r="I57" s="101">
        <f>ROUND(E57*H57,2)</f>
        <v>51711.33</v>
      </c>
      <c r="N57" s="849" t="s">
        <v>506</v>
      </c>
      <c r="O57" s="849"/>
      <c r="P57" s="851"/>
      <c r="Q57" s="851"/>
      <c r="R57" s="499" t="s">
        <v>498</v>
      </c>
      <c r="S57" s="499">
        <v>251</v>
      </c>
      <c r="T57" s="510">
        <f>H57</f>
        <v>1047</v>
      </c>
      <c r="U57" s="524">
        <f>ROUND(P57*T57,2)</f>
        <v>0</v>
      </c>
      <c r="V57" s="474"/>
    </row>
    <row r="58" spans="1:22" x14ac:dyDescent="0.3">
      <c r="A58" s="792"/>
      <c r="B58" s="792"/>
      <c r="C58" s="143">
        <v>3.5</v>
      </c>
      <c r="D58" s="143">
        <v>3.56</v>
      </c>
      <c r="E58" s="116">
        <f t="shared" si="10"/>
        <v>7.0600000000000005</v>
      </c>
      <c r="F58" s="493" t="s">
        <v>498</v>
      </c>
      <c r="G58" s="493">
        <v>252</v>
      </c>
      <c r="H58" s="507">
        <f>'1461'!H58</f>
        <v>3380</v>
      </c>
      <c r="I58" s="101">
        <f t="shared" ref="I58:I65" si="11">ROUND(E58*H58,2)</f>
        <v>23862.799999999999</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0.5</v>
      </c>
      <c r="D59" s="143">
        <v>0.51</v>
      </c>
      <c r="E59" s="116">
        <f t="shared" si="10"/>
        <v>1.01</v>
      </c>
      <c r="F59" s="493" t="s">
        <v>498</v>
      </c>
      <c r="G59" s="493">
        <v>253</v>
      </c>
      <c r="H59" s="507">
        <f>'1461'!H59</f>
        <v>6896</v>
      </c>
      <c r="I59" s="101">
        <f t="shared" si="11"/>
        <v>6964.96</v>
      </c>
      <c r="N59" s="850"/>
      <c r="O59" s="850"/>
      <c r="P59" s="844"/>
      <c r="Q59" s="844"/>
      <c r="R59" s="499" t="s">
        <v>498</v>
      </c>
      <c r="S59" s="499">
        <v>253</v>
      </c>
      <c r="T59" s="510">
        <f t="shared" si="12"/>
        <v>6896</v>
      </c>
      <c r="U59" s="524">
        <f t="shared" si="13"/>
        <v>0</v>
      </c>
      <c r="V59" s="474"/>
    </row>
    <row r="60" spans="1:22" x14ac:dyDescent="0.3">
      <c r="A60" s="792"/>
      <c r="B60" s="792"/>
      <c r="C60" s="143">
        <v>27</v>
      </c>
      <c r="D60" s="143">
        <v>26.64</v>
      </c>
      <c r="E60" s="116">
        <f t="shared" si="10"/>
        <v>53.64</v>
      </c>
      <c r="F60" s="494" t="s">
        <v>13</v>
      </c>
      <c r="G60" s="493">
        <v>251</v>
      </c>
      <c r="H60" s="507">
        <f>'1461'!H60</f>
        <v>1173</v>
      </c>
      <c r="I60" s="101">
        <f t="shared" si="11"/>
        <v>62919.72</v>
      </c>
      <c r="N60" s="850"/>
      <c r="O60" s="850"/>
      <c r="P60" s="844"/>
      <c r="Q60" s="844"/>
      <c r="R60" s="40" t="s">
        <v>13</v>
      </c>
      <c r="S60" s="499">
        <v>251</v>
      </c>
      <c r="T60" s="510">
        <f t="shared" si="12"/>
        <v>1173</v>
      </c>
      <c r="U60" s="524">
        <f t="shared" si="13"/>
        <v>0</v>
      </c>
      <c r="V60" s="474"/>
    </row>
    <row r="61" spans="1:22" x14ac:dyDescent="0.3">
      <c r="A61" s="792"/>
      <c r="B61" s="792"/>
      <c r="C61" s="143">
        <v>6.5</v>
      </c>
      <c r="D61" s="143">
        <v>6.41</v>
      </c>
      <c r="E61" s="116">
        <f t="shared" si="10"/>
        <v>12.91</v>
      </c>
      <c r="F61" s="494" t="s">
        <v>13</v>
      </c>
      <c r="G61" s="493">
        <v>252</v>
      </c>
      <c r="H61" s="507">
        <f>'1461'!H61</f>
        <v>3506</v>
      </c>
      <c r="I61" s="101">
        <f t="shared" si="11"/>
        <v>45262.46</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61.959999999999994</v>
      </c>
      <c r="D66" s="97">
        <f>SUM(D57:D65)</f>
        <v>62.05</v>
      </c>
      <c r="E66" s="97">
        <f>SUM(E57:E65)</f>
        <v>124.00999999999999</v>
      </c>
      <c r="F66" s="779" t="s">
        <v>507</v>
      </c>
      <c r="G66" s="779"/>
      <c r="H66" s="779"/>
      <c r="I66" s="97">
        <f>SUM(I57:I65)</f>
        <v>190721.27</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1001.1800000000001</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4.764E-3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1066.9562000000001</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4.4980000000000003E-3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1001.1800000000001</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5.3949999999999996E-3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1001.1800000000001</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4.7710000000000001E-3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1001.1800000000001</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5.4039999999999999E-3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4.7710000000000001E-3</v>
      </c>
      <c r="I85" s="101">
        <f>ROUND(F85*H85,2)</f>
        <v>220186.8</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4.764E-3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5.4039999999999999E-3</v>
      </c>
      <c r="I90" s="101">
        <f>ROUND(F90*H90,2)</f>
        <v>103185.81</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5.3949999999999996E-3</v>
      </c>
      <c r="I92" s="101">
        <f t="shared" ref="I92:I96" si="14">ROUND(F92*H92,2)</f>
        <v>61837.1</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4.4980000000000003E-3</v>
      </c>
      <c r="I94" s="101">
        <f t="shared" si="14"/>
        <v>1150394.1599999999</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4.4980000000000003E-3</v>
      </c>
      <c r="I96" s="101">
        <f t="shared" si="14"/>
        <v>-75140.740000000005</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4.764E-3</v>
      </c>
      <c r="I98" s="101">
        <f t="shared" ref="I98" si="16">ROUND(F98*H98,2)</f>
        <v>971.2</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546.16120000000001</v>
      </c>
      <c r="D104" s="774"/>
      <c r="E104" s="46">
        <f>H8</f>
        <v>1.0407999999999999</v>
      </c>
      <c r="F104" s="302">
        <f>'1461'!F104</f>
        <v>950.92</v>
      </c>
      <c r="G104" s="39" t="s">
        <v>12</v>
      </c>
      <c r="H104" s="101">
        <f>ROUND(C104*E104*F104,2)</f>
        <v>540545.31999999995</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520.79500000000007</v>
      </c>
      <c r="D105" s="774"/>
      <c r="E105" s="46">
        <f>H8</f>
        <v>1.0407999999999999</v>
      </c>
      <c r="F105" s="302">
        <f>'1461'!F105</f>
        <v>907.92</v>
      </c>
      <c r="G105" s="39" t="s">
        <v>12</v>
      </c>
      <c r="H105" s="101">
        <f>ROUND(C105*E105*F105,2)</f>
        <v>492132.08</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1066.9562000000001</v>
      </c>
      <c r="D107" s="787"/>
      <c r="E107" s="123"/>
      <c r="F107" s="123"/>
      <c r="G107" s="123"/>
      <c r="H107" s="124" t="s">
        <v>100</v>
      </c>
      <c r="I107" s="101">
        <f>IF(A1=75,0,H106+H105+H104)</f>
        <v>1032677.3999999999</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45</v>
      </c>
      <c r="D113" s="143">
        <v>35</v>
      </c>
      <c r="E113" s="116">
        <f>(D113+C113)/2</f>
        <v>40</v>
      </c>
      <c r="F113" s="126" t="s">
        <v>30</v>
      </c>
      <c r="G113" s="303">
        <f>'1461'!G113</f>
        <v>584</v>
      </c>
      <c r="I113" s="101">
        <f>ROUND(G113*E113,2)</f>
        <v>23360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8628182.3899999987</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8241780.1399999987</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8241780.1399999987</v>
      </c>
      <c r="I135" s="94">
        <f>ROUND(IF(E30=0,0,IF(E30&gt;250,-(((250/E30)*H135)*IF(G135="H",0.02,0.05)),IF(G135="H",-0.02*H135,-0.05*H135))),2)</f>
        <v>-41160.33</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8587022.0599999987</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Payments'!Q93</f>
        <v>-8727493.5099999998</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-140471.45000000112</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-140471.45000000001</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123675.27</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A121:B121"/>
    <mergeCell ref="F121:G121"/>
    <mergeCell ref="N121:O121"/>
    <mergeCell ref="P121:Q121"/>
    <mergeCell ref="R121:S121"/>
    <mergeCell ref="A122:B122"/>
    <mergeCell ref="F122:G122"/>
    <mergeCell ref="N122:O122"/>
    <mergeCell ref="R120:S120"/>
    <mergeCell ref="A117:C117"/>
    <mergeCell ref="F117:I117"/>
    <mergeCell ref="N117:U117"/>
    <mergeCell ref="C118:E118"/>
    <mergeCell ref="F119:G119"/>
    <mergeCell ref="A120:B120"/>
    <mergeCell ref="F120:G120"/>
    <mergeCell ref="N120:O120"/>
    <mergeCell ref="P120:Q120"/>
    <mergeCell ref="A123:B123"/>
    <mergeCell ref="F123:G123"/>
    <mergeCell ref="N123:O123"/>
    <mergeCell ref="P123:Q123"/>
    <mergeCell ref="P122:Q122"/>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R122:S122"/>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285" t="s">
        <v>125</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J10" s="253"/>
      <c r="K10" s="65"/>
      <c r="L10" s="65"/>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J11" s="255"/>
      <c r="K11" s="254"/>
      <c r="L11" s="254"/>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J12" s="253"/>
      <c r="K12" s="254"/>
      <c r="L12" s="254"/>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K13" s="254"/>
      <c r="L13" s="254"/>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226.63</v>
      </c>
      <c r="D16" s="143">
        <v>224.3</v>
      </c>
      <c r="E16" s="116">
        <f t="shared" si="1"/>
        <v>450.93</v>
      </c>
      <c r="F16" s="859">
        <f>'1461'!F16:G16</f>
        <v>1</v>
      </c>
      <c r="G16" s="859"/>
      <c r="H16" s="80">
        <f t="shared" si="2"/>
        <v>450.93</v>
      </c>
      <c r="I16" s="101">
        <f t="shared" si="3"/>
        <v>2501977.88</v>
      </c>
      <c r="N16" s="818" t="s">
        <v>22</v>
      </c>
      <c r="O16" s="818"/>
      <c r="P16" s="860">
        <f t="shared" si="0"/>
        <v>0</v>
      </c>
      <c r="Q16" s="860"/>
      <c r="R16" s="864">
        <v>1</v>
      </c>
      <c r="S16" s="864"/>
      <c r="T16" s="95">
        <f t="shared" si="4"/>
        <v>0</v>
      </c>
      <c r="U16" s="523">
        <f t="shared" si="5"/>
        <v>0</v>
      </c>
    </row>
    <row r="17" spans="1:21" x14ac:dyDescent="0.3">
      <c r="A17" s="776" t="s">
        <v>23</v>
      </c>
      <c r="B17" s="776"/>
      <c r="C17" s="143">
        <v>29</v>
      </c>
      <c r="D17" s="143">
        <v>30</v>
      </c>
      <c r="E17" s="116">
        <f t="shared" si="1"/>
        <v>59</v>
      </c>
      <c r="F17" s="859">
        <f>'1461'!F17:G17</f>
        <v>1</v>
      </c>
      <c r="G17" s="859"/>
      <c r="H17" s="80">
        <f t="shared" si="2"/>
        <v>59</v>
      </c>
      <c r="I17" s="101">
        <f t="shared" si="3"/>
        <v>327360.56</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8.1999999999999993</v>
      </c>
      <c r="D27" s="143">
        <v>9.0299999999999994</v>
      </c>
      <c r="E27" s="116">
        <f t="shared" si="1"/>
        <v>17.229999999999997</v>
      </c>
      <c r="F27" s="859">
        <f>'1461'!F27:G27</f>
        <v>1.1919999999999999</v>
      </c>
      <c r="G27" s="859"/>
      <c r="H27" s="80">
        <f t="shared" si="2"/>
        <v>20.5382</v>
      </c>
      <c r="I27" s="101">
        <f t="shared" si="3"/>
        <v>113955.87</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263.83</v>
      </c>
      <c r="D30" s="94">
        <f>SUM(D14:D29)</f>
        <v>263.33</v>
      </c>
      <c r="E30" s="94">
        <f>SUM(E14:E29)</f>
        <v>527.16</v>
      </c>
      <c r="F30" s="795"/>
      <c r="G30" s="795"/>
      <c r="H30" s="99">
        <f>SUM(H14:H29)</f>
        <v>530.46820000000002</v>
      </c>
      <c r="I30" s="94">
        <f>SUM(I14:I29)</f>
        <v>2943294.31</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530.46820000000002</v>
      </c>
      <c r="F46" s="34"/>
      <c r="G46" s="106"/>
      <c r="H46" s="107" t="s">
        <v>98</v>
      </c>
      <c r="I46" s="94">
        <f>SUM(I44,I30)</f>
        <v>2943294.31</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2916219.92</v>
      </c>
      <c r="G51" s="109" t="s">
        <v>6</v>
      </c>
      <c r="H51" s="452">
        <v>5.5899999999999998E-2</v>
      </c>
      <c r="I51" s="101">
        <f>ROUND(F51*H51,2)</f>
        <v>163016.69</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2916219.92</v>
      </c>
      <c r="G52" s="109" t="s">
        <v>6</v>
      </c>
      <c r="H52" s="452">
        <v>1.0699999999999999E-2</v>
      </c>
      <c r="I52" s="101">
        <f>ROUND(F52*H52,2)</f>
        <v>31203.55</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194220.24</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29</v>
      </c>
      <c r="D60" s="143">
        <v>30</v>
      </c>
      <c r="E60" s="116">
        <f t="shared" si="10"/>
        <v>59</v>
      </c>
      <c r="F60" s="494" t="s">
        <v>13</v>
      </c>
      <c r="G60" s="493">
        <v>251</v>
      </c>
      <c r="H60" s="507">
        <f>'1461'!H60</f>
        <v>1173</v>
      </c>
      <c r="I60" s="101">
        <f t="shared" si="11"/>
        <v>69207</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29</v>
      </c>
      <c r="D66" s="97">
        <f>SUM(D57:D65)</f>
        <v>30</v>
      </c>
      <c r="E66" s="97">
        <f>SUM(E57:E65)</f>
        <v>59</v>
      </c>
      <c r="F66" s="779" t="s">
        <v>507</v>
      </c>
      <c r="G66" s="779"/>
      <c r="H66" s="779"/>
      <c r="I66" s="97">
        <f>SUM(I57:I65)</f>
        <v>69207</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527.16</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2.5079999999999998E-3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530.46820000000002</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2.2360000000000001E-3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527.16</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2.8400000000000001E-3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527.16</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2.5119999999999999E-3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527.16</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2.846E-3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2.5119999999999999E-3</v>
      </c>
      <c r="I85" s="101">
        <f>ROUND(F85*H85,2)</f>
        <v>115931.51</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2.5079999999999998E-3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2.846E-3</v>
      </c>
      <c r="I90" s="101">
        <f>ROUND(F90*H90,2)</f>
        <v>54342.49</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2.8400000000000001E-3</v>
      </c>
      <c r="I92" s="101">
        <f t="shared" ref="I92:I96" si="14">ROUND(F92*H92,2)</f>
        <v>32551.88</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2.2360000000000001E-3</v>
      </c>
      <c r="I94" s="101">
        <f t="shared" si="14"/>
        <v>571872.24</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2.2360000000000001E-3</v>
      </c>
      <c r="I96" s="101">
        <f t="shared" si="14"/>
        <v>-37353.199999999997</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2.5079999999999998E-3</v>
      </c>
      <c r="I98" s="101">
        <f t="shared" ref="I98" si="16">ROUND(F98*H98,2)</f>
        <v>511.29</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530.46820000000002</v>
      </c>
      <c r="D105" s="774"/>
      <c r="E105" s="46">
        <f>H8</f>
        <v>1.0407999999999999</v>
      </c>
      <c r="F105" s="302">
        <f>'1461'!F105</f>
        <v>907.92</v>
      </c>
      <c r="G105" s="39" t="s">
        <v>12</v>
      </c>
      <c r="H105" s="101">
        <f>ROUND(C105*E105*F105,2)</f>
        <v>501272.89</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530.46820000000002</v>
      </c>
      <c r="D107" s="787"/>
      <c r="E107" s="123"/>
      <c r="F107" s="123"/>
      <c r="G107" s="123"/>
      <c r="H107" s="124" t="s">
        <v>100</v>
      </c>
      <c r="I107" s="101">
        <f>IF(A1=75,0,H106+H105+H104)</f>
        <v>501272.89</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353</v>
      </c>
      <c r="D113" s="143">
        <v>344</v>
      </c>
      <c r="E113" s="116">
        <f>(C113+D113)/2</f>
        <v>348.5</v>
      </c>
      <c r="F113" s="126" t="s">
        <v>30</v>
      </c>
      <c r="G113" s="303">
        <f>'1461'!G113</f>
        <v>584</v>
      </c>
      <c r="I113" s="101">
        <f>ROUND(G113*E113,2)</f>
        <v>203524</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4455154.4099999992</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4260934.169999999</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4260934.169999999</v>
      </c>
      <c r="I135" s="94">
        <f>ROUND(IF(E30=0,0,IF(E30&gt;250,-(((250/E30)*H135)*IF(G135="H",0.02,0.05)),IF(G135="H",-0.02*H135,-0.05*H135))),2)</f>
        <v>-101035.13</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4354119.2799999993</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81" t="s">
        <v>241</v>
      </c>
      <c r="B139" s="69"/>
      <c r="C139" s="140"/>
      <c r="D139" s="69"/>
      <c r="F139" s="69"/>
      <c r="G139" s="69"/>
      <c r="H139" s="65"/>
      <c r="I139" s="271">
        <f>-'Cumulative Payments'!Q94</f>
        <v>-4380621.2300000004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-26501.950000001118</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81" t="s">
        <v>240</v>
      </c>
      <c r="B145" s="69"/>
      <c r="C145" s="69"/>
      <c r="D145" s="69"/>
      <c r="E145" s="69"/>
      <c r="F145" s="69"/>
      <c r="G145" s="69"/>
      <c r="H145" s="65"/>
      <c r="I145" s="155">
        <f>ROUND(I141/I143,2)</f>
        <v>-26501.95</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112011.58</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O1:U1"/>
    <mergeCell ref="N2:U2"/>
    <mergeCell ref="N3:U3"/>
    <mergeCell ref="A4:B4"/>
    <mergeCell ref="C4:E4"/>
    <mergeCell ref="N4:O4"/>
    <mergeCell ref="P4:Q4"/>
    <mergeCell ref="B1:I1"/>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424</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95.41</v>
      </c>
      <c r="D16" s="143">
        <v>93.42</v>
      </c>
      <c r="E16" s="116">
        <f t="shared" si="1"/>
        <v>188.82999999999998</v>
      </c>
      <c r="F16" s="859">
        <f>'1461'!F16:G16</f>
        <v>1</v>
      </c>
      <c r="G16" s="859"/>
      <c r="H16" s="80">
        <f t="shared" si="2"/>
        <v>188.83</v>
      </c>
      <c r="I16" s="101">
        <f t="shared" si="3"/>
        <v>1047720.23</v>
      </c>
      <c r="N16" s="818" t="s">
        <v>22</v>
      </c>
      <c r="O16" s="818"/>
      <c r="P16" s="860">
        <f t="shared" si="0"/>
        <v>0</v>
      </c>
      <c r="Q16" s="860"/>
      <c r="R16" s="864">
        <v>1</v>
      </c>
      <c r="S16" s="864"/>
      <c r="T16" s="95">
        <f t="shared" si="4"/>
        <v>0</v>
      </c>
      <c r="U16" s="523">
        <f t="shared" si="5"/>
        <v>0</v>
      </c>
    </row>
    <row r="17" spans="1:21" x14ac:dyDescent="0.3">
      <c r="A17" s="776" t="s">
        <v>23</v>
      </c>
      <c r="B17" s="776"/>
      <c r="C17" s="143">
        <v>21.5</v>
      </c>
      <c r="D17" s="143">
        <v>20.5</v>
      </c>
      <c r="E17" s="116">
        <f t="shared" si="1"/>
        <v>42</v>
      </c>
      <c r="F17" s="859">
        <f>'1461'!F17:G17</f>
        <v>1</v>
      </c>
      <c r="G17" s="859"/>
      <c r="H17" s="80">
        <f t="shared" si="2"/>
        <v>42</v>
      </c>
      <c r="I17" s="101">
        <f t="shared" si="3"/>
        <v>233036.33</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61.62</v>
      </c>
      <c r="D18" s="143">
        <v>60.91</v>
      </c>
      <c r="E18" s="116">
        <f t="shared" si="1"/>
        <v>122.53</v>
      </c>
      <c r="F18" s="859">
        <f>'1461'!F18:G18</f>
        <v>0.97799999999999998</v>
      </c>
      <c r="G18" s="859"/>
      <c r="H18" s="80">
        <f t="shared" si="2"/>
        <v>119.8343</v>
      </c>
      <c r="I18" s="101">
        <f t="shared" si="3"/>
        <v>664898.68999999994</v>
      </c>
      <c r="N18" s="818" t="s">
        <v>24</v>
      </c>
      <c r="O18" s="818"/>
      <c r="P18" s="860">
        <f t="shared" si="0"/>
        <v>0</v>
      </c>
      <c r="Q18" s="860"/>
      <c r="R18" s="864">
        <v>1</v>
      </c>
      <c r="S18" s="864"/>
      <c r="T18" s="95">
        <f t="shared" si="4"/>
        <v>0</v>
      </c>
      <c r="U18" s="523">
        <f t="shared" si="5"/>
        <v>0</v>
      </c>
    </row>
    <row r="19" spans="1:21" x14ac:dyDescent="0.3">
      <c r="A19" s="776" t="s">
        <v>25</v>
      </c>
      <c r="B19" s="776"/>
      <c r="C19" s="143">
        <v>12.04</v>
      </c>
      <c r="D19" s="143">
        <v>12.46</v>
      </c>
      <c r="E19" s="116">
        <f t="shared" si="1"/>
        <v>24.5</v>
      </c>
      <c r="F19" s="859">
        <f>'1461'!F19:G19</f>
        <v>0.97799999999999998</v>
      </c>
      <c r="G19" s="859"/>
      <c r="H19" s="80">
        <f t="shared" si="2"/>
        <v>23.960999999999999</v>
      </c>
      <c r="I19" s="101">
        <f t="shared" si="3"/>
        <v>132947.22</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18.29</v>
      </c>
      <c r="D27" s="143">
        <v>17.75</v>
      </c>
      <c r="E27" s="116">
        <f t="shared" si="1"/>
        <v>36.04</v>
      </c>
      <c r="F27" s="859">
        <f>'1461'!F27:G27</f>
        <v>1.1919999999999999</v>
      </c>
      <c r="G27" s="859"/>
      <c r="H27" s="80">
        <f t="shared" si="2"/>
        <v>42.959699999999998</v>
      </c>
      <c r="I27" s="101">
        <f t="shared" si="3"/>
        <v>238361.21</v>
      </c>
      <c r="N27" s="818" t="s">
        <v>86</v>
      </c>
      <c r="O27" s="818"/>
      <c r="P27" s="860">
        <f t="shared" si="0"/>
        <v>0</v>
      </c>
      <c r="Q27" s="860"/>
      <c r="R27" s="864">
        <v>1</v>
      </c>
      <c r="S27" s="864"/>
      <c r="T27" s="95">
        <f t="shared" si="4"/>
        <v>0</v>
      </c>
      <c r="U27" s="523">
        <f t="shared" si="5"/>
        <v>0</v>
      </c>
    </row>
    <row r="28" spans="1:21" x14ac:dyDescent="0.3">
      <c r="A28" s="776" t="s">
        <v>87</v>
      </c>
      <c r="B28" s="776"/>
      <c r="C28" s="143">
        <v>7.93</v>
      </c>
      <c r="D28" s="143">
        <v>7.69</v>
      </c>
      <c r="E28" s="116">
        <f t="shared" si="1"/>
        <v>15.620000000000001</v>
      </c>
      <c r="F28" s="859">
        <f>'1461'!F28:G28</f>
        <v>1.1919999999999999</v>
      </c>
      <c r="G28" s="859"/>
      <c r="H28" s="80">
        <f t="shared" si="2"/>
        <v>18.619</v>
      </c>
      <c r="I28" s="101">
        <f t="shared" si="3"/>
        <v>103307.22</v>
      </c>
      <c r="N28" s="818" t="s">
        <v>87</v>
      </c>
      <c r="O28" s="818"/>
      <c r="P28" s="860">
        <f t="shared" si="0"/>
        <v>0</v>
      </c>
      <c r="Q28" s="860"/>
      <c r="R28" s="864">
        <v>1</v>
      </c>
      <c r="S28" s="864"/>
      <c r="T28" s="95">
        <f t="shared" si="4"/>
        <v>0</v>
      </c>
      <c r="U28" s="523">
        <f t="shared" si="5"/>
        <v>0</v>
      </c>
    </row>
    <row r="29" spans="1:21" x14ac:dyDescent="0.3">
      <c r="A29" s="776" t="s">
        <v>88</v>
      </c>
      <c r="B29" s="776"/>
      <c r="C29" s="110">
        <v>2.2200000000000002</v>
      </c>
      <c r="D29" s="110">
        <v>2.67</v>
      </c>
      <c r="E29" s="154">
        <f t="shared" si="1"/>
        <v>4.8900000000000006</v>
      </c>
      <c r="F29" s="859">
        <f>'1461'!F29:G29</f>
        <v>1.079</v>
      </c>
      <c r="G29" s="859"/>
      <c r="H29" s="93">
        <f t="shared" si="2"/>
        <v>5.2763</v>
      </c>
      <c r="I29" s="94">
        <f t="shared" si="3"/>
        <v>29275.47</v>
      </c>
      <c r="N29" s="819" t="s">
        <v>88</v>
      </c>
      <c r="O29" s="819"/>
      <c r="P29" s="860">
        <f t="shared" si="0"/>
        <v>0</v>
      </c>
      <c r="Q29" s="860"/>
      <c r="R29" s="861">
        <v>1</v>
      </c>
      <c r="S29" s="861"/>
      <c r="T29" s="95">
        <f t="shared" si="4"/>
        <v>0</v>
      </c>
      <c r="U29" s="523">
        <f t="shared" si="5"/>
        <v>0</v>
      </c>
    </row>
    <row r="30" spans="1:21" x14ac:dyDescent="0.3">
      <c r="A30" s="779" t="s">
        <v>5</v>
      </c>
      <c r="B30" s="779"/>
      <c r="C30" s="94">
        <f>SUM(C14:C29)</f>
        <v>219.01</v>
      </c>
      <c r="D30" s="94">
        <f>SUM(D14:D29)</f>
        <v>215.39999999999998</v>
      </c>
      <c r="E30" s="94">
        <f>SUM(E14:E29)</f>
        <v>434.41</v>
      </c>
      <c r="F30" s="795"/>
      <c r="G30" s="795"/>
      <c r="H30" s="99">
        <f>SUM(H14:H29)</f>
        <v>441.48030000000006</v>
      </c>
      <c r="I30" s="94">
        <f>SUM(I14:I29)</f>
        <v>2449546.3700000006</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441.48030000000006</v>
      </c>
      <c r="F46" s="34"/>
      <c r="G46" s="106"/>
      <c r="H46" s="107" t="s">
        <v>98</v>
      </c>
      <c r="I46" s="94">
        <f>SUM(I44,I30)</f>
        <v>2449546.3700000006</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2608794.5100000002</v>
      </c>
      <c r="G51" s="109" t="s">
        <v>6</v>
      </c>
      <c r="H51" s="452">
        <v>5.5899999999999998E-2</v>
      </c>
      <c r="I51" s="101">
        <f>ROUND(F51*H51,2)</f>
        <v>145831.60999999999</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2608794.5100000002</v>
      </c>
      <c r="G52" s="109" t="s">
        <v>6</v>
      </c>
      <c r="H52" s="452">
        <v>1.0699999999999999E-2</v>
      </c>
      <c r="I52" s="101">
        <f>ROUND(F52*H52,2)</f>
        <v>27914.1</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173745.71</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20.5</v>
      </c>
      <c r="D60" s="143">
        <v>19.55</v>
      </c>
      <c r="E60" s="116">
        <f t="shared" si="10"/>
        <v>40.049999999999997</v>
      </c>
      <c r="F60" s="494" t="s">
        <v>13</v>
      </c>
      <c r="G60" s="493">
        <v>251</v>
      </c>
      <c r="H60" s="507">
        <f>'1461'!H60</f>
        <v>1173</v>
      </c>
      <c r="I60" s="101">
        <f t="shared" si="11"/>
        <v>46978.65</v>
      </c>
      <c r="N60" s="850"/>
      <c r="O60" s="850"/>
      <c r="P60" s="844"/>
      <c r="Q60" s="844"/>
      <c r="R60" s="40" t="s">
        <v>13</v>
      </c>
      <c r="S60" s="499">
        <v>251</v>
      </c>
      <c r="T60" s="510">
        <f t="shared" si="12"/>
        <v>1173</v>
      </c>
      <c r="U60" s="524">
        <f t="shared" si="13"/>
        <v>0</v>
      </c>
      <c r="V60" s="474"/>
    </row>
    <row r="61" spans="1:22" x14ac:dyDescent="0.3">
      <c r="A61" s="792"/>
      <c r="B61" s="792"/>
      <c r="C61" s="143">
        <v>1</v>
      </c>
      <c r="D61" s="143">
        <v>0.95</v>
      </c>
      <c r="E61" s="116">
        <f t="shared" si="10"/>
        <v>1.95</v>
      </c>
      <c r="F61" s="494" t="s">
        <v>13</v>
      </c>
      <c r="G61" s="493">
        <v>252</v>
      </c>
      <c r="H61" s="507">
        <f>'1461'!H61</f>
        <v>3506</v>
      </c>
      <c r="I61" s="101">
        <f t="shared" si="11"/>
        <v>6836.7</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11.04</v>
      </c>
      <c r="D63" s="143">
        <v>11.42</v>
      </c>
      <c r="E63" s="116">
        <f t="shared" si="10"/>
        <v>22.46</v>
      </c>
      <c r="F63" s="494" t="s">
        <v>14</v>
      </c>
      <c r="G63" s="493">
        <v>251</v>
      </c>
      <c r="H63" s="507">
        <f>'1461'!H63</f>
        <v>835</v>
      </c>
      <c r="I63" s="101">
        <f t="shared" si="11"/>
        <v>18754.099999999999</v>
      </c>
      <c r="N63" s="850"/>
      <c r="O63" s="850"/>
      <c r="P63" s="844"/>
      <c r="Q63" s="844"/>
      <c r="R63" s="40" t="s">
        <v>14</v>
      </c>
      <c r="S63" s="499">
        <v>251</v>
      </c>
      <c r="T63" s="510">
        <f t="shared" si="12"/>
        <v>835</v>
      </c>
      <c r="U63" s="524">
        <f t="shared" si="13"/>
        <v>0</v>
      </c>
      <c r="V63" s="474"/>
    </row>
    <row r="64" spans="1:22" x14ac:dyDescent="0.3">
      <c r="A64" s="792"/>
      <c r="B64" s="792"/>
      <c r="C64" s="143">
        <v>1</v>
      </c>
      <c r="D64" s="143">
        <v>1.04</v>
      </c>
      <c r="E64" s="116">
        <f t="shared" si="10"/>
        <v>2.04</v>
      </c>
      <c r="F64" s="494" t="s">
        <v>14</v>
      </c>
      <c r="G64" s="493">
        <v>252</v>
      </c>
      <c r="H64" s="507">
        <f>'1461'!H64</f>
        <v>3168</v>
      </c>
      <c r="I64" s="101">
        <f t="shared" si="11"/>
        <v>6462.72</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33.54</v>
      </c>
      <c r="D66" s="97">
        <f>SUM(D57:D65)</f>
        <v>32.96</v>
      </c>
      <c r="E66" s="97">
        <f>SUM(E57:E65)</f>
        <v>66.500000000000014</v>
      </c>
      <c r="F66" s="779" t="s">
        <v>507</v>
      </c>
      <c r="G66" s="779"/>
      <c r="H66" s="779"/>
      <c r="I66" s="97">
        <f>SUM(I57:I65)</f>
        <v>79032.17</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434.41</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2.0669999999999998E-3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441.48030000000006</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1.861E-3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434.41</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2.3410000000000002E-3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434.41</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2.0699999999999998E-3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434.41</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2.3449999999999999E-3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2.0699999999999998E-3</v>
      </c>
      <c r="I85" s="101">
        <f>ROUND(F85*H85,2)</f>
        <v>95532.73</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2.0669999999999998E-3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2.3449999999999999E-3</v>
      </c>
      <c r="I90" s="101">
        <f>ROUND(F90*H90,2)</f>
        <v>44776.23</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2.3410000000000002E-3</v>
      </c>
      <c r="I92" s="101">
        <f t="shared" ref="I92:I96" si="14">ROUND(F92*H92,2)</f>
        <v>26832.37</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1.861E-3</v>
      </c>
      <c r="I94" s="101">
        <f t="shared" si="14"/>
        <v>475963.43</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1.861E-3</v>
      </c>
      <c r="I96" s="101">
        <f t="shared" si="14"/>
        <v>-31088.69</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2.0669999999999998E-3</v>
      </c>
      <c r="I98" s="101">
        <f t="shared" ref="I98" si="16">ROUND(F98*H98,2)</f>
        <v>421.38</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273.78970000000004</v>
      </c>
      <c r="D105" s="774"/>
      <c r="E105" s="46">
        <f>H8</f>
        <v>1.0407999999999999</v>
      </c>
      <c r="F105" s="302">
        <f>'1461'!F105</f>
        <v>907.92</v>
      </c>
      <c r="G105" s="39" t="s">
        <v>12</v>
      </c>
      <c r="H105" s="101">
        <f>ROUND(C105*E105*F105,2)</f>
        <v>258721.17</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167.69059999999999</v>
      </c>
      <c r="D106" s="774"/>
      <c r="E106" s="46">
        <f>H8</f>
        <v>1.0407999999999999</v>
      </c>
      <c r="F106" s="302">
        <f>'1461'!F106</f>
        <v>910.12</v>
      </c>
      <c r="G106" s="39" t="s">
        <v>12</v>
      </c>
      <c r="H106" s="94">
        <f>ROUND(C106*E106*F106,2)</f>
        <v>158845.41</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441.48030000000006</v>
      </c>
      <c r="D107" s="787"/>
      <c r="E107" s="123"/>
      <c r="F107" s="123"/>
      <c r="G107" s="123"/>
      <c r="H107" s="124" t="s">
        <v>100</v>
      </c>
      <c r="I107" s="101">
        <f>IF(A1=75,0,H106+H105+H104)</f>
        <v>417566.58</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238</v>
      </c>
      <c r="D113" s="143">
        <v>251</v>
      </c>
      <c r="E113" s="116">
        <f>(C113+D113)/2</f>
        <v>244.5</v>
      </c>
      <c r="F113" s="126" t="s">
        <v>30</v>
      </c>
      <c r="G113" s="303">
        <f>'1461'!G113</f>
        <v>584</v>
      </c>
      <c r="I113" s="101">
        <f>ROUND(G113*E113,2)</f>
        <v>142788</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3701370.5700000008</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3527624.8600000008</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3527624.8600000008</v>
      </c>
      <c r="I135" s="94">
        <f>ROUND(IF(E30=0,0,IF(E30&gt;250,-(((250/E30)*H135)*IF(G135="H",0.02,0.05)),IF(G135="H",-0.02*H135,-0.05*H135))),2)</f>
        <v>-101506.21</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3599864.3600000008</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Payments'!Q95</f>
        <v>-3637468.4000000004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-37604.039999999572</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-37604.04</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74875.03</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v>637300</v>
      </c>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126</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60.91</v>
      </c>
      <c r="D14" s="141">
        <v>57.34</v>
      </c>
      <c r="E14" s="187">
        <f>IF(D$30=0,C14*2,C14+D14)</f>
        <v>118.25</v>
      </c>
      <c r="F14" s="868">
        <f>'1461'!F14:G14</f>
        <v>1.1180000000000001</v>
      </c>
      <c r="G14" s="868"/>
      <c r="H14" s="145">
        <f>ROUND(E14*F14,4)</f>
        <v>132.20349999999999</v>
      </c>
      <c r="I14" s="111">
        <f>ROUND(ROUND(ROUND(H14*$C$8,4)*($H$8),2)*(MAX($H$9,1)),2)</f>
        <v>733529</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9</v>
      </c>
      <c r="D15" s="143">
        <v>10.48</v>
      </c>
      <c r="E15" s="116">
        <f t="shared" ref="E15:E29" si="1">IF(D$30=0,C15*2,C15+D15)</f>
        <v>19.48</v>
      </c>
      <c r="F15" s="859">
        <f>'1461'!F15:G15</f>
        <v>1.1180000000000001</v>
      </c>
      <c r="G15" s="859"/>
      <c r="H15" s="80">
        <f t="shared" ref="H15:H29" si="2">ROUND(E15*F15,4)</f>
        <v>21.778600000000001</v>
      </c>
      <c r="I15" s="101">
        <f t="shared" ref="I15:I29" si="3">ROUND(ROUND(ROUND(H15*$C$8,4)*($H$8),2)*(MAX($H$9,1)),2)</f>
        <v>120838.21</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24.59</v>
      </c>
      <c r="D16" s="143">
        <v>25.75</v>
      </c>
      <c r="E16" s="116">
        <f t="shared" si="1"/>
        <v>50.34</v>
      </c>
      <c r="F16" s="859">
        <f>'1461'!F16:G16</f>
        <v>1</v>
      </c>
      <c r="G16" s="859"/>
      <c r="H16" s="80">
        <f t="shared" si="2"/>
        <v>50.34</v>
      </c>
      <c r="I16" s="101">
        <f t="shared" si="3"/>
        <v>279310.68</v>
      </c>
      <c r="N16" s="818" t="s">
        <v>22</v>
      </c>
      <c r="O16" s="818"/>
      <c r="P16" s="860">
        <f t="shared" si="0"/>
        <v>0</v>
      </c>
      <c r="Q16" s="860"/>
      <c r="R16" s="864">
        <v>1</v>
      </c>
      <c r="S16" s="864"/>
      <c r="T16" s="95">
        <f t="shared" si="4"/>
        <v>0</v>
      </c>
      <c r="U16" s="523">
        <f t="shared" si="5"/>
        <v>0</v>
      </c>
    </row>
    <row r="17" spans="1:21" x14ac:dyDescent="0.3">
      <c r="A17" s="776" t="s">
        <v>23</v>
      </c>
      <c r="B17" s="776"/>
      <c r="C17" s="143">
        <v>7.49</v>
      </c>
      <c r="D17" s="143">
        <v>8.01</v>
      </c>
      <c r="E17" s="116">
        <f t="shared" si="1"/>
        <v>15.5</v>
      </c>
      <c r="F17" s="859">
        <f>'1461'!F17:G17</f>
        <v>1</v>
      </c>
      <c r="G17" s="859"/>
      <c r="H17" s="80">
        <f t="shared" si="2"/>
        <v>15.5</v>
      </c>
      <c r="I17" s="101">
        <f t="shared" si="3"/>
        <v>86001.5</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9.18</v>
      </c>
      <c r="D26" s="143">
        <v>9.4700000000000006</v>
      </c>
      <c r="E26" s="116">
        <f t="shared" si="1"/>
        <v>18.649999999999999</v>
      </c>
      <c r="F26" s="859">
        <f>'1461'!F26:G26</f>
        <v>1.1919999999999999</v>
      </c>
      <c r="G26" s="859"/>
      <c r="H26" s="80">
        <f t="shared" si="2"/>
        <v>22.230799999999999</v>
      </c>
      <c r="I26" s="101">
        <f t="shared" si="3"/>
        <v>123347.24</v>
      </c>
      <c r="N26" s="818" t="s">
        <v>85</v>
      </c>
      <c r="O26" s="818"/>
      <c r="P26" s="860">
        <f t="shared" si="0"/>
        <v>0</v>
      </c>
      <c r="Q26" s="860"/>
      <c r="R26" s="864">
        <v>1</v>
      </c>
      <c r="S26" s="864"/>
      <c r="T26" s="95">
        <f t="shared" si="4"/>
        <v>0</v>
      </c>
      <c r="U26" s="523">
        <f t="shared" si="5"/>
        <v>0</v>
      </c>
    </row>
    <row r="27" spans="1:21" x14ac:dyDescent="0.3">
      <c r="A27" s="776" t="s">
        <v>86</v>
      </c>
      <c r="B27" s="776"/>
      <c r="C27" s="143">
        <v>3.41</v>
      </c>
      <c r="D27" s="143">
        <v>3.52</v>
      </c>
      <c r="E27" s="116">
        <f t="shared" si="1"/>
        <v>6.93</v>
      </c>
      <c r="F27" s="859">
        <f>'1461'!F27:G27</f>
        <v>1.1919999999999999</v>
      </c>
      <c r="G27" s="859"/>
      <c r="H27" s="80">
        <f t="shared" si="2"/>
        <v>8.2606000000000002</v>
      </c>
      <c r="I27" s="101">
        <f t="shared" si="3"/>
        <v>45833.81</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114.57999999999998</v>
      </c>
      <c r="D30" s="94">
        <f>SUM(D14:D29)</f>
        <v>114.57000000000001</v>
      </c>
      <c r="E30" s="94">
        <f>SUM(E14:E29)</f>
        <v>229.15</v>
      </c>
      <c r="F30" s="795"/>
      <c r="G30" s="795"/>
      <c r="H30" s="99">
        <f>SUM(H14:H29)</f>
        <v>250.3135</v>
      </c>
      <c r="I30" s="94">
        <f>SUM(I14:I29)</f>
        <v>1388860.44</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250.3135</v>
      </c>
      <c r="F46" s="34"/>
      <c r="G46" s="106"/>
      <c r="H46" s="107" t="s">
        <v>98</v>
      </c>
      <c r="I46" s="94">
        <f>SUM(I44,I30)</f>
        <v>1388860.44</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3" t="s">
        <v>577</v>
      </c>
      <c r="C51" s="26"/>
      <c r="D51" s="26"/>
      <c r="E51" s="43" t="s">
        <v>461</v>
      </c>
      <c r="F51" s="451">
        <v>1518512.98</v>
      </c>
      <c r="G51" s="109" t="s">
        <v>6</v>
      </c>
      <c r="H51" s="452">
        <v>5.5899999999999998E-2</v>
      </c>
      <c r="I51" s="101">
        <f>ROUND(F51*H51,2)</f>
        <v>84884.88</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1518512.98</v>
      </c>
      <c r="G52" s="109" t="s">
        <v>6</v>
      </c>
      <c r="H52" s="452">
        <v>1.0699999999999999E-2</v>
      </c>
      <c r="I52" s="101">
        <f>ROUND(F52*H52,2)</f>
        <v>16248.09</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101132.97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7</v>
      </c>
      <c r="D57" s="143">
        <v>8.15</v>
      </c>
      <c r="E57" s="116">
        <f t="shared" ref="E57:E65" si="10">IF(D$66=0,C57*2,C57+D57)</f>
        <v>15.15</v>
      </c>
      <c r="F57" s="493" t="s">
        <v>498</v>
      </c>
      <c r="G57" s="493">
        <v>251</v>
      </c>
      <c r="H57" s="507">
        <f>'1461'!H57</f>
        <v>1047</v>
      </c>
      <c r="I57" s="101">
        <f>ROUND(E57*H57,2)</f>
        <v>15862.05</v>
      </c>
      <c r="N57" s="849" t="s">
        <v>506</v>
      </c>
      <c r="O57" s="849"/>
      <c r="P57" s="851"/>
      <c r="Q57" s="851"/>
      <c r="R57" s="499" t="s">
        <v>498</v>
      </c>
      <c r="S57" s="499">
        <v>251</v>
      </c>
      <c r="T57" s="510">
        <f>H57</f>
        <v>1047</v>
      </c>
      <c r="U57" s="524">
        <f>ROUND(P57*T57,2)</f>
        <v>0</v>
      </c>
      <c r="V57" s="474"/>
    </row>
    <row r="58" spans="1:22" x14ac:dyDescent="0.3">
      <c r="A58" s="792"/>
      <c r="B58" s="792"/>
      <c r="C58" s="143">
        <v>2</v>
      </c>
      <c r="D58" s="143">
        <v>2.33</v>
      </c>
      <c r="E58" s="116">
        <f t="shared" si="10"/>
        <v>4.33</v>
      </c>
      <c r="F58" s="493" t="s">
        <v>498</v>
      </c>
      <c r="G58" s="493">
        <v>252</v>
      </c>
      <c r="H58" s="507">
        <f>'1461'!H58</f>
        <v>3380</v>
      </c>
      <c r="I58" s="101">
        <f t="shared" ref="I58:I65" si="11">ROUND(E58*H58,2)</f>
        <v>14635.4</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5.49</v>
      </c>
      <c r="D60" s="143">
        <v>5.87</v>
      </c>
      <c r="E60" s="116">
        <f t="shared" si="10"/>
        <v>11.36</v>
      </c>
      <c r="F60" s="494" t="s">
        <v>13</v>
      </c>
      <c r="G60" s="493">
        <v>251</v>
      </c>
      <c r="H60" s="507">
        <f>'1461'!H60</f>
        <v>1173</v>
      </c>
      <c r="I60" s="101">
        <f t="shared" si="11"/>
        <v>13325.28</v>
      </c>
      <c r="N60" s="850"/>
      <c r="O60" s="850"/>
      <c r="P60" s="844"/>
      <c r="Q60" s="844"/>
      <c r="R60" s="40" t="s">
        <v>13</v>
      </c>
      <c r="S60" s="499">
        <v>251</v>
      </c>
      <c r="T60" s="510">
        <f t="shared" si="12"/>
        <v>1173</v>
      </c>
      <c r="U60" s="524">
        <f t="shared" si="13"/>
        <v>0</v>
      </c>
      <c r="V60" s="474"/>
    </row>
    <row r="61" spans="1:22" x14ac:dyDescent="0.3">
      <c r="A61" s="792"/>
      <c r="B61" s="792"/>
      <c r="C61" s="143">
        <v>2</v>
      </c>
      <c r="D61" s="143">
        <v>2.14</v>
      </c>
      <c r="E61" s="116">
        <f t="shared" si="10"/>
        <v>4.1400000000000006</v>
      </c>
      <c r="F61" s="494" t="s">
        <v>13</v>
      </c>
      <c r="G61" s="493">
        <v>252</v>
      </c>
      <c r="H61" s="507">
        <f>'1461'!H61</f>
        <v>3506</v>
      </c>
      <c r="I61" s="101">
        <f t="shared" si="11"/>
        <v>14514.84</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16.490000000000002</v>
      </c>
      <c r="D66" s="97">
        <f>SUM(D57:D65)</f>
        <v>18.490000000000002</v>
      </c>
      <c r="E66" s="97">
        <f>SUM(E57:E65)</f>
        <v>34.980000000000004</v>
      </c>
      <c r="F66" s="779" t="s">
        <v>507</v>
      </c>
      <c r="G66" s="779"/>
      <c r="H66" s="779"/>
      <c r="I66" s="97">
        <f>SUM(I57:I65)</f>
        <v>58337.569999999992</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229.15</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1.09E-3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250.3135</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1.0549999999999999E-3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229.15</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1.235E-3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229.15</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1.0920000000000001E-3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229.15</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1.237E-3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1.0920000000000001E-3</v>
      </c>
      <c r="I85" s="101">
        <f>ROUND(F85*H85,2)</f>
        <v>50396.98</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1.09E-3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1.237E-3</v>
      </c>
      <c r="I90" s="101">
        <f>ROUND(F90*H90,2)</f>
        <v>23619.7</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1.235E-3</v>
      </c>
      <c r="I92" s="101">
        <f t="shared" ref="I92:I96" si="14">ROUND(F92*H92,2)</f>
        <v>14155.48</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1.0549999999999999E-3</v>
      </c>
      <c r="I94" s="101">
        <f t="shared" si="14"/>
        <v>269823.44</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1.0549999999999999E-3</v>
      </c>
      <c r="I96" s="101">
        <f t="shared" si="14"/>
        <v>-17624.16</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1.09E-3</v>
      </c>
      <c r="I98" s="101">
        <f t="shared" ref="I98" si="16">ROUND(F98*H98,2)</f>
        <v>222.21</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176.21289999999999</v>
      </c>
      <c r="D104" s="774"/>
      <c r="E104" s="46">
        <f>H8</f>
        <v>1.0407999999999999</v>
      </c>
      <c r="F104" s="302">
        <f>'1461'!F104</f>
        <v>950.92</v>
      </c>
      <c r="G104" s="39" t="s">
        <v>12</v>
      </c>
      <c r="H104" s="101">
        <f>ROUND(C104*E104*F104,2)</f>
        <v>174401</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74.1006</v>
      </c>
      <c r="D105" s="774"/>
      <c r="E105" s="46">
        <f>H8</f>
        <v>1.0407999999999999</v>
      </c>
      <c r="F105" s="302">
        <f>'1461'!F105</f>
        <v>907.92</v>
      </c>
      <c r="G105" s="39" t="s">
        <v>12</v>
      </c>
      <c r="H105" s="101">
        <f>ROUND(C105*E105*F105,2)</f>
        <v>70022.34</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250.31349999999998</v>
      </c>
      <c r="D107" s="787"/>
      <c r="E107" s="123"/>
      <c r="F107" s="123"/>
      <c r="G107" s="123"/>
      <c r="H107" s="124" t="s">
        <v>100</v>
      </c>
      <c r="I107" s="101">
        <f>IF(A1=75,0,H106+H105+H104)</f>
        <v>244423.34</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v>
      </c>
      <c r="D113" s="143">
        <v>0</v>
      </c>
      <c r="E113" s="116">
        <f>(C113+D113)/2</f>
        <v>1</v>
      </c>
      <c r="F113" s="126" t="s">
        <v>30</v>
      </c>
      <c r="G113" s="303">
        <f>'1461'!G113</f>
        <v>584</v>
      </c>
      <c r="I113" s="101">
        <f>ROUND(G113*E113,2)</f>
        <v>584</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2032799</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1931666.03</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424" t="s">
        <v>239</v>
      </c>
      <c r="H135" s="139">
        <f>IF(H133=1,I133,I130)</f>
        <v>1931666.03</v>
      </c>
      <c r="I135" s="94">
        <f>ROUND(IF(E30=0,0,IF(E30&gt;250,-(((250/E30)*H135)*IF(G135="H",0.02,0.05)),IF(G135="H",-0.02*H135,-0.05*H135))),2)</f>
        <v>-38633.32</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1994165.68</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Payments'!Q96</f>
        <v>-1998044.36</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-3878.6800000001676</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-3878.68</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127</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44.93</v>
      </c>
      <c r="D14" s="141">
        <v>41.54</v>
      </c>
      <c r="E14" s="187">
        <f>IF(D$30=0,C14*2,C14+D14)</f>
        <v>86.47</v>
      </c>
      <c r="F14" s="868">
        <f>'1461'!F14:G14</f>
        <v>1.1180000000000001</v>
      </c>
      <c r="G14" s="868"/>
      <c r="H14" s="145">
        <f>ROUND(E14*F14,4)</f>
        <v>96.673500000000004</v>
      </c>
      <c r="I14" s="111">
        <f>ROUND(ROUND(ROUND(H14*$C$8,4)*($H$8),2)*(MAX($H$9,1)),2)</f>
        <v>536391.37</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5</v>
      </c>
      <c r="D15" s="143">
        <v>5</v>
      </c>
      <c r="E15" s="116">
        <f t="shared" ref="E15:E29" si="1">IF(D$30=0,C15*2,C15+D15)</f>
        <v>10</v>
      </c>
      <c r="F15" s="859">
        <f>'1461'!F15:G15</f>
        <v>1.1180000000000001</v>
      </c>
      <c r="G15" s="859"/>
      <c r="H15" s="80">
        <f t="shared" ref="H15:H29" si="2">ROUND(E15*F15,4)</f>
        <v>11.18</v>
      </c>
      <c r="I15" s="101">
        <f t="shared" ref="I15:I29" si="3">ROUND(ROUND(ROUND(H15*$C$8,4)*($H$8),2)*(MAX($H$9,1)),2)</f>
        <v>62032.05</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74.17</v>
      </c>
      <c r="D16" s="143">
        <v>64.989999999999995</v>
      </c>
      <c r="E16" s="116">
        <f t="shared" si="1"/>
        <v>139.16</v>
      </c>
      <c r="F16" s="859">
        <f>'1461'!F16:G16</f>
        <v>1</v>
      </c>
      <c r="G16" s="859"/>
      <c r="H16" s="80">
        <f t="shared" si="2"/>
        <v>139.16</v>
      </c>
      <c r="I16" s="101">
        <f t="shared" si="3"/>
        <v>772127.03</v>
      </c>
      <c r="N16" s="818" t="s">
        <v>22</v>
      </c>
      <c r="O16" s="818"/>
      <c r="P16" s="860">
        <f t="shared" si="0"/>
        <v>0</v>
      </c>
      <c r="Q16" s="860"/>
      <c r="R16" s="864">
        <v>1</v>
      </c>
      <c r="S16" s="864"/>
      <c r="T16" s="95">
        <f t="shared" si="4"/>
        <v>0</v>
      </c>
      <c r="U16" s="523">
        <f t="shared" si="5"/>
        <v>0</v>
      </c>
    </row>
    <row r="17" spans="1:21" x14ac:dyDescent="0.3">
      <c r="A17" s="776" t="s">
        <v>23</v>
      </c>
      <c r="B17" s="776"/>
      <c r="C17" s="143">
        <v>11.51</v>
      </c>
      <c r="D17" s="143">
        <v>10.46</v>
      </c>
      <c r="E17" s="116">
        <f t="shared" si="1"/>
        <v>21.97</v>
      </c>
      <c r="F17" s="859">
        <f>'1461'!F17:G17</f>
        <v>1</v>
      </c>
      <c r="G17" s="859"/>
      <c r="H17" s="80">
        <f t="shared" si="2"/>
        <v>21.97</v>
      </c>
      <c r="I17" s="101">
        <f t="shared" si="3"/>
        <v>121900.19</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5.32</v>
      </c>
      <c r="D26" s="143">
        <v>4.1399999999999997</v>
      </c>
      <c r="E26" s="116">
        <f t="shared" si="1"/>
        <v>9.4600000000000009</v>
      </c>
      <c r="F26" s="859">
        <f>'1461'!F26:G26</f>
        <v>1.1919999999999999</v>
      </c>
      <c r="G26" s="859"/>
      <c r="H26" s="80">
        <f t="shared" si="2"/>
        <v>11.276300000000001</v>
      </c>
      <c r="I26" s="101">
        <f t="shared" si="3"/>
        <v>62566.37</v>
      </c>
      <c r="N26" s="818" t="s">
        <v>85</v>
      </c>
      <c r="O26" s="818"/>
      <c r="P26" s="860">
        <f t="shared" si="0"/>
        <v>0</v>
      </c>
      <c r="Q26" s="860"/>
      <c r="R26" s="864">
        <v>1</v>
      </c>
      <c r="S26" s="864"/>
      <c r="T26" s="95">
        <f t="shared" si="4"/>
        <v>0</v>
      </c>
      <c r="U26" s="523">
        <f t="shared" si="5"/>
        <v>0</v>
      </c>
    </row>
    <row r="27" spans="1:21" x14ac:dyDescent="0.3">
      <c r="A27" s="776" t="s">
        <v>86</v>
      </c>
      <c r="B27" s="776"/>
      <c r="C27" s="143">
        <v>4.8600000000000003</v>
      </c>
      <c r="D27" s="143">
        <v>3.78</v>
      </c>
      <c r="E27" s="116">
        <f t="shared" si="1"/>
        <v>8.64</v>
      </c>
      <c r="F27" s="859">
        <f>'1461'!F27:G27</f>
        <v>1.1919999999999999</v>
      </c>
      <c r="G27" s="859"/>
      <c r="H27" s="80">
        <f t="shared" si="2"/>
        <v>10.2989</v>
      </c>
      <c r="I27" s="101">
        <f t="shared" si="3"/>
        <v>57143.28</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145.79</v>
      </c>
      <c r="D30" s="94">
        <f>SUM(D14:D29)</f>
        <v>129.91</v>
      </c>
      <c r="E30" s="94">
        <f>SUM(E14:E29)</f>
        <v>275.7</v>
      </c>
      <c r="F30" s="795"/>
      <c r="G30" s="795"/>
      <c r="H30" s="99">
        <f>SUM(H14:H29)</f>
        <v>290.55869999999999</v>
      </c>
      <c r="I30" s="94">
        <f>SUM(I14:I29)</f>
        <v>1612160.2900000003</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290.55869999999999</v>
      </c>
      <c r="F46" s="34"/>
      <c r="G46" s="106"/>
      <c r="H46" s="107" t="s">
        <v>98</v>
      </c>
      <c r="I46" s="94">
        <f>SUM(I44,I30)</f>
        <v>1612160.2900000003</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3" t="s">
        <v>577</v>
      </c>
      <c r="C51" s="26"/>
      <c r="D51" s="26"/>
      <c r="E51" s="43" t="s">
        <v>461</v>
      </c>
      <c r="F51" s="451">
        <v>1901014.9200000002</v>
      </c>
      <c r="G51" s="109" t="s">
        <v>6</v>
      </c>
      <c r="H51" s="452">
        <v>5.5899999999999998E-2</v>
      </c>
      <c r="I51" s="101">
        <f>ROUND(F51*H51,2)</f>
        <v>106266.73</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1901014.9200000002</v>
      </c>
      <c r="G52" s="109" t="s">
        <v>6</v>
      </c>
      <c r="H52" s="452">
        <v>1.0699999999999999E-2</v>
      </c>
      <c r="I52" s="101">
        <f>ROUND(F52*H52,2)</f>
        <v>20340.86</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126607.59</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2.5</v>
      </c>
      <c r="D57" s="143">
        <v>2.5</v>
      </c>
      <c r="E57" s="116">
        <f t="shared" ref="E57:E65" si="10">IF(D$66=0,C57*2,C57+D57)</f>
        <v>5</v>
      </c>
      <c r="F57" s="493" t="s">
        <v>498</v>
      </c>
      <c r="G57" s="493">
        <v>251</v>
      </c>
      <c r="H57" s="507">
        <f>'1461'!H57</f>
        <v>1047</v>
      </c>
      <c r="I57" s="101">
        <f>ROUND(E57*H57,2)</f>
        <v>5235</v>
      </c>
      <c r="N57" s="849" t="s">
        <v>506</v>
      </c>
      <c r="O57" s="849"/>
      <c r="P57" s="851"/>
      <c r="Q57" s="851"/>
      <c r="R57" s="499" t="s">
        <v>498</v>
      </c>
      <c r="S57" s="499">
        <v>251</v>
      </c>
      <c r="T57" s="510">
        <f>H57</f>
        <v>1047</v>
      </c>
      <c r="U57" s="524">
        <f>ROUND(P57*T57,2)</f>
        <v>0</v>
      </c>
      <c r="V57" s="474"/>
    </row>
    <row r="58" spans="1:22" x14ac:dyDescent="0.3">
      <c r="A58" s="792"/>
      <c r="B58" s="792"/>
      <c r="C58" s="143">
        <v>2.5</v>
      </c>
      <c r="D58" s="143">
        <v>2.5</v>
      </c>
      <c r="E58" s="116">
        <f t="shared" si="10"/>
        <v>5</v>
      </c>
      <c r="F58" s="493" t="s">
        <v>498</v>
      </c>
      <c r="G58" s="493">
        <v>252</v>
      </c>
      <c r="H58" s="507">
        <f>'1461'!H58</f>
        <v>3380</v>
      </c>
      <c r="I58" s="101">
        <f t="shared" ref="I58:I65" si="11">ROUND(E58*H58,2)</f>
        <v>16900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10.07</v>
      </c>
      <c r="D60" s="143">
        <v>9.15</v>
      </c>
      <c r="E60" s="116">
        <f t="shared" si="10"/>
        <v>19.22</v>
      </c>
      <c r="F60" s="494" t="s">
        <v>13</v>
      </c>
      <c r="G60" s="493">
        <v>251</v>
      </c>
      <c r="H60" s="507">
        <f>'1461'!H60</f>
        <v>1173</v>
      </c>
      <c r="I60" s="101">
        <f t="shared" si="11"/>
        <v>22545.06</v>
      </c>
      <c r="N60" s="850"/>
      <c r="O60" s="850"/>
      <c r="P60" s="844"/>
      <c r="Q60" s="844"/>
      <c r="R60" s="40" t="s">
        <v>13</v>
      </c>
      <c r="S60" s="499">
        <v>251</v>
      </c>
      <c r="T60" s="510">
        <f t="shared" si="12"/>
        <v>1173</v>
      </c>
      <c r="U60" s="524">
        <f t="shared" si="13"/>
        <v>0</v>
      </c>
      <c r="V60" s="474"/>
    </row>
    <row r="61" spans="1:22" x14ac:dyDescent="0.3">
      <c r="A61" s="792"/>
      <c r="B61" s="792"/>
      <c r="C61" s="143">
        <v>1.44</v>
      </c>
      <c r="D61" s="143">
        <v>1.31</v>
      </c>
      <c r="E61" s="116">
        <f t="shared" si="10"/>
        <v>2.75</v>
      </c>
      <c r="F61" s="494" t="s">
        <v>13</v>
      </c>
      <c r="G61" s="493">
        <v>252</v>
      </c>
      <c r="H61" s="507">
        <f>'1461'!H61</f>
        <v>3506</v>
      </c>
      <c r="I61" s="101">
        <f t="shared" si="11"/>
        <v>9641.5</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16.510000000000002</v>
      </c>
      <c r="D66" s="97">
        <f>SUM(D57:D65)</f>
        <v>15.46</v>
      </c>
      <c r="E66" s="97">
        <f>SUM(E57:E65)</f>
        <v>31.97</v>
      </c>
      <c r="F66" s="779" t="s">
        <v>507</v>
      </c>
      <c r="G66" s="779"/>
      <c r="H66" s="779"/>
      <c r="I66" s="97">
        <f>SUM(I57:I65)</f>
        <v>54321.56</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275.7</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1.312E-3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290.55869999999999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1.225E-3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275.7</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1.4859999999999999E-3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275.7</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1.3140000000000001E-3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275.7</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1.488E-3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1.3140000000000001E-3</v>
      </c>
      <c r="I85" s="101">
        <f>ROUND(F85*H85,2)</f>
        <v>60642.52</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1.312E-3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1.488E-3</v>
      </c>
      <c r="I90" s="101">
        <f>ROUND(F90*H90,2)</f>
        <v>28412.38</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1.4859999999999999E-3</v>
      </c>
      <c r="I92" s="101">
        <f t="shared" ref="I92:I96" si="14">ROUND(F92*H92,2)</f>
        <v>17032.43</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1.225E-3</v>
      </c>
      <c r="I94" s="101">
        <f t="shared" si="14"/>
        <v>313302.09999999998</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1.225E-3</v>
      </c>
      <c r="I96" s="101">
        <f t="shared" si="14"/>
        <v>-20464.07</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1.312E-3</v>
      </c>
      <c r="I98" s="101">
        <f t="shared" ref="I98" si="16">ROUND(F98*H98,2)</f>
        <v>267.47000000000003</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119.1298</v>
      </c>
      <c r="D104" s="774"/>
      <c r="E104" s="46">
        <f>H8</f>
        <v>1.0407999999999999</v>
      </c>
      <c r="F104" s="302">
        <f>'1461'!F104</f>
        <v>950.92</v>
      </c>
      <c r="G104" s="39" t="s">
        <v>12</v>
      </c>
      <c r="H104" s="101">
        <f>ROUND(C104*E104*F104,2)</f>
        <v>117904.85</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171.4289</v>
      </c>
      <c r="D105" s="774"/>
      <c r="E105" s="46">
        <f>H8</f>
        <v>1.0407999999999999</v>
      </c>
      <c r="F105" s="302">
        <f>'1461'!F105</f>
        <v>907.92</v>
      </c>
      <c r="G105" s="39" t="s">
        <v>12</v>
      </c>
      <c r="H105" s="101">
        <f>ROUND(C105*E105*F105,2)</f>
        <v>161993.99</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290.55869999999999</v>
      </c>
      <c r="D107" s="787"/>
      <c r="E107" s="123"/>
      <c r="F107" s="123"/>
      <c r="G107" s="123"/>
      <c r="H107" s="124" t="s">
        <v>100</v>
      </c>
      <c r="I107" s="101">
        <f>IF(A1=75,0,H106+H105+H104)</f>
        <v>279898.83999999997</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2345573.52</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2218965.9300000002</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c r="H135" s="139">
        <f>IF(H133=1,I133,I130)</f>
        <v>2218965.9300000002</v>
      </c>
      <c r="I135" s="94">
        <f>ROUND(IF(E30=0,0,IF(E30&gt;250,-(((250/E30)*H135)*IF(G135="H",0.02,0.05)),IF(G135="H",-0.02*H135,-0.05*H135))),2)</f>
        <v>-100606</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2244967.52</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Payments'!Q97</f>
        <v>-2467630.14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-222662.62000000011</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-222662.62</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10342.299999999999</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356</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236.17</v>
      </c>
      <c r="D18" s="143">
        <v>284.58999999999997</v>
      </c>
      <c r="E18" s="116">
        <f t="shared" si="1"/>
        <v>520.76</v>
      </c>
      <c r="F18" s="859">
        <f>'1461'!F18:G18</f>
        <v>0.97799999999999998</v>
      </c>
      <c r="G18" s="859"/>
      <c r="H18" s="80">
        <f t="shared" si="2"/>
        <v>509.30329999999998</v>
      </c>
      <c r="I18" s="101">
        <f t="shared" si="3"/>
        <v>2825861.2</v>
      </c>
      <c r="N18" s="818" t="s">
        <v>24</v>
      </c>
      <c r="O18" s="818"/>
      <c r="P18" s="860">
        <f t="shared" si="0"/>
        <v>0</v>
      </c>
      <c r="Q18" s="860"/>
      <c r="R18" s="864">
        <v>1</v>
      </c>
      <c r="S18" s="864"/>
      <c r="T18" s="95">
        <f t="shared" si="4"/>
        <v>0</v>
      </c>
      <c r="U18" s="523">
        <f t="shared" si="5"/>
        <v>0</v>
      </c>
    </row>
    <row r="19" spans="1:21" x14ac:dyDescent="0.3">
      <c r="A19" s="776" t="s">
        <v>25</v>
      </c>
      <c r="B19" s="776"/>
      <c r="C19" s="143">
        <v>46.38</v>
      </c>
      <c r="D19" s="143">
        <v>59.06</v>
      </c>
      <c r="E19" s="116">
        <f t="shared" si="1"/>
        <v>105.44</v>
      </c>
      <c r="F19" s="859">
        <f>'1461'!F19:G19</f>
        <v>0.97799999999999998</v>
      </c>
      <c r="G19" s="859"/>
      <c r="H19" s="80">
        <f t="shared" si="2"/>
        <v>103.1203</v>
      </c>
      <c r="I19" s="101">
        <f t="shared" si="3"/>
        <v>572161.32999999996</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32.67</v>
      </c>
      <c r="D28" s="143">
        <v>20.84</v>
      </c>
      <c r="E28" s="116">
        <f t="shared" si="1"/>
        <v>53.510000000000005</v>
      </c>
      <c r="F28" s="859">
        <f>'1461'!F28:G28</f>
        <v>1.1919999999999999</v>
      </c>
      <c r="G28" s="859"/>
      <c r="H28" s="80">
        <f t="shared" si="2"/>
        <v>63.783900000000003</v>
      </c>
      <c r="I28" s="101">
        <f t="shared" si="3"/>
        <v>353903.95</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315.22000000000003</v>
      </c>
      <c r="D30" s="94">
        <f>SUM(D14:D29)</f>
        <v>364.48999999999995</v>
      </c>
      <c r="E30" s="94">
        <f>SUM(E14:E29)</f>
        <v>679.71</v>
      </c>
      <c r="F30" s="795"/>
      <c r="G30" s="795"/>
      <c r="H30" s="99">
        <f>SUM(H14:H29)</f>
        <v>676.20749999999998</v>
      </c>
      <c r="I30" s="94">
        <f>SUM(I14:I29)</f>
        <v>3751926.4800000004</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676.20749999999998</v>
      </c>
      <c r="F46" s="34"/>
      <c r="G46" s="106"/>
      <c r="H46" s="107" t="s">
        <v>98</v>
      </c>
      <c r="I46" s="94">
        <f>SUM(I44,I30)</f>
        <v>3751926.4800000004</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3" t="s">
        <v>577</v>
      </c>
      <c r="C51" s="26"/>
      <c r="D51" s="26"/>
      <c r="E51" s="43" t="s">
        <v>461</v>
      </c>
      <c r="F51" s="451">
        <v>3681214.3800000004</v>
      </c>
      <c r="G51" s="109" t="s">
        <v>6</v>
      </c>
      <c r="H51" s="452">
        <v>5.5899999999999998E-2</v>
      </c>
      <c r="I51" s="101">
        <f>ROUND(F51*H51,2)</f>
        <v>205779.88</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3681214.3800000004</v>
      </c>
      <c r="G52" s="109" t="s">
        <v>6</v>
      </c>
      <c r="H52" s="452">
        <v>1.0699999999999999E-2</v>
      </c>
      <c r="I52" s="101">
        <f>ROUND(F52*H52,2)</f>
        <v>39388.99</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245168.87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43.87</v>
      </c>
      <c r="D63" s="143">
        <v>55.87</v>
      </c>
      <c r="E63" s="116">
        <f t="shared" si="10"/>
        <v>99.74</v>
      </c>
      <c r="F63" s="494" t="s">
        <v>14</v>
      </c>
      <c r="G63" s="493">
        <v>251</v>
      </c>
      <c r="H63" s="507">
        <f>'1461'!H63</f>
        <v>835</v>
      </c>
      <c r="I63" s="101">
        <f t="shared" si="11"/>
        <v>83282.899999999994</v>
      </c>
      <c r="N63" s="850"/>
      <c r="O63" s="850"/>
      <c r="P63" s="844"/>
      <c r="Q63" s="844"/>
      <c r="R63" s="40" t="s">
        <v>14</v>
      </c>
      <c r="S63" s="499">
        <v>251</v>
      </c>
      <c r="T63" s="510">
        <f t="shared" si="12"/>
        <v>835</v>
      </c>
      <c r="U63" s="524">
        <f t="shared" si="13"/>
        <v>0</v>
      </c>
      <c r="V63" s="474"/>
    </row>
    <row r="64" spans="1:22" x14ac:dyDescent="0.3">
      <c r="A64" s="792"/>
      <c r="B64" s="792"/>
      <c r="C64" s="143">
        <v>2.5099999999999998</v>
      </c>
      <c r="D64" s="143">
        <v>3.19</v>
      </c>
      <c r="E64" s="116">
        <f t="shared" si="10"/>
        <v>5.6999999999999993</v>
      </c>
      <c r="F64" s="494" t="s">
        <v>14</v>
      </c>
      <c r="G64" s="493">
        <v>252</v>
      </c>
      <c r="H64" s="507">
        <f>'1461'!H64</f>
        <v>3168</v>
      </c>
      <c r="I64" s="101">
        <f t="shared" si="11"/>
        <v>18057.599999999999</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46.379999999999995</v>
      </c>
      <c r="D66" s="97">
        <f>SUM(D57:D65)</f>
        <v>59.059999999999995</v>
      </c>
      <c r="E66" s="97">
        <f>SUM(E57:E65)</f>
        <v>105.44</v>
      </c>
      <c r="F66" s="779" t="s">
        <v>507</v>
      </c>
      <c r="G66" s="779"/>
      <c r="H66" s="779"/>
      <c r="I66" s="97">
        <f>SUM(I57:I65)</f>
        <v>101340.5</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679.71</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3.2339999999999999E-3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676.20749999999998</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2.8509999999999998E-3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679.71</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3.6619999999999999E-3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679.71</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3.2390000000000001E-3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679.71</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3.669E-3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3.2390000000000001E-3</v>
      </c>
      <c r="I85" s="101">
        <f>ROUND(F85*H85,2)</f>
        <v>149483.34</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3.2339999999999999E-3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3.669E-3</v>
      </c>
      <c r="I90" s="101">
        <f>ROUND(F90*H90,2)</f>
        <v>70057.13</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3.6619999999999999E-3</v>
      </c>
      <c r="I92" s="101">
        <f t="shared" ref="I92:I96" si="14">ROUND(F92*H92,2)</f>
        <v>41973.58</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2.8509999999999998E-3</v>
      </c>
      <c r="I94" s="101">
        <f t="shared" si="14"/>
        <v>729162.68</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2.8509999999999998E-3</v>
      </c>
      <c r="I96" s="101">
        <f t="shared" si="14"/>
        <v>-47627</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3.2339999999999999E-3</v>
      </c>
      <c r="I98" s="101">
        <f t="shared" ref="I98" si="16">ROUND(F98*H98,2)</f>
        <v>659.29</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676.20749999999998</v>
      </c>
      <c r="D106" s="774"/>
      <c r="E106" s="46">
        <f>H8</f>
        <v>1.0407999999999999</v>
      </c>
      <c r="F106" s="302">
        <f>'1461'!F106</f>
        <v>910.12</v>
      </c>
      <c r="G106" s="39" t="s">
        <v>12</v>
      </c>
      <c r="H106" s="94">
        <f>ROUND(C106*E106*F106,2)</f>
        <v>640539.51</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676.20749999999998</v>
      </c>
      <c r="D107" s="787"/>
      <c r="E107" s="123"/>
      <c r="F107" s="123"/>
      <c r="G107" s="123"/>
      <c r="H107" s="124" t="s">
        <v>100</v>
      </c>
      <c r="I107" s="101">
        <f>IF(A1=75,0,H106+H105+H104)</f>
        <v>640539.51</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46</v>
      </c>
      <c r="D113" s="143">
        <v>125</v>
      </c>
      <c r="E113" s="116">
        <f>(D113+C113)/2</f>
        <v>85.5</v>
      </c>
      <c r="F113" s="126" t="s">
        <v>30</v>
      </c>
      <c r="G113" s="303">
        <f>'1461'!G113</f>
        <v>584</v>
      </c>
      <c r="I113" s="101">
        <f>ROUND(G113*E113,2)</f>
        <v>49932</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5487447.5099999998</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5242278.6399999997</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5242278.6399999997</v>
      </c>
      <c r="I135" s="94">
        <f>ROUND(IF(E30=0,0,IF(E30&gt;250,-(((250/E30)*H135)*IF(G135="H",0.02,0.05)),IF(G135="H",-0.02*H135,-0.05*H135))),2)</f>
        <v>-96406.53</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5391040.9799999995</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Payments'!Q98</f>
        <v>-5018411.1499999994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372629.83000000007</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372629.83</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165707.4</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9">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128</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91.27</v>
      </c>
      <c r="D14" s="141">
        <v>91.32</v>
      </c>
      <c r="E14" s="187">
        <f>IF(D$30=0,C14*2,C14+D14)</f>
        <v>182.58999999999997</v>
      </c>
      <c r="F14" s="868">
        <f>'1461'!F14:G14</f>
        <v>1.1180000000000001</v>
      </c>
      <c r="G14" s="868"/>
      <c r="H14" s="145">
        <f>ROUND(E14*F14,4)</f>
        <v>204.13560000000001</v>
      </c>
      <c r="I14" s="111">
        <f>ROUND(ROUND(ROUND(H14*$C$8,4)*($H$8),2)*(MAX($H$9,1)),2)</f>
        <v>1132643.1100000001</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14.12</v>
      </c>
      <c r="D15" s="143">
        <v>15.5</v>
      </c>
      <c r="E15" s="116">
        <f t="shared" ref="E15:E29" si="1">IF(D$30=0,C15*2,C15+D15)</f>
        <v>29.619999999999997</v>
      </c>
      <c r="F15" s="859">
        <f>'1461'!F15:G15</f>
        <v>1.1180000000000001</v>
      </c>
      <c r="G15" s="859"/>
      <c r="H15" s="80">
        <f t="shared" ref="H15:H29" si="2">ROUND(E15*F15,4)</f>
        <v>33.115200000000002</v>
      </c>
      <c r="I15" s="101">
        <f t="shared" ref="I15:I29" si="3">ROUND(ROUND(ROUND(H15*$C$8,4)*($H$8),2)*(MAX($H$9,1)),2)</f>
        <v>183739.16</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154.94999999999999</v>
      </c>
      <c r="D16" s="143">
        <v>151.25</v>
      </c>
      <c r="E16" s="116">
        <f t="shared" si="1"/>
        <v>306.2</v>
      </c>
      <c r="F16" s="859">
        <f>'1461'!F16:G16</f>
        <v>1</v>
      </c>
      <c r="G16" s="859"/>
      <c r="H16" s="80">
        <f t="shared" si="2"/>
        <v>306.2</v>
      </c>
      <c r="I16" s="101">
        <f t="shared" si="3"/>
        <v>1698945.8</v>
      </c>
      <c r="N16" s="818" t="s">
        <v>22</v>
      </c>
      <c r="O16" s="818"/>
      <c r="P16" s="860">
        <f t="shared" si="0"/>
        <v>0</v>
      </c>
      <c r="Q16" s="860"/>
      <c r="R16" s="864">
        <v>1</v>
      </c>
      <c r="S16" s="864"/>
      <c r="T16" s="95">
        <f t="shared" si="4"/>
        <v>0</v>
      </c>
      <c r="U16" s="523">
        <f t="shared" si="5"/>
        <v>0</v>
      </c>
    </row>
    <row r="17" spans="1:21" x14ac:dyDescent="0.3">
      <c r="A17" s="776" t="s">
        <v>23</v>
      </c>
      <c r="B17" s="776"/>
      <c r="C17" s="143">
        <v>22.01</v>
      </c>
      <c r="D17" s="143">
        <v>22.54</v>
      </c>
      <c r="E17" s="116">
        <f t="shared" si="1"/>
        <v>44.55</v>
      </c>
      <c r="F17" s="859">
        <f>'1461'!F17:G17</f>
        <v>1</v>
      </c>
      <c r="G17" s="859"/>
      <c r="H17" s="80">
        <f t="shared" si="2"/>
        <v>44.55</v>
      </c>
      <c r="I17" s="101">
        <f t="shared" si="3"/>
        <v>247184.96</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37.49</v>
      </c>
      <c r="D26" s="143">
        <v>37.43</v>
      </c>
      <c r="E26" s="116">
        <f t="shared" si="1"/>
        <v>74.92</v>
      </c>
      <c r="F26" s="859">
        <f>'1461'!F26:G26</f>
        <v>1.1919999999999999</v>
      </c>
      <c r="G26" s="859"/>
      <c r="H26" s="80">
        <f t="shared" si="2"/>
        <v>89.304599999999994</v>
      </c>
      <c r="I26" s="101">
        <f t="shared" si="3"/>
        <v>495505.14</v>
      </c>
      <c r="N26" s="818" t="s">
        <v>85</v>
      </c>
      <c r="O26" s="818"/>
      <c r="P26" s="860">
        <f t="shared" si="0"/>
        <v>0</v>
      </c>
      <c r="Q26" s="860"/>
      <c r="R26" s="864">
        <v>1</v>
      </c>
      <c r="S26" s="864"/>
      <c r="T26" s="95">
        <f t="shared" si="4"/>
        <v>0</v>
      </c>
      <c r="U26" s="523">
        <f t="shared" si="5"/>
        <v>0</v>
      </c>
    </row>
    <row r="27" spans="1:21" x14ac:dyDescent="0.3">
      <c r="A27" s="776" t="s">
        <v>86</v>
      </c>
      <c r="B27" s="776"/>
      <c r="C27" s="143">
        <v>21.36</v>
      </c>
      <c r="D27" s="143">
        <v>21.33</v>
      </c>
      <c r="E27" s="116">
        <f t="shared" si="1"/>
        <v>42.69</v>
      </c>
      <c r="F27" s="859">
        <f>'1461'!F27:G27</f>
        <v>1.1919999999999999</v>
      </c>
      <c r="G27" s="859"/>
      <c r="H27" s="80">
        <f t="shared" si="2"/>
        <v>50.886499999999998</v>
      </c>
      <c r="I27" s="101">
        <f t="shared" si="3"/>
        <v>282342.93</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341.2</v>
      </c>
      <c r="D30" s="94">
        <f>SUM(D14:D29)</f>
        <v>339.37</v>
      </c>
      <c r="E30" s="94">
        <f>SUM(E14:E29)</f>
        <v>680.56999999999994</v>
      </c>
      <c r="F30" s="795"/>
      <c r="G30" s="795"/>
      <c r="H30" s="99">
        <f>SUM(H14:H29)</f>
        <v>728.19189999999992</v>
      </c>
      <c r="I30" s="94">
        <f>SUM(I14:I29)</f>
        <v>4040361.1000000006</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728.19189999999992</v>
      </c>
      <c r="F46" s="34"/>
      <c r="G46" s="106"/>
      <c r="H46" s="107" t="s">
        <v>98</v>
      </c>
      <c r="I46" s="94">
        <f>SUM(I44,I30)</f>
        <v>4040361.1000000006</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4185520.5300000003</v>
      </c>
      <c r="G51" s="109" t="s">
        <v>6</v>
      </c>
      <c r="H51" s="452">
        <v>5.5899999999999998E-2</v>
      </c>
      <c r="I51" s="101">
        <f>ROUND(F51*H51,2)</f>
        <v>233970.6</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4185520.5300000003</v>
      </c>
      <c r="G52" s="109" t="s">
        <v>6</v>
      </c>
      <c r="H52" s="452">
        <v>1.0699999999999999E-2</v>
      </c>
      <c r="I52" s="101">
        <f>ROUND(F52*H52,2)</f>
        <v>44785.07</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278755.67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9.58</v>
      </c>
      <c r="D57" s="143">
        <v>10.52</v>
      </c>
      <c r="E57" s="116">
        <f t="shared" ref="E57:E65" si="10">IF(D$66=0,C57*2,C57+D57)</f>
        <v>20.100000000000001</v>
      </c>
      <c r="F57" s="493" t="s">
        <v>498</v>
      </c>
      <c r="G57" s="493">
        <v>251</v>
      </c>
      <c r="H57" s="507">
        <f>'1461'!H57</f>
        <v>1047</v>
      </c>
      <c r="I57" s="101">
        <f>ROUND(E57*H57,2)</f>
        <v>21044.7</v>
      </c>
      <c r="N57" s="849" t="s">
        <v>506</v>
      </c>
      <c r="O57" s="849"/>
      <c r="P57" s="851"/>
      <c r="Q57" s="851"/>
      <c r="R57" s="499" t="s">
        <v>498</v>
      </c>
      <c r="S57" s="499">
        <v>251</v>
      </c>
      <c r="T57" s="510">
        <f>H57</f>
        <v>1047</v>
      </c>
      <c r="U57" s="524">
        <f>ROUND(P57*T57,2)</f>
        <v>0</v>
      </c>
      <c r="V57" s="474"/>
    </row>
    <row r="58" spans="1:22" x14ac:dyDescent="0.3">
      <c r="A58" s="792"/>
      <c r="B58" s="792"/>
      <c r="C58" s="143">
        <v>2.52</v>
      </c>
      <c r="D58" s="143">
        <v>2.77</v>
      </c>
      <c r="E58" s="116">
        <f t="shared" si="10"/>
        <v>5.29</v>
      </c>
      <c r="F58" s="493" t="s">
        <v>498</v>
      </c>
      <c r="G58" s="493">
        <v>252</v>
      </c>
      <c r="H58" s="507">
        <f>'1461'!H58</f>
        <v>3380</v>
      </c>
      <c r="I58" s="101">
        <f t="shared" ref="I58:I65" si="11">ROUND(E58*H58,2)</f>
        <v>17880.2</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2.02</v>
      </c>
      <c r="D59" s="143">
        <v>2.21</v>
      </c>
      <c r="E59" s="116">
        <f t="shared" si="10"/>
        <v>4.2300000000000004</v>
      </c>
      <c r="F59" s="493" t="s">
        <v>498</v>
      </c>
      <c r="G59" s="493">
        <v>253</v>
      </c>
      <c r="H59" s="507">
        <f>'1461'!H59</f>
        <v>6896</v>
      </c>
      <c r="I59" s="101">
        <f t="shared" si="11"/>
        <v>29170.080000000002</v>
      </c>
      <c r="N59" s="850"/>
      <c r="O59" s="850"/>
      <c r="P59" s="844"/>
      <c r="Q59" s="844"/>
      <c r="R59" s="499" t="s">
        <v>498</v>
      </c>
      <c r="S59" s="499">
        <v>253</v>
      </c>
      <c r="T59" s="510">
        <f t="shared" si="12"/>
        <v>6896</v>
      </c>
      <c r="U59" s="524">
        <f t="shared" si="13"/>
        <v>0</v>
      </c>
      <c r="V59" s="474"/>
    </row>
    <row r="60" spans="1:22" x14ac:dyDescent="0.3">
      <c r="A60" s="792"/>
      <c r="B60" s="792"/>
      <c r="C60" s="143">
        <v>20.010000000000002</v>
      </c>
      <c r="D60" s="143">
        <v>20.49</v>
      </c>
      <c r="E60" s="116">
        <f t="shared" si="10"/>
        <v>40.5</v>
      </c>
      <c r="F60" s="494" t="s">
        <v>13</v>
      </c>
      <c r="G60" s="493">
        <v>251</v>
      </c>
      <c r="H60" s="507">
        <f>'1461'!H60</f>
        <v>1173</v>
      </c>
      <c r="I60" s="101">
        <f t="shared" si="11"/>
        <v>47506.5</v>
      </c>
      <c r="N60" s="850"/>
      <c r="O60" s="850"/>
      <c r="P60" s="844"/>
      <c r="Q60" s="844"/>
      <c r="R60" s="40" t="s">
        <v>13</v>
      </c>
      <c r="S60" s="499">
        <v>251</v>
      </c>
      <c r="T60" s="510">
        <f t="shared" si="12"/>
        <v>1173</v>
      </c>
      <c r="U60" s="524">
        <f t="shared" si="13"/>
        <v>0</v>
      </c>
      <c r="V60" s="474"/>
    </row>
    <row r="61" spans="1:22" x14ac:dyDescent="0.3">
      <c r="A61" s="792"/>
      <c r="B61" s="792"/>
      <c r="C61" s="143">
        <v>2</v>
      </c>
      <c r="D61" s="143">
        <v>2.0499999999999998</v>
      </c>
      <c r="E61" s="116">
        <f t="shared" si="10"/>
        <v>4.05</v>
      </c>
      <c r="F61" s="494" t="s">
        <v>13</v>
      </c>
      <c r="G61" s="493">
        <v>252</v>
      </c>
      <c r="H61" s="507">
        <f>'1461'!H61</f>
        <v>3506</v>
      </c>
      <c r="I61" s="101">
        <f t="shared" si="11"/>
        <v>14199.3</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36.130000000000003</v>
      </c>
      <c r="D66" s="97">
        <f>SUM(D57:D65)</f>
        <v>38.039999999999992</v>
      </c>
      <c r="E66" s="97">
        <f>SUM(E57:E65)</f>
        <v>74.17</v>
      </c>
      <c r="F66" s="779" t="s">
        <v>507</v>
      </c>
      <c r="G66" s="779"/>
      <c r="H66" s="779"/>
      <c r="I66" s="97">
        <f>SUM(I57:I65)</f>
        <v>129800.78000000001</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680.56999999999994</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3.238E-3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728.19189999999992</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3.0699999999999998E-3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680.56999999999994</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3.6670000000000001E-3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680.56999999999994</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3.2429999999999998E-3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680.56999999999994</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3.6740000000000002E-3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3.2429999999999998E-3</v>
      </c>
      <c r="I85" s="101">
        <f>ROUND(F85*H85,2)</f>
        <v>149667.95000000001</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3.238E-3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3.6740000000000002E-3</v>
      </c>
      <c r="I90" s="101">
        <f>ROUND(F90*H90,2)</f>
        <v>70152.61</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3.6670000000000001E-3</v>
      </c>
      <c r="I92" s="101">
        <f t="shared" ref="I92:I96" si="14">ROUND(F92*H92,2)</f>
        <v>42030.89</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3.0699999999999998E-3</v>
      </c>
      <c r="I94" s="101">
        <f t="shared" si="14"/>
        <v>785173.43</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3.0699999999999998E-3</v>
      </c>
      <c r="I96" s="101">
        <f t="shared" si="14"/>
        <v>-51285.47</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3.238E-3</v>
      </c>
      <c r="I98" s="101">
        <f t="shared" ref="I98" si="16">ROUND(F98*H98,2)</f>
        <v>660.11</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326.55540000000002</v>
      </c>
      <c r="D104" s="774"/>
      <c r="E104" s="46">
        <f>H8</f>
        <v>1.0407999999999999</v>
      </c>
      <c r="F104" s="302">
        <f>'1461'!F104</f>
        <v>950.92</v>
      </c>
      <c r="G104" s="39" t="s">
        <v>12</v>
      </c>
      <c r="H104" s="101">
        <f>ROUND(C104*E104*F104,2)</f>
        <v>323197.61</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401.63650000000001</v>
      </c>
      <c r="D105" s="774"/>
      <c r="E105" s="46">
        <f>H8</f>
        <v>1.0407999999999999</v>
      </c>
      <c r="F105" s="302">
        <f>'1461'!F105</f>
        <v>907.92</v>
      </c>
      <c r="G105" s="39" t="s">
        <v>12</v>
      </c>
      <c r="H105" s="101">
        <f>ROUND(C105*E105*F105,2)</f>
        <v>379531.69</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728.19190000000003</v>
      </c>
      <c r="D107" s="787"/>
      <c r="E107" s="123"/>
      <c r="F107" s="123"/>
      <c r="G107" s="123"/>
      <c r="H107" s="124" t="s">
        <v>100</v>
      </c>
      <c r="I107" s="101">
        <f>IF(A1=75,0,H106+H105+H104)</f>
        <v>702729.3</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70</v>
      </c>
      <c r="D113" s="143">
        <v>102</v>
      </c>
      <c r="E113" s="116">
        <f>(C113+D113)/2</f>
        <v>86</v>
      </c>
      <c r="F113" s="126" t="s">
        <v>30</v>
      </c>
      <c r="G113" s="303">
        <f>'1461'!G113</f>
        <v>584</v>
      </c>
      <c r="I113" s="101">
        <f>ROUND(G113*E113,2)</f>
        <v>50224</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5919514.7000000002</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5640759.0300000003</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87" t="s">
        <v>561</v>
      </c>
      <c r="O132" s="888"/>
      <c r="P132" s="888"/>
      <c r="Q132" s="888"/>
      <c r="R132" s="888"/>
      <c r="S132" s="888"/>
      <c r="T132" s="888"/>
      <c r="U132" s="138"/>
    </row>
    <row r="133" spans="1:21" x14ac:dyDescent="0.3">
      <c r="A133" s="776" t="s">
        <v>70</v>
      </c>
      <c r="B133" s="776"/>
      <c r="C133" s="776"/>
      <c r="D133" s="776"/>
      <c r="E133" s="776"/>
      <c r="F133" s="776"/>
      <c r="G133" s="776"/>
      <c r="H133" s="70" t="str">
        <f>IF(E30=0,"",IF((E15+E17+SUM(E19:E25))/E30&gt;0.75,1,""))</f>
        <v/>
      </c>
      <c r="I133" s="116">
        <f>U130</f>
        <v>0</v>
      </c>
      <c r="N133" s="888" t="s">
        <v>70</v>
      </c>
      <c r="O133" s="888"/>
      <c r="P133" s="888"/>
      <c r="Q133" s="888"/>
      <c r="R133" s="888"/>
      <c r="S133" s="888"/>
      <c r="T133" s="88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5640759.0300000003</v>
      </c>
      <c r="I135" s="94">
        <f>ROUND(IF(E30=0,0,IF(E30&gt;250,-(((250/E30)*H135)*IF(G135="H",0.02,0.05)),IF(G135="H",-0.02*H135,-0.05*H135))),2)</f>
        <v>-103603.58</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5815911.1200000001</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Payments'!Q99</f>
        <v>-5832489.6500000004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-16578.530000000261</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-16578.53</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178434.37</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O1:U1"/>
    <mergeCell ref="N2:U2"/>
    <mergeCell ref="N3:U3"/>
    <mergeCell ref="A4:B4"/>
    <mergeCell ref="C4:E4"/>
    <mergeCell ref="N4:O4"/>
    <mergeCell ref="P4:Q4"/>
    <mergeCell ref="B1:I1"/>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N20:O20"/>
    <mergeCell ref="P20:Q20"/>
    <mergeCell ref="R20:S20"/>
    <mergeCell ref="A21:B21"/>
    <mergeCell ref="F21:G21"/>
    <mergeCell ref="N21:O21"/>
    <mergeCell ref="P21:Q21"/>
    <mergeCell ref="R21:S21"/>
    <mergeCell ref="A20:B20"/>
    <mergeCell ref="F20:G20"/>
    <mergeCell ref="N22:O22"/>
    <mergeCell ref="P22:Q22"/>
    <mergeCell ref="R22:S22"/>
    <mergeCell ref="A23:B23"/>
    <mergeCell ref="F23:G23"/>
    <mergeCell ref="N23:O23"/>
    <mergeCell ref="P23:Q23"/>
    <mergeCell ref="R23:S23"/>
    <mergeCell ref="A22:B22"/>
    <mergeCell ref="F22:G22"/>
    <mergeCell ref="N24:O24"/>
    <mergeCell ref="P24:Q24"/>
    <mergeCell ref="R24:S24"/>
    <mergeCell ref="A25:B25"/>
    <mergeCell ref="F25:G25"/>
    <mergeCell ref="N25:O25"/>
    <mergeCell ref="P25:Q25"/>
    <mergeCell ref="R25:S25"/>
    <mergeCell ref="A24:B24"/>
    <mergeCell ref="F24:G24"/>
    <mergeCell ref="F26:G26"/>
    <mergeCell ref="N26:O26"/>
    <mergeCell ref="P26:Q26"/>
    <mergeCell ref="R26:S26"/>
    <mergeCell ref="A27:B27"/>
    <mergeCell ref="F27:G27"/>
    <mergeCell ref="N27:O27"/>
    <mergeCell ref="P27:Q27"/>
    <mergeCell ref="R27:S27"/>
    <mergeCell ref="A26:B26"/>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0">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129</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119.61</v>
      </c>
      <c r="D14" s="141">
        <v>116.11</v>
      </c>
      <c r="E14" s="187">
        <f>IF(D$30=0,C14*2,C14+D14)</f>
        <v>235.72</v>
      </c>
      <c r="F14" s="868">
        <f>'1461'!F14:G14</f>
        <v>1.1180000000000001</v>
      </c>
      <c r="G14" s="868"/>
      <c r="H14" s="145">
        <f>ROUND(E14*F14,4)</f>
        <v>263.53500000000003</v>
      </c>
      <c r="I14" s="111">
        <f>ROUND(ROUND(ROUND(H14*$C$8,4)*($H$8),2)*(MAX($H$9,1)),2)</f>
        <v>1462219.73</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15.5</v>
      </c>
      <c r="D15" s="143">
        <v>15.5</v>
      </c>
      <c r="E15" s="116">
        <f t="shared" ref="E15:E29" si="1">IF(D$30=0,C15*2,C15+D15)</f>
        <v>31</v>
      </c>
      <c r="F15" s="859">
        <f>'1461'!F15:G15</f>
        <v>1.1180000000000001</v>
      </c>
      <c r="G15" s="859"/>
      <c r="H15" s="80">
        <f t="shared" ref="H15:H29" si="2">ROUND(E15*F15,4)</f>
        <v>34.658000000000001</v>
      </c>
      <c r="I15" s="101">
        <f t="shared" ref="I15:I29" si="3">ROUND(ROUND(ROUND(H15*$C$8,4)*($H$8),2)*(MAX($H$9,1)),2)</f>
        <v>192299.36</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189.53</v>
      </c>
      <c r="D16" s="143">
        <v>189.99</v>
      </c>
      <c r="E16" s="116">
        <f t="shared" si="1"/>
        <v>379.52</v>
      </c>
      <c r="F16" s="859">
        <f>'1461'!F16:G16</f>
        <v>1</v>
      </c>
      <c r="G16" s="859"/>
      <c r="H16" s="80">
        <f t="shared" si="2"/>
        <v>379.52</v>
      </c>
      <c r="I16" s="101">
        <f t="shared" si="3"/>
        <v>2105760.64</v>
      </c>
      <c r="N16" s="818" t="s">
        <v>22</v>
      </c>
      <c r="O16" s="818"/>
      <c r="P16" s="860">
        <f t="shared" si="0"/>
        <v>0</v>
      </c>
      <c r="Q16" s="860"/>
      <c r="R16" s="864">
        <v>1</v>
      </c>
      <c r="S16" s="864"/>
      <c r="T16" s="95">
        <f t="shared" si="4"/>
        <v>0</v>
      </c>
      <c r="U16" s="523">
        <f t="shared" si="5"/>
        <v>0</v>
      </c>
    </row>
    <row r="17" spans="1:21" x14ac:dyDescent="0.3">
      <c r="A17" s="776" t="s">
        <v>23</v>
      </c>
      <c r="B17" s="776"/>
      <c r="C17" s="143">
        <v>26.49</v>
      </c>
      <c r="D17" s="143">
        <v>26.51</v>
      </c>
      <c r="E17" s="116">
        <f t="shared" si="1"/>
        <v>53</v>
      </c>
      <c r="F17" s="859">
        <f>'1461'!F17:G17</f>
        <v>1</v>
      </c>
      <c r="G17" s="859"/>
      <c r="H17" s="80">
        <f t="shared" si="2"/>
        <v>53</v>
      </c>
      <c r="I17" s="101">
        <f t="shared" si="3"/>
        <v>294069.65000000002</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95.1</v>
      </c>
      <c r="D26" s="143">
        <v>92.8</v>
      </c>
      <c r="E26" s="116">
        <f t="shared" si="1"/>
        <v>187.89999999999998</v>
      </c>
      <c r="F26" s="859">
        <f>'1461'!F26:G26</f>
        <v>1.1919999999999999</v>
      </c>
      <c r="G26" s="859"/>
      <c r="H26" s="80">
        <f t="shared" si="2"/>
        <v>223.9768</v>
      </c>
      <c r="I26" s="101">
        <f t="shared" si="3"/>
        <v>1242731.69</v>
      </c>
      <c r="N26" s="818" t="s">
        <v>85</v>
      </c>
      <c r="O26" s="818"/>
      <c r="P26" s="860">
        <f t="shared" si="0"/>
        <v>0</v>
      </c>
      <c r="Q26" s="860"/>
      <c r="R26" s="864">
        <v>1</v>
      </c>
      <c r="S26" s="864"/>
      <c r="T26" s="95">
        <f t="shared" si="4"/>
        <v>0</v>
      </c>
      <c r="U26" s="523">
        <f t="shared" si="5"/>
        <v>0</v>
      </c>
    </row>
    <row r="27" spans="1:21" x14ac:dyDescent="0.3">
      <c r="A27" s="776" t="s">
        <v>86</v>
      </c>
      <c r="B27" s="776"/>
      <c r="C27" s="143">
        <v>46.05</v>
      </c>
      <c r="D27" s="143">
        <v>44.94</v>
      </c>
      <c r="E27" s="116">
        <f t="shared" si="1"/>
        <v>90.99</v>
      </c>
      <c r="F27" s="859">
        <f>'1461'!F27:G27</f>
        <v>1.1919999999999999</v>
      </c>
      <c r="G27" s="859"/>
      <c r="H27" s="80">
        <f t="shared" si="2"/>
        <v>108.4601</v>
      </c>
      <c r="I27" s="101">
        <f t="shared" si="3"/>
        <v>601789.13</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492.28000000000003</v>
      </c>
      <c r="D30" s="94">
        <f>SUM(D14:D29)</f>
        <v>485.85</v>
      </c>
      <c r="E30" s="94">
        <f>SUM(E14:E29)</f>
        <v>978.13</v>
      </c>
      <c r="F30" s="795"/>
      <c r="G30" s="795"/>
      <c r="H30" s="99">
        <f>SUM(H14:H29)</f>
        <v>1063.1498999999999</v>
      </c>
      <c r="I30" s="94">
        <f>SUM(I14:I29)</f>
        <v>5898870.2000000002</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1063.1498999999999</v>
      </c>
      <c r="F46" s="34"/>
      <c r="G46" s="106"/>
      <c r="H46" s="107" t="s">
        <v>98</v>
      </c>
      <c r="I46" s="94">
        <f>SUM(I44,I30)</f>
        <v>5898870.2000000002</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6499560.1600000001</v>
      </c>
      <c r="G51" s="109" t="s">
        <v>6</v>
      </c>
      <c r="H51" s="452">
        <v>5.5899999999999998E-2</v>
      </c>
      <c r="I51" s="101">
        <f>ROUND(F51*H51,2)</f>
        <v>363325.41</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6499560.1600000001</v>
      </c>
      <c r="G52" s="109" t="s">
        <v>6</v>
      </c>
      <c r="H52" s="452">
        <v>1.0699999999999999E-2</v>
      </c>
      <c r="I52" s="101">
        <f>ROUND(F52*H52,2)</f>
        <v>69545.289999999994</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432870.69999999995</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10.5</v>
      </c>
      <c r="D57" s="143">
        <v>10.5</v>
      </c>
      <c r="E57" s="116">
        <f t="shared" ref="E57:E65" si="10">IF(D$66=0,C57*2,C57+D57)</f>
        <v>21</v>
      </c>
      <c r="F57" s="493" t="s">
        <v>498</v>
      </c>
      <c r="G57" s="493">
        <v>251</v>
      </c>
      <c r="H57" s="507">
        <f>'1461'!H57</f>
        <v>1047</v>
      </c>
      <c r="I57" s="101">
        <f>ROUND(E57*H57,2)</f>
        <v>21987</v>
      </c>
      <c r="N57" s="849" t="s">
        <v>506</v>
      </c>
      <c r="O57" s="849"/>
      <c r="P57" s="851"/>
      <c r="Q57" s="851"/>
      <c r="R57" s="499" t="s">
        <v>498</v>
      </c>
      <c r="S57" s="499">
        <v>251</v>
      </c>
      <c r="T57" s="510">
        <f>H57</f>
        <v>1047</v>
      </c>
      <c r="U57" s="524">
        <f>ROUND(P57*T57,2)</f>
        <v>0</v>
      </c>
      <c r="V57" s="474"/>
    </row>
    <row r="58" spans="1:22" x14ac:dyDescent="0.3">
      <c r="A58" s="792"/>
      <c r="B58" s="792"/>
      <c r="C58" s="143">
        <v>5</v>
      </c>
      <c r="D58" s="143">
        <v>5</v>
      </c>
      <c r="E58" s="116">
        <f t="shared" si="10"/>
        <v>10</v>
      </c>
      <c r="F58" s="493" t="s">
        <v>498</v>
      </c>
      <c r="G58" s="493">
        <v>252</v>
      </c>
      <c r="H58" s="507">
        <f>'1461'!H58</f>
        <v>3380</v>
      </c>
      <c r="I58" s="101">
        <f t="shared" ref="I58:I65" si="11">ROUND(E58*H58,2)</f>
        <v>33800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23.49</v>
      </c>
      <c r="D60" s="143">
        <v>23.51</v>
      </c>
      <c r="E60" s="116">
        <f t="shared" si="10"/>
        <v>47</v>
      </c>
      <c r="F60" s="494" t="s">
        <v>13</v>
      </c>
      <c r="G60" s="493">
        <v>251</v>
      </c>
      <c r="H60" s="507">
        <f>'1461'!H60</f>
        <v>1173</v>
      </c>
      <c r="I60" s="101">
        <f t="shared" si="11"/>
        <v>55131</v>
      </c>
      <c r="N60" s="850"/>
      <c r="O60" s="850"/>
      <c r="P60" s="844"/>
      <c r="Q60" s="844"/>
      <c r="R60" s="40" t="s">
        <v>13</v>
      </c>
      <c r="S60" s="499">
        <v>251</v>
      </c>
      <c r="T60" s="510">
        <f t="shared" si="12"/>
        <v>1173</v>
      </c>
      <c r="U60" s="524">
        <f t="shared" si="13"/>
        <v>0</v>
      </c>
      <c r="V60" s="474"/>
    </row>
    <row r="61" spans="1:22" x14ac:dyDescent="0.3">
      <c r="A61" s="792"/>
      <c r="B61" s="792"/>
      <c r="C61" s="143">
        <v>3</v>
      </c>
      <c r="D61" s="143">
        <v>3</v>
      </c>
      <c r="E61" s="116">
        <f t="shared" si="10"/>
        <v>6</v>
      </c>
      <c r="F61" s="494" t="s">
        <v>13</v>
      </c>
      <c r="G61" s="493">
        <v>252</v>
      </c>
      <c r="H61" s="507">
        <f>'1461'!H61</f>
        <v>3506</v>
      </c>
      <c r="I61" s="101">
        <f t="shared" si="11"/>
        <v>21036</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41.989999999999995</v>
      </c>
      <c r="D66" s="97">
        <f>SUM(D57:D65)</f>
        <v>42.010000000000005</v>
      </c>
      <c r="E66" s="97">
        <f>SUM(E57:E65)</f>
        <v>84</v>
      </c>
      <c r="F66" s="779" t="s">
        <v>507</v>
      </c>
      <c r="G66" s="779"/>
      <c r="H66" s="779"/>
      <c r="I66" s="97">
        <f>SUM(I57:I65)</f>
        <v>131954</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978.13</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4.6540000000000002E-3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1063.1498999999999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4.4819999999999999E-3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978.13</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5.2700000000000004E-3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978.13</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4.6610000000000002E-3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978.13</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5.28E-3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4.6610000000000002E-3</v>
      </c>
      <c r="I85" s="101">
        <f>ROUND(F85*H85,2)</f>
        <v>215110.18</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4.6540000000000002E-3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5.28E-3</v>
      </c>
      <c r="I90" s="101">
        <f>ROUND(F90*H90,2)</f>
        <v>100818.12</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5.2700000000000004E-3</v>
      </c>
      <c r="I92" s="101">
        <f t="shared" ref="I92:I96" si="14">ROUND(F92*H92,2)</f>
        <v>60404.36</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4.4819999999999999E-3</v>
      </c>
      <c r="I94" s="101">
        <f t="shared" si="14"/>
        <v>1146302.05</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4.4819999999999999E-3</v>
      </c>
      <c r="I96" s="101">
        <f t="shared" si="14"/>
        <v>-74873.45</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4.6540000000000002E-3</v>
      </c>
      <c r="I98" s="101">
        <f t="shared" ref="I98" si="16">ROUND(F98*H98,2)</f>
        <v>948.77</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522.16980000000001</v>
      </c>
      <c r="D104" s="774"/>
      <c r="E104" s="46">
        <f>H8</f>
        <v>1.0407999999999999</v>
      </c>
      <c r="F104" s="302">
        <f>'1461'!F104</f>
        <v>950.92</v>
      </c>
      <c r="G104" s="39" t="s">
        <v>12</v>
      </c>
      <c r="H104" s="101">
        <f>ROUND(C104*E104*F104,2)</f>
        <v>516800.61</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540.98009999999999</v>
      </c>
      <c r="D105" s="774"/>
      <c r="E105" s="46">
        <f>H8</f>
        <v>1.0407999999999999</v>
      </c>
      <c r="F105" s="302">
        <f>'1461'!F105</f>
        <v>907.92</v>
      </c>
      <c r="G105" s="39" t="s">
        <v>12</v>
      </c>
      <c r="H105" s="101">
        <f>ROUND(C105*E105*F105,2)</f>
        <v>511206.25</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1063.1498999999999</v>
      </c>
      <c r="D107" s="787"/>
      <c r="E107" s="123"/>
      <c r="F107" s="123"/>
      <c r="G107" s="123"/>
      <c r="H107" s="124" t="s">
        <v>100</v>
      </c>
      <c r="I107" s="101">
        <f>IF(A1=75,0,H106+H105+H104)</f>
        <v>1028006.86</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8507541.0899999999</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8074670.3899999997</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8074670.3899999997</v>
      </c>
      <c r="I135" s="94">
        <f>ROUND(IF(E30=0,0,IF(E30&gt;250,-(((250/E30)*H135)*IF(G135="H",0.02,0.05)),IF(G135="H",-0.02*H135,-0.05*H135))),2)</f>
        <v>-103190.15</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8404350.9399999995</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Payments'!Q100</f>
        <v>-8487922.6499999985</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-83571.709999999031</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-83571.710000000006</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300543.37</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O1:U1"/>
    <mergeCell ref="N2:U2"/>
    <mergeCell ref="N3:U3"/>
    <mergeCell ref="A4:B4"/>
    <mergeCell ref="C4:E4"/>
    <mergeCell ref="N4:O4"/>
    <mergeCell ref="P4:Q4"/>
    <mergeCell ref="B1:I1"/>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N20:O20"/>
    <mergeCell ref="P20:Q20"/>
    <mergeCell ref="R20:S20"/>
    <mergeCell ref="A21:B21"/>
    <mergeCell ref="F21:G21"/>
    <mergeCell ref="N21:O21"/>
    <mergeCell ref="P21:Q21"/>
    <mergeCell ref="R21:S21"/>
    <mergeCell ref="A20:B20"/>
    <mergeCell ref="F20:G20"/>
    <mergeCell ref="N22:O22"/>
    <mergeCell ref="P22:Q22"/>
    <mergeCell ref="R22:S22"/>
    <mergeCell ref="A23:B23"/>
    <mergeCell ref="F23:G23"/>
    <mergeCell ref="N23:O23"/>
    <mergeCell ref="P23:Q23"/>
    <mergeCell ref="R23:S23"/>
    <mergeCell ref="A22:B22"/>
    <mergeCell ref="F22:G22"/>
    <mergeCell ref="N24:O24"/>
    <mergeCell ref="P24:Q24"/>
    <mergeCell ref="R24:S24"/>
    <mergeCell ref="A25:B25"/>
    <mergeCell ref="F25:G25"/>
    <mergeCell ref="N25:O25"/>
    <mergeCell ref="P25:Q25"/>
    <mergeCell ref="R25:S25"/>
    <mergeCell ref="A24:B24"/>
    <mergeCell ref="F24:G24"/>
    <mergeCell ref="F26:G26"/>
    <mergeCell ref="N26:O26"/>
    <mergeCell ref="P26:Q26"/>
    <mergeCell ref="R26:S26"/>
    <mergeCell ref="A27:B27"/>
    <mergeCell ref="F27:G27"/>
    <mergeCell ref="N27:O27"/>
    <mergeCell ref="P27:Q27"/>
    <mergeCell ref="R27:S27"/>
    <mergeCell ref="A26:B26"/>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2">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130</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248.25</v>
      </c>
      <c r="D16" s="143">
        <v>247.39</v>
      </c>
      <c r="E16" s="116">
        <f t="shared" si="1"/>
        <v>495.64</v>
      </c>
      <c r="F16" s="859">
        <f>'1461'!F16:G16</f>
        <v>1</v>
      </c>
      <c r="G16" s="859"/>
      <c r="H16" s="80">
        <f t="shared" si="2"/>
        <v>495.64</v>
      </c>
      <c r="I16" s="101">
        <f t="shared" si="3"/>
        <v>2750050.6</v>
      </c>
      <c r="N16" s="818" t="s">
        <v>22</v>
      </c>
      <c r="O16" s="818"/>
      <c r="P16" s="860">
        <f t="shared" si="0"/>
        <v>0</v>
      </c>
      <c r="Q16" s="860"/>
      <c r="R16" s="864">
        <v>1</v>
      </c>
      <c r="S16" s="864"/>
      <c r="T16" s="95">
        <f t="shared" si="4"/>
        <v>0</v>
      </c>
      <c r="U16" s="523">
        <f t="shared" si="5"/>
        <v>0</v>
      </c>
    </row>
    <row r="17" spans="1:21" x14ac:dyDescent="0.3">
      <c r="A17" s="776" t="s">
        <v>23</v>
      </c>
      <c r="B17" s="776"/>
      <c r="C17" s="143">
        <v>44.53</v>
      </c>
      <c r="D17" s="143">
        <v>44.31</v>
      </c>
      <c r="E17" s="116">
        <f t="shared" si="1"/>
        <v>88.84</v>
      </c>
      <c r="F17" s="859">
        <f>'1461'!F17:G17</f>
        <v>1</v>
      </c>
      <c r="G17" s="859"/>
      <c r="H17" s="80">
        <f t="shared" si="2"/>
        <v>88.84</v>
      </c>
      <c r="I17" s="101">
        <f t="shared" si="3"/>
        <v>492927.32</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5.52</v>
      </c>
      <c r="D27" s="143">
        <v>5.22</v>
      </c>
      <c r="E27" s="116">
        <f t="shared" si="1"/>
        <v>10.739999999999998</v>
      </c>
      <c r="F27" s="859">
        <f>'1461'!F27:G27</f>
        <v>1.1919999999999999</v>
      </c>
      <c r="G27" s="859"/>
      <c r="H27" s="80">
        <f t="shared" si="2"/>
        <v>12.802099999999999</v>
      </c>
      <c r="I27" s="101">
        <f t="shared" si="3"/>
        <v>71032.25</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298.29999999999995</v>
      </c>
      <c r="D30" s="94">
        <f>SUM(D14:D29)</f>
        <v>296.92</v>
      </c>
      <c r="E30" s="94">
        <f>SUM(E14:E29)</f>
        <v>595.22</v>
      </c>
      <c r="F30" s="795"/>
      <c r="G30" s="795"/>
      <c r="H30" s="99">
        <f>SUM(H14:H29)</f>
        <v>597.28210000000001</v>
      </c>
      <c r="I30" s="94">
        <f>SUM(I14:I29)</f>
        <v>3314010.17</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597.28210000000001</v>
      </c>
      <c r="F46" s="34"/>
      <c r="G46" s="106"/>
      <c r="H46" s="107" t="s">
        <v>98</v>
      </c>
      <c r="I46" s="94">
        <f>SUM(I44,I30)</f>
        <v>3314010.17</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3639483.68</v>
      </c>
      <c r="G51" s="109" t="s">
        <v>6</v>
      </c>
      <c r="H51" s="452">
        <v>5.5899999999999998E-2</v>
      </c>
      <c r="I51" s="101">
        <f>ROUND(F51*H51,2)</f>
        <v>203447.14</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3639483.68</v>
      </c>
      <c r="G52" s="109" t="s">
        <v>6</v>
      </c>
      <c r="H52" s="452">
        <v>1.0699999999999999E-2</v>
      </c>
      <c r="I52" s="101">
        <f>ROUND(F52*H52,2)</f>
        <v>38942.480000000003</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242389.62000000002</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IF(D$72=0,C57*2,C57+D57)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41.52</v>
      </c>
      <c r="D60" s="143">
        <v>41.31</v>
      </c>
      <c r="E60" s="116">
        <f>IF(D$66=0,C60*2,C60+D60)</f>
        <v>82.830000000000013</v>
      </c>
      <c r="F60" s="494" t="s">
        <v>13</v>
      </c>
      <c r="G60" s="493">
        <v>251</v>
      </c>
      <c r="H60" s="507">
        <f>'1461'!H60</f>
        <v>1173</v>
      </c>
      <c r="I60" s="101">
        <f t="shared" si="11"/>
        <v>97159.59</v>
      </c>
      <c r="N60" s="850"/>
      <c r="O60" s="850"/>
      <c r="P60" s="844"/>
      <c r="Q60" s="844"/>
      <c r="R60" s="40" t="s">
        <v>13</v>
      </c>
      <c r="S60" s="499">
        <v>251</v>
      </c>
      <c r="T60" s="510">
        <f t="shared" si="12"/>
        <v>1173</v>
      </c>
      <c r="U60" s="524">
        <f t="shared" si="13"/>
        <v>0</v>
      </c>
      <c r="V60" s="474"/>
    </row>
    <row r="61" spans="1:22" x14ac:dyDescent="0.3">
      <c r="A61" s="792"/>
      <c r="B61" s="792"/>
      <c r="C61" s="143">
        <v>3.01</v>
      </c>
      <c r="D61" s="143">
        <v>3</v>
      </c>
      <c r="E61" s="116">
        <f>IF(D$66=0,C61*2,C61+D61)</f>
        <v>6.01</v>
      </c>
      <c r="F61" s="494" t="s">
        <v>13</v>
      </c>
      <c r="G61" s="493">
        <v>252</v>
      </c>
      <c r="H61" s="507">
        <f>'1461'!H61</f>
        <v>3506</v>
      </c>
      <c r="I61" s="101">
        <f t="shared" si="11"/>
        <v>21071.06</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IF(D$66=0,C62*2,C62+D62)</f>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44.53</v>
      </c>
      <c r="D66" s="97">
        <f>SUM(D57:D65)</f>
        <v>44.31</v>
      </c>
      <c r="E66" s="97">
        <f>SUM(E57:E65)</f>
        <v>88.840000000000018</v>
      </c>
      <c r="F66" s="779" t="s">
        <v>507</v>
      </c>
      <c r="G66" s="779"/>
      <c r="H66" s="779"/>
      <c r="I66" s="97">
        <f>SUM(I57:I65)</f>
        <v>118230.65</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595.22</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2.8319999999999999E-3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597.28210000000001</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2.5179999999999998E-3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595.22</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3.2070000000000002E-3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595.22</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2.8370000000000001E-3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595.22</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3.2130000000000001E-3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2.8370000000000001E-3</v>
      </c>
      <c r="I85" s="101">
        <f>ROUND(F85*H85,2)</f>
        <v>130930.61</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2.8319999999999999E-3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3.2130000000000001E-3</v>
      </c>
      <c r="I90" s="101">
        <f>ROUND(F90*H90,2)</f>
        <v>61350.11</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3.2070000000000002E-3</v>
      </c>
      <c r="I92" s="101">
        <f t="shared" ref="I92:I96" si="14">ROUND(F92*H92,2)</f>
        <v>36758.400000000001</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2.5179999999999998E-3</v>
      </c>
      <c r="I94" s="101">
        <f t="shared" si="14"/>
        <v>643995.66</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2.5179999999999998E-3</v>
      </c>
      <c r="I96" s="101">
        <f t="shared" si="14"/>
        <v>-42064.11</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2.8319999999999999E-3</v>
      </c>
      <c r="I98" s="101">
        <f t="shared" ref="I98" si="16">ROUND(F98*H98,2)</f>
        <v>577.34</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597.28210000000001</v>
      </c>
      <c r="D105" s="774"/>
      <c r="E105" s="46">
        <f>H8</f>
        <v>1.0407999999999999</v>
      </c>
      <c r="F105" s="302">
        <f>'1461'!F105</f>
        <v>907.92</v>
      </c>
      <c r="G105" s="39" t="s">
        <v>12</v>
      </c>
      <c r="H105" s="101">
        <f>ROUND(C105*E105*F105,2)</f>
        <v>564409.56999999995</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597.28210000000001</v>
      </c>
      <c r="D107" s="787"/>
      <c r="E107" s="123"/>
      <c r="F107" s="123"/>
      <c r="G107" s="123"/>
      <c r="H107" s="124" t="s">
        <v>100</v>
      </c>
      <c r="I107" s="101">
        <f>IF(A1=75,0,H106+H105+H104)</f>
        <v>564409.56999999995</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v>
      </c>
      <c r="D113" s="143">
        <v>1</v>
      </c>
      <c r="E113" s="116">
        <f>(C113+D113)/2</f>
        <v>1.5</v>
      </c>
      <c r="F113" s="126" t="s">
        <v>30</v>
      </c>
      <c r="G113" s="303">
        <f>'1461'!G113</f>
        <v>584</v>
      </c>
      <c r="I113" s="101">
        <f>ROUND(G113*E113,2)</f>
        <v>876</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4829074.3999999994</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4586684.7799999993</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4586684.7799999993</v>
      </c>
      <c r="I135" s="94">
        <f>ROUND(IF(E30=0,0,IF(E30&gt;250,-(((250/E30)*H135)*IF(G135="H",0.02,0.05)),IF(G135="H",-0.02*H135,-0.05*H135))),2)</f>
        <v>-38529.32</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4790545.0799999991</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Payments'!Q101</f>
        <v>-4815733.4599999981</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-25188.379999998957</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-25188.38</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53204.38</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3">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131</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442.79</v>
      </c>
      <c r="D18" s="143">
        <v>439.64</v>
      </c>
      <c r="E18" s="116">
        <f t="shared" si="1"/>
        <v>882.43000000000006</v>
      </c>
      <c r="F18" s="859">
        <f>'1461'!F18:G18</f>
        <v>0.97799999999999998</v>
      </c>
      <c r="G18" s="859"/>
      <c r="H18" s="80">
        <f t="shared" si="2"/>
        <v>863.01649999999995</v>
      </c>
      <c r="I18" s="101">
        <f t="shared" si="3"/>
        <v>4788433.2300000004</v>
      </c>
      <c r="N18" s="818" t="s">
        <v>24</v>
      </c>
      <c r="O18" s="818"/>
      <c r="P18" s="860">
        <f t="shared" si="0"/>
        <v>0</v>
      </c>
      <c r="Q18" s="860"/>
      <c r="R18" s="864">
        <v>1</v>
      </c>
      <c r="S18" s="864"/>
      <c r="T18" s="95">
        <f t="shared" si="4"/>
        <v>0</v>
      </c>
      <c r="U18" s="523">
        <f t="shared" si="5"/>
        <v>0</v>
      </c>
    </row>
    <row r="19" spans="1:21" x14ac:dyDescent="0.3">
      <c r="A19" s="776" t="s">
        <v>25</v>
      </c>
      <c r="B19" s="776"/>
      <c r="C19" s="143">
        <v>39.83</v>
      </c>
      <c r="D19" s="143">
        <v>37.549999999999997</v>
      </c>
      <c r="E19" s="116">
        <f t="shared" si="1"/>
        <v>77.38</v>
      </c>
      <c r="F19" s="859">
        <f>'1461'!F19:G19</f>
        <v>0.97799999999999998</v>
      </c>
      <c r="G19" s="859"/>
      <c r="H19" s="80">
        <f t="shared" si="2"/>
        <v>75.677599999999998</v>
      </c>
      <c r="I19" s="101">
        <f t="shared" si="3"/>
        <v>419895.95</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6.2</v>
      </c>
      <c r="D28" s="143">
        <v>4.6399999999999997</v>
      </c>
      <c r="E28" s="116">
        <f t="shared" si="1"/>
        <v>10.84</v>
      </c>
      <c r="F28" s="859">
        <f>'1461'!F28:G28</f>
        <v>1.1919999999999999</v>
      </c>
      <c r="G28" s="859"/>
      <c r="H28" s="80">
        <f t="shared" si="2"/>
        <v>12.9213</v>
      </c>
      <c r="I28" s="101">
        <f t="shared" si="3"/>
        <v>71693.63</v>
      </c>
      <c r="N28" s="818" t="s">
        <v>87</v>
      </c>
      <c r="O28" s="818"/>
      <c r="P28" s="860">
        <f t="shared" si="0"/>
        <v>0</v>
      </c>
      <c r="Q28" s="860"/>
      <c r="R28" s="864">
        <v>1</v>
      </c>
      <c r="S28" s="864"/>
      <c r="T28" s="95">
        <f t="shared" si="4"/>
        <v>0</v>
      </c>
      <c r="U28" s="523">
        <f t="shared" si="5"/>
        <v>0</v>
      </c>
    </row>
    <row r="29" spans="1:21" x14ac:dyDescent="0.3">
      <c r="A29" s="776" t="s">
        <v>88</v>
      </c>
      <c r="B29" s="776"/>
      <c r="C29" s="110">
        <v>20.350000000000001</v>
      </c>
      <c r="D29" s="110">
        <v>20.97</v>
      </c>
      <c r="E29" s="154">
        <f t="shared" si="1"/>
        <v>41.32</v>
      </c>
      <c r="F29" s="859">
        <f>'1461'!F29:G29</f>
        <v>1.079</v>
      </c>
      <c r="G29" s="859"/>
      <c r="H29" s="93">
        <f t="shared" si="2"/>
        <v>44.584299999999999</v>
      </c>
      <c r="I29" s="94">
        <f t="shared" si="3"/>
        <v>247375.27</v>
      </c>
      <c r="N29" s="819" t="s">
        <v>88</v>
      </c>
      <c r="O29" s="819"/>
      <c r="P29" s="860">
        <f t="shared" si="0"/>
        <v>0</v>
      </c>
      <c r="Q29" s="860"/>
      <c r="R29" s="861">
        <v>1</v>
      </c>
      <c r="S29" s="861"/>
      <c r="T29" s="95">
        <f t="shared" si="4"/>
        <v>0</v>
      </c>
      <c r="U29" s="523">
        <f t="shared" si="5"/>
        <v>0</v>
      </c>
    </row>
    <row r="30" spans="1:21" x14ac:dyDescent="0.3">
      <c r="A30" s="779" t="s">
        <v>5</v>
      </c>
      <c r="B30" s="779"/>
      <c r="C30" s="94">
        <f>SUM(C14:C29)</f>
        <v>509.17</v>
      </c>
      <c r="D30" s="94">
        <f>SUM(D14:D29)</f>
        <v>502.79999999999995</v>
      </c>
      <c r="E30" s="94">
        <f>SUM(E14:E29)</f>
        <v>1011.9700000000001</v>
      </c>
      <c r="F30" s="795"/>
      <c r="G30" s="795"/>
      <c r="H30" s="99">
        <f>SUM(H14:H29)</f>
        <v>996.19969999999989</v>
      </c>
      <c r="I30" s="94">
        <f>SUM(I14:I29)</f>
        <v>5527398.0800000001</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996.19969999999989</v>
      </c>
      <c r="F46" s="34"/>
      <c r="G46" s="106"/>
      <c r="H46" s="107" t="s">
        <v>98</v>
      </c>
      <c r="I46" s="94">
        <f>SUM(I44,I30)</f>
        <v>5527398.0800000001</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5466527.3399999999</v>
      </c>
      <c r="G51" s="109" t="s">
        <v>6</v>
      </c>
      <c r="H51" s="452">
        <v>5.5899999999999998E-2</v>
      </c>
      <c r="I51" s="101">
        <f>ROUND(F51*H51,2)</f>
        <v>305578.88</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5466527.3399999999</v>
      </c>
      <c r="G52" s="109" t="s">
        <v>6</v>
      </c>
      <c r="H52" s="452">
        <v>1.0699999999999999E-2</v>
      </c>
      <c r="I52" s="101">
        <f>ROUND(F52*H52,2)</f>
        <v>58491.839999999997</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364070.72</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36.82</v>
      </c>
      <c r="D63" s="143">
        <v>34.72</v>
      </c>
      <c r="E63" s="116">
        <f t="shared" si="10"/>
        <v>71.539999999999992</v>
      </c>
      <c r="F63" s="494" t="s">
        <v>14</v>
      </c>
      <c r="G63" s="493">
        <v>251</v>
      </c>
      <c r="H63" s="507">
        <f>'1461'!H63</f>
        <v>835</v>
      </c>
      <c r="I63" s="101">
        <f t="shared" si="11"/>
        <v>59735.9</v>
      </c>
      <c r="N63" s="850"/>
      <c r="O63" s="850"/>
      <c r="P63" s="844"/>
      <c r="Q63" s="844"/>
      <c r="R63" s="40" t="s">
        <v>14</v>
      </c>
      <c r="S63" s="499">
        <v>251</v>
      </c>
      <c r="T63" s="510">
        <f t="shared" si="12"/>
        <v>835</v>
      </c>
      <c r="U63" s="524">
        <f t="shared" si="13"/>
        <v>0</v>
      </c>
      <c r="V63" s="474"/>
    </row>
    <row r="64" spans="1:22" x14ac:dyDescent="0.3">
      <c r="A64" s="792"/>
      <c r="B64" s="792"/>
      <c r="C64" s="143">
        <v>3.01</v>
      </c>
      <c r="D64" s="143">
        <v>2.83</v>
      </c>
      <c r="E64" s="116">
        <f t="shared" si="10"/>
        <v>5.84</v>
      </c>
      <c r="F64" s="494" t="s">
        <v>14</v>
      </c>
      <c r="G64" s="493">
        <v>252</v>
      </c>
      <c r="H64" s="507">
        <f>'1461'!H64</f>
        <v>3168</v>
      </c>
      <c r="I64" s="101">
        <f t="shared" si="11"/>
        <v>18501.12</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39.83</v>
      </c>
      <c r="D66" s="97">
        <f>SUM(D57:D65)</f>
        <v>37.549999999999997</v>
      </c>
      <c r="E66" s="97">
        <f>SUM(E57:E65)</f>
        <v>77.38</v>
      </c>
      <c r="F66" s="779" t="s">
        <v>507</v>
      </c>
      <c r="G66" s="779"/>
      <c r="H66" s="779"/>
      <c r="I66" s="97">
        <f>SUM(I57:I65)</f>
        <v>78237.02</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1011.9700000000001</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4.8149999999999998E-3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996.19969999999989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4.1999999999999997E-3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1011.9700000000001</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5.4530000000000004E-3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1011.9700000000001</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4.823E-3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1011.9700000000001</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5.463E-3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4.823E-3</v>
      </c>
      <c r="I85" s="101">
        <f>ROUND(F85*H85,2)</f>
        <v>222586.65</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4.8149999999999998E-3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5.463E-3</v>
      </c>
      <c r="I90" s="101">
        <f>ROUND(F90*H90,2)</f>
        <v>104312.38</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5.4530000000000004E-3</v>
      </c>
      <c r="I92" s="101">
        <f t="shared" ref="I92:I96" si="14">ROUND(F92*H92,2)</f>
        <v>62501.89</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4.1999999999999997E-3</v>
      </c>
      <c r="I94" s="101">
        <f t="shared" si="14"/>
        <v>1074178.6299999999</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4.1999999999999997E-3</v>
      </c>
      <c r="I96" s="101">
        <f t="shared" si="14"/>
        <v>-70162.539999999994</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4.8149999999999998E-3</v>
      </c>
      <c r="I98" s="101">
        <f t="shared" ref="I98" si="16">ROUND(F98*H98,2)</f>
        <v>981.6</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996.19969999999989</v>
      </c>
      <c r="D106" s="774"/>
      <c r="E106" s="46">
        <f>H8</f>
        <v>1.0407999999999999</v>
      </c>
      <c r="F106" s="302">
        <f>'1461'!F106</f>
        <v>910.12</v>
      </c>
      <c r="G106" s="39" t="s">
        <v>12</v>
      </c>
      <c r="H106" s="94">
        <f>ROUND(C106*E106*F106,2)</f>
        <v>943653.05</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996.19969999999989</v>
      </c>
      <c r="D107" s="787"/>
      <c r="E107" s="123"/>
      <c r="F107" s="123"/>
      <c r="G107" s="123"/>
      <c r="H107" s="124" t="s">
        <v>100</v>
      </c>
      <c r="I107" s="101">
        <f>IF(A1=75,0,H106+H105+H104)</f>
        <v>943653.05</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1</v>
      </c>
      <c r="E113" s="116">
        <f>(C113+D113)/2</f>
        <v>0.5</v>
      </c>
      <c r="F113" s="126" t="s">
        <v>30</v>
      </c>
      <c r="G113" s="303">
        <f>'1461'!G113</f>
        <v>584</v>
      </c>
      <c r="I113" s="101">
        <f>ROUND(G113*E113,2)</f>
        <v>292</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7943978.7599999988</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7579908.0399999991</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424" t="s">
        <v>239</v>
      </c>
      <c r="H135" s="139">
        <f>IF(H133=1,I133,I130)</f>
        <v>7579908.0399999991</v>
      </c>
      <c r="I135" s="94">
        <f>ROUND(IF(E30=0,0,IF(E30&gt;250,-(((250/E30)*H135)*IF(G135="H",0.02,0.05)),IF(G135="H",-0.02*H135,-0.05*H135))),2)</f>
        <v>-37451.25</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7906527.5099999988</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Payments'!Q102</f>
        <v>-8011786.9699999997</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-105259.46000000089</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-105259.46</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114146.91</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5:B15"/>
    <mergeCell ref="F15:G15"/>
    <mergeCell ref="N15:O15"/>
    <mergeCell ref="P15:Q15"/>
    <mergeCell ref="R15:S15"/>
    <mergeCell ref="P16:Q16"/>
    <mergeCell ref="R16:S16"/>
    <mergeCell ref="A16:B16"/>
    <mergeCell ref="F16:G16"/>
    <mergeCell ref="N16:O16"/>
    <mergeCell ref="N13:O13"/>
    <mergeCell ref="P13:Q13"/>
    <mergeCell ref="R13:S13"/>
    <mergeCell ref="R14:S14"/>
    <mergeCell ref="A14:B14"/>
    <mergeCell ref="F14:G14"/>
    <mergeCell ref="A13:B13"/>
    <mergeCell ref="F13:G13"/>
    <mergeCell ref="N14:O14"/>
    <mergeCell ref="P14:Q14"/>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3:T133"/>
    <mergeCell ref="N132:T132"/>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4">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2.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365</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229.75</v>
      </c>
      <c r="D14" s="141">
        <v>220.51</v>
      </c>
      <c r="E14" s="187">
        <f>IF(D$30=0,C14*2,C14+D14)</f>
        <v>450.26</v>
      </c>
      <c r="F14" s="868">
        <f>'1461'!F14:G14</f>
        <v>1.1180000000000001</v>
      </c>
      <c r="G14" s="868"/>
      <c r="H14" s="145">
        <f>ROUND(E14*F14,4)</f>
        <v>503.39069999999998</v>
      </c>
      <c r="I14" s="111">
        <f>ROUND(ROUND(ROUND(H14*$C$8,4)*($H$8),2)*(MAX($H$9,1)),2)</f>
        <v>2793055.24</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32.64</v>
      </c>
      <c r="D15" s="143">
        <v>36.9</v>
      </c>
      <c r="E15" s="116">
        <f t="shared" ref="E15:E29" si="1">IF(D$30=0,C15*2,C15+D15)</f>
        <v>69.539999999999992</v>
      </c>
      <c r="F15" s="859">
        <f>'1461'!F15:G15</f>
        <v>1.1180000000000001</v>
      </c>
      <c r="G15" s="859"/>
      <c r="H15" s="80">
        <f t="shared" ref="H15:H29" si="2">ROUND(E15*F15,4)</f>
        <v>77.745699999999999</v>
      </c>
      <c r="I15" s="101">
        <f t="shared" ref="I15:I29" si="3">ROUND(ROUND(ROUND(H15*$C$8,4)*($H$8),2)*(MAX($H$9,1)),2)</f>
        <v>431370.77</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283.7</v>
      </c>
      <c r="D16" s="143">
        <v>276.13</v>
      </c>
      <c r="E16" s="116">
        <f t="shared" si="1"/>
        <v>559.82999999999993</v>
      </c>
      <c r="F16" s="859">
        <f>'1461'!F16:G16</f>
        <v>1</v>
      </c>
      <c r="G16" s="859"/>
      <c r="H16" s="80">
        <f t="shared" si="2"/>
        <v>559.83000000000004</v>
      </c>
      <c r="I16" s="101">
        <f t="shared" si="3"/>
        <v>3106207.79</v>
      </c>
      <c r="N16" s="818" t="s">
        <v>22</v>
      </c>
      <c r="O16" s="818"/>
      <c r="P16" s="860">
        <f t="shared" si="0"/>
        <v>0</v>
      </c>
      <c r="Q16" s="860"/>
      <c r="R16" s="864">
        <v>1</v>
      </c>
      <c r="S16" s="864"/>
      <c r="T16" s="95">
        <f t="shared" si="4"/>
        <v>0</v>
      </c>
      <c r="U16" s="523">
        <f t="shared" si="5"/>
        <v>0</v>
      </c>
    </row>
    <row r="17" spans="1:21" x14ac:dyDescent="0.3">
      <c r="A17" s="776" t="s">
        <v>23</v>
      </c>
      <c r="B17" s="776"/>
      <c r="C17" s="143">
        <v>42.75</v>
      </c>
      <c r="D17" s="143">
        <v>44.54</v>
      </c>
      <c r="E17" s="116">
        <f t="shared" si="1"/>
        <v>87.289999999999992</v>
      </c>
      <c r="F17" s="859">
        <f>'1461'!F17:G17</f>
        <v>1</v>
      </c>
      <c r="G17" s="859"/>
      <c r="H17" s="80">
        <f t="shared" si="2"/>
        <v>87.29</v>
      </c>
      <c r="I17" s="101">
        <f t="shared" si="3"/>
        <v>484327.17</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24.32</v>
      </c>
      <c r="D26" s="143">
        <v>22.7</v>
      </c>
      <c r="E26" s="116">
        <f t="shared" si="1"/>
        <v>47.019999999999996</v>
      </c>
      <c r="F26" s="859">
        <f>'1461'!F26:G26</f>
        <v>1.1919999999999999</v>
      </c>
      <c r="G26" s="859"/>
      <c r="H26" s="80">
        <f t="shared" si="2"/>
        <v>56.047800000000002</v>
      </c>
      <c r="I26" s="101">
        <f t="shared" si="3"/>
        <v>310980.32</v>
      </c>
      <c r="N26" s="818" t="s">
        <v>85</v>
      </c>
      <c r="O26" s="818"/>
      <c r="P26" s="860">
        <f t="shared" si="0"/>
        <v>0</v>
      </c>
      <c r="Q26" s="860"/>
      <c r="R26" s="864">
        <v>1</v>
      </c>
      <c r="S26" s="864"/>
      <c r="T26" s="95">
        <f t="shared" si="4"/>
        <v>0</v>
      </c>
      <c r="U26" s="523">
        <f t="shared" si="5"/>
        <v>0</v>
      </c>
    </row>
    <row r="27" spans="1:21" x14ac:dyDescent="0.3">
      <c r="A27" s="776" t="s">
        <v>86</v>
      </c>
      <c r="B27" s="776"/>
      <c r="C27" s="143">
        <v>11.98</v>
      </c>
      <c r="D27" s="143">
        <v>11.19</v>
      </c>
      <c r="E27" s="116">
        <f t="shared" si="1"/>
        <v>23.17</v>
      </c>
      <c r="F27" s="859">
        <f>'1461'!F27:G27</f>
        <v>1.1919999999999999</v>
      </c>
      <c r="G27" s="859"/>
      <c r="H27" s="80">
        <f t="shared" si="2"/>
        <v>27.618600000000001</v>
      </c>
      <c r="I27" s="101">
        <f t="shared" si="3"/>
        <v>153241.35999999999</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625.14</v>
      </c>
      <c r="D30" s="94">
        <f>SUM(D14:D29)</f>
        <v>611.97</v>
      </c>
      <c r="E30" s="94">
        <f>SUM(E14:E29)</f>
        <v>1237.1099999999999</v>
      </c>
      <c r="F30" s="795"/>
      <c r="G30" s="795"/>
      <c r="H30" s="99">
        <f>SUM(H14:H29)</f>
        <v>1311.9228000000001</v>
      </c>
      <c r="I30" s="94">
        <f>SUM(I14:I29)</f>
        <v>7279182.6500000013</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1311.9228000000001</v>
      </c>
      <c r="F46" s="34"/>
      <c r="G46" s="106"/>
      <c r="H46" s="107" t="s">
        <v>98</v>
      </c>
      <c r="I46" s="94">
        <f>SUM(I44,I30)</f>
        <v>7279182.6500000013</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6991619.7000000002</v>
      </c>
      <c r="G51" s="109" t="s">
        <v>6</v>
      </c>
      <c r="H51" s="452">
        <v>5.5899999999999998E-2</v>
      </c>
      <c r="I51" s="101">
        <f>ROUND(F51*H51,2)</f>
        <v>390831.54</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6991619.7000000002</v>
      </c>
      <c r="G52" s="109" t="s">
        <v>6</v>
      </c>
      <c r="H52" s="452">
        <v>1.0699999999999999E-2</v>
      </c>
      <c r="I52" s="101">
        <f>ROUND(F52*H52,2)</f>
        <v>74810.33</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465641.87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27.62</v>
      </c>
      <c r="D57" s="143">
        <v>31.22</v>
      </c>
      <c r="E57" s="116">
        <f t="shared" ref="E57:E65" si="10">IF(D$66=0,C57*2,C57+D57)</f>
        <v>58.84</v>
      </c>
      <c r="F57" s="493" t="s">
        <v>498</v>
      </c>
      <c r="G57" s="493">
        <v>251</v>
      </c>
      <c r="H57" s="507">
        <f>'1461'!H57</f>
        <v>1047</v>
      </c>
      <c r="I57" s="101">
        <f>ROUND(E57*H57,2)</f>
        <v>61605.48</v>
      </c>
      <c r="N57" s="849" t="s">
        <v>506</v>
      </c>
      <c r="O57" s="849"/>
      <c r="P57" s="851"/>
      <c r="Q57" s="851"/>
      <c r="R57" s="499" t="s">
        <v>498</v>
      </c>
      <c r="S57" s="499">
        <v>251</v>
      </c>
      <c r="T57" s="510">
        <f>H57</f>
        <v>1047</v>
      </c>
      <c r="U57" s="524">
        <f>ROUND(P57*T57,2)</f>
        <v>0</v>
      </c>
      <c r="V57" s="474"/>
    </row>
    <row r="58" spans="1:22" x14ac:dyDescent="0.3">
      <c r="A58" s="792"/>
      <c r="B58" s="792"/>
      <c r="C58" s="143">
        <v>5.0199999999999996</v>
      </c>
      <c r="D58" s="143">
        <v>5.68</v>
      </c>
      <c r="E58" s="116">
        <f t="shared" si="10"/>
        <v>10.7</v>
      </c>
      <c r="F58" s="493" t="s">
        <v>498</v>
      </c>
      <c r="G58" s="493">
        <v>252</v>
      </c>
      <c r="H58" s="507">
        <f>'1461'!H58</f>
        <v>3380</v>
      </c>
      <c r="I58" s="101">
        <f t="shared" ref="I58:I65" si="11">ROUND(E58*H58,2)</f>
        <v>36166</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36.71</v>
      </c>
      <c r="D60" s="143">
        <v>38.25</v>
      </c>
      <c r="E60" s="116">
        <f t="shared" si="10"/>
        <v>74.960000000000008</v>
      </c>
      <c r="F60" s="494" t="s">
        <v>13</v>
      </c>
      <c r="G60" s="493">
        <v>251</v>
      </c>
      <c r="H60" s="507">
        <f>'1461'!H60</f>
        <v>1173</v>
      </c>
      <c r="I60" s="101">
        <f t="shared" si="11"/>
        <v>87928.08</v>
      </c>
      <c r="N60" s="850"/>
      <c r="O60" s="850"/>
      <c r="P60" s="844"/>
      <c r="Q60" s="844"/>
      <c r="R60" s="40" t="s">
        <v>13</v>
      </c>
      <c r="S60" s="499">
        <v>251</v>
      </c>
      <c r="T60" s="510">
        <f t="shared" si="12"/>
        <v>1173</v>
      </c>
      <c r="U60" s="524">
        <f t="shared" si="13"/>
        <v>0</v>
      </c>
      <c r="V60" s="474"/>
    </row>
    <row r="61" spans="1:22" x14ac:dyDescent="0.3">
      <c r="A61" s="792"/>
      <c r="B61" s="792"/>
      <c r="C61" s="143">
        <v>6.04</v>
      </c>
      <c r="D61" s="143">
        <v>6.29</v>
      </c>
      <c r="E61" s="116">
        <f t="shared" si="10"/>
        <v>12.33</v>
      </c>
      <c r="F61" s="494" t="s">
        <v>13</v>
      </c>
      <c r="G61" s="493">
        <v>252</v>
      </c>
      <c r="H61" s="507">
        <f>'1461'!H61</f>
        <v>3506</v>
      </c>
      <c r="I61" s="101">
        <f t="shared" si="11"/>
        <v>43228.98</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75.39</v>
      </c>
      <c r="D66" s="97">
        <f>SUM(D57:D65)</f>
        <v>81.440000000000012</v>
      </c>
      <c r="E66" s="97">
        <f>SUM(E57:E65)</f>
        <v>156.83000000000001</v>
      </c>
      <c r="F66" s="779" t="s">
        <v>507</v>
      </c>
      <c r="G66" s="779"/>
      <c r="H66" s="779"/>
      <c r="I66" s="97">
        <f>SUM(I57:I65)</f>
        <v>228928.54</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1237.1099999999999</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5.8859999999999997E-3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1311.9228000000001</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5.5310000000000003E-3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1237.1099999999999</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6.6660000000000001E-3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1237.1099999999999</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5.8960000000000002E-3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1237.1099999999999</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6.6779999999999999E-3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5.8960000000000002E-3</v>
      </c>
      <c r="I85" s="101">
        <f>ROUND(F85*H85,2)</f>
        <v>272106.76</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5.8859999999999997E-3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6.6779999999999999E-3</v>
      </c>
      <c r="I90" s="101">
        <f>ROUND(F90*H90,2)</f>
        <v>127512</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6.6660000000000001E-3</v>
      </c>
      <c r="I92" s="101">
        <f t="shared" ref="I92:I96" si="14">ROUND(F92*H92,2)</f>
        <v>76405.210000000006</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5.5310000000000003E-3</v>
      </c>
      <c r="I94" s="101">
        <f t="shared" si="14"/>
        <v>1414590.95</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5.5310000000000003E-3</v>
      </c>
      <c r="I96" s="101">
        <f t="shared" si="14"/>
        <v>-92397.38</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5.8859999999999997E-3</v>
      </c>
      <c r="I98" s="101">
        <f t="shared" ref="I98" si="16">ROUND(F98*H98,2)</f>
        <v>1199.93</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637.18420000000003</v>
      </c>
      <c r="D104" s="774"/>
      <c r="E104" s="46">
        <f>H8</f>
        <v>1.0407999999999999</v>
      </c>
      <c r="F104" s="302">
        <f>'1461'!F104</f>
        <v>950.92</v>
      </c>
      <c r="G104" s="39" t="s">
        <v>12</v>
      </c>
      <c r="H104" s="101">
        <f>ROUND(C104*E104*F104,2)</f>
        <v>630632.38</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674.73860000000002</v>
      </c>
      <c r="D105" s="774"/>
      <c r="E105" s="46">
        <f>H8</f>
        <v>1.0407999999999999</v>
      </c>
      <c r="F105" s="302">
        <f>'1461'!F105</f>
        <v>907.92</v>
      </c>
      <c r="G105" s="39" t="s">
        <v>12</v>
      </c>
      <c r="H105" s="101">
        <f>ROUND(C105*E105*F105,2)</f>
        <v>637603.1</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1311.9228000000001</v>
      </c>
      <c r="D107" s="787"/>
      <c r="E107" s="123"/>
      <c r="F107" s="123"/>
      <c r="G107" s="123"/>
      <c r="H107" s="124" t="s">
        <v>100</v>
      </c>
      <c r="I107" s="101">
        <f>IF(A1=75,0,H106+H105+H104)</f>
        <v>1268235.48</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237</v>
      </c>
      <c r="D113" s="143">
        <v>244</v>
      </c>
      <c r="E113" s="116">
        <f>(C113+D113)/2</f>
        <v>240.5</v>
      </c>
      <c r="F113" s="126" t="s">
        <v>30</v>
      </c>
      <c r="G113" s="303">
        <f>'1461'!G113</f>
        <v>584</v>
      </c>
      <c r="I113" s="101">
        <f>ROUND(G113*E113,2)</f>
        <v>140452</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10716216.140000001</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10250574.270000001</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10250574.270000001</v>
      </c>
      <c r="I135" s="94">
        <f>ROUND(IF(E30=0,0,IF(E30&gt;250,-(((250/E30)*H135)*IF(G135="H",0.02,0.05)),IF(G135="H",-0.02*H135,-0.05*H135))),2)</f>
        <v>-103573.8</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10612642.34</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Payments'!Q103</f>
        <v>-10713626.219999997</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-100983.87999999709</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-100983.88</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408954.91</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O1:U1"/>
    <mergeCell ref="N2:U2"/>
    <mergeCell ref="N3:U3"/>
    <mergeCell ref="A4:B4"/>
    <mergeCell ref="C4:E4"/>
    <mergeCell ref="N4:O4"/>
    <mergeCell ref="P4:Q4"/>
    <mergeCell ref="B1:I1"/>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N20:O20"/>
    <mergeCell ref="P20:Q20"/>
    <mergeCell ref="R20:S20"/>
    <mergeCell ref="A21:B21"/>
    <mergeCell ref="F21:G21"/>
    <mergeCell ref="N21:O21"/>
    <mergeCell ref="P21:Q21"/>
    <mergeCell ref="R21:S21"/>
    <mergeCell ref="A20:B20"/>
    <mergeCell ref="F20:G20"/>
    <mergeCell ref="N22:O22"/>
    <mergeCell ref="P22:Q22"/>
    <mergeCell ref="R22:S22"/>
    <mergeCell ref="A23:B23"/>
    <mergeCell ref="F23:G23"/>
    <mergeCell ref="N23:O23"/>
    <mergeCell ref="P23:Q23"/>
    <mergeCell ref="R23:S23"/>
    <mergeCell ref="A22:B22"/>
    <mergeCell ref="F22:G22"/>
    <mergeCell ref="N24:O24"/>
    <mergeCell ref="P24:Q24"/>
    <mergeCell ref="R24:S24"/>
    <mergeCell ref="A25:B25"/>
    <mergeCell ref="F25:G25"/>
    <mergeCell ref="N25:O25"/>
    <mergeCell ref="P25:Q25"/>
    <mergeCell ref="R25:S25"/>
    <mergeCell ref="A24:B24"/>
    <mergeCell ref="F24:G24"/>
    <mergeCell ref="F26:G26"/>
    <mergeCell ref="N26:O26"/>
    <mergeCell ref="P26:Q26"/>
    <mergeCell ref="R26:S26"/>
    <mergeCell ref="A27:B27"/>
    <mergeCell ref="F27:G27"/>
    <mergeCell ref="N27:O27"/>
    <mergeCell ref="P27:Q27"/>
    <mergeCell ref="R27:S27"/>
    <mergeCell ref="A26:B26"/>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6">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1" width="14.5546875" style="3" bestFit="1" customWidth="1"/>
    <col min="12"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345</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J10" s="253"/>
      <c r="K10" s="65"/>
      <c r="L10" s="65"/>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J11" s="255"/>
      <c r="K11" s="254"/>
      <c r="L11" s="254"/>
      <c r="N11" s="12"/>
      <c r="O11" s="12"/>
      <c r="P11" s="13"/>
      <c r="Q11" s="13"/>
      <c r="R11" s="870" t="s">
        <v>1</v>
      </c>
      <c r="S11" s="870"/>
      <c r="T11" s="15" t="s">
        <v>60</v>
      </c>
      <c r="U11" s="16" t="s">
        <v>27</v>
      </c>
    </row>
    <row r="12" spans="1:21" ht="15.75" customHeight="1" x14ac:dyDescent="0.3">
      <c r="A12" s="796" t="s">
        <v>1</v>
      </c>
      <c r="B12" s="796"/>
      <c r="C12" s="341" t="str">
        <f>'1461'!C12</f>
        <v>FTE</v>
      </c>
      <c r="D12" s="339" t="str">
        <f>'1461'!D12</f>
        <v>FTE</v>
      </c>
      <c r="E12" s="339" t="s">
        <v>2</v>
      </c>
      <c r="F12" s="805" t="s">
        <v>63</v>
      </c>
      <c r="G12" s="805"/>
      <c r="H12" s="17" t="s">
        <v>59</v>
      </c>
      <c r="I12" s="439" t="s">
        <v>457</v>
      </c>
      <c r="J12" s="253"/>
      <c r="K12" s="254"/>
      <c r="L12" s="254"/>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K13" s="254"/>
      <c r="L13" s="254"/>
      <c r="N13" s="865" t="s">
        <v>36</v>
      </c>
      <c r="O13" s="865"/>
      <c r="P13" s="866" t="s">
        <v>37</v>
      </c>
      <c r="Q13" s="866"/>
      <c r="R13" s="867" t="s">
        <v>38</v>
      </c>
      <c r="S13" s="867"/>
      <c r="T13" s="22" t="s">
        <v>39</v>
      </c>
      <c r="U13" s="23" t="s">
        <v>40</v>
      </c>
    </row>
    <row r="14" spans="1:21" x14ac:dyDescent="0.3">
      <c r="A14" s="797" t="s">
        <v>20</v>
      </c>
      <c r="B14" s="797"/>
      <c r="C14" s="143">
        <v>43.44</v>
      </c>
      <c r="D14" s="141">
        <v>48.73</v>
      </c>
      <c r="E14" s="187">
        <f>IF(D$30=0,C14*2,C14+D14)</f>
        <v>92.169999999999987</v>
      </c>
      <c r="F14" s="868">
        <f>'1461'!F14:G14</f>
        <v>1.1180000000000001</v>
      </c>
      <c r="G14" s="868"/>
      <c r="H14" s="145">
        <f>ROUND(E14*F14,4)</f>
        <v>103.0461</v>
      </c>
      <c r="I14" s="111">
        <f>ROUND(ROUND(ROUND(H14*$C$8,4)*($H$8),2)*(MAX($H$9,1)),2)</f>
        <v>571749.64</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1.5</v>
      </c>
      <c r="D15" s="143">
        <v>2</v>
      </c>
      <c r="E15" s="116">
        <f t="shared" ref="E15:E29" si="1">IF(D$30=0,C15*2,C15+D15)</f>
        <v>3.5</v>
      </c>
      <c r="F15" s="859">
        <f>'1461'!F15:G15</f>
        <v>1.1180000000000001</v>
      </c>
      <c r="G15" s="859"/>
      <c r="H15" s="80">
        <f t="shared" ref="H15:H29" si="2">ROUND(E15*F15,4)</f>
        <v>3.9129999999999998</v>
      </c>
      <c r="I15" s="101">
        <f t="shared" ref="I15:I29" si="3">ROUND(ROUND(ROUND(H15*$C$8,4)*($H$8),2)*(MAX($H$9,1)),2)</f>
        <v>21711.22</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33.81</v>
      </c>
      <c r="D16" s="143">
        <v>38.32</v>
      </c>
      <c r="E16" s="116">
        <f t="shared" si="1"/>
        <v>72.13</v>
      </c>
      <c r="F16" s="859">
        <f>'1461'!F16:G16</f>
        <v>1</v>
      </c>
      <c r="G16" s="859"/>
      <c r="H16" s="80">
        <f t="shared" si="2"/>
        <v>72.13</v>
      </c>
      <c r="I16" s="101">
        <f t="shared" si="3"/>
        <v>400212.15</v>
      </c>
      <c r="N16" s="818" t="s">
        <v>22</v>
      </c>
      <c r="O16" s="818"/>
      <c r="P16" s="860">
        <f t="shared" si="0"/>
        <v>0</v>
      </c>
      <c r="Q16" s="860"/>
      <c r="R16" s="864">
        <v>1</v>
      </c>
      <c r="S16" s="864"/>
      <c r="T16" s="95">
        <f t="shared" si="4"/>
        <v>0</v>
      </c>
      <c r="U16" s="523">
        <f t="shared" si="5"/>
        <v>0</v>
      </c>
    </row>
    <row r="17" spans="1:21" x14ac:dyDescent="0.3">
      <c r="A17" s="776" t="s">
        <v>23</v>
      </c>
      <c r="B17" s="776"/>
      <c r="C17" s="143">
        <v>3</v>
      </c>
      <c r="D17" s="143">
        <v>3</v>
      </c>
      <c r="E17" s="116">
        <f t="shared" si="1"/>
        <v>6</v>
      </c>
      <c r="F17" s="859">
        <f>'1461'!F17:G17</f>
        <v>1</v>
      </c>
      <c r="G17" s="859"/>
      <c r="H17" s="80">
        <f t="shared" si="2"/>
        <v>6</v>
      </c>
      <c r="I17" s="101">
        <f t="shared" si="3"/>
        <v>33290.9</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50.09</v>
      </c>
      <c r="D26" s="143">
        <v>42.71</v>
      </c>
      <c r="E26" s="116">
        <f t="shared" si="1"/>
        <v>92.800000000000011</v>
      </c>
      <c r="F26" s="859">
        <f>'1461'!F26:G26</f>
        <v>1.1919999999999999</v>
      </c>
      <c r="G26" s="859"/>
      <c r="H26" s="80">
        <f t="shared" si="2"/>
        <v>110.6176</v>
      </c>
      <c r="I26" s="101">
        <f t="shared" si="3"/>
        <v>613759.98</v>
      </c>
      <c r="N26" s="818" t="s">
        <v>85</v>
      </c>
      <c r="O26" s="818"/>
      <c r="P26" s="860">
        <f t="shared" si="0"/>
        <v>0</v>
      </c>
      <c r="Q26" s="860"/>
      <c r="R26" s="864">
        <v>1</v>
      </c>
      <c r="S26" s="864"/>
      <c r="T26" s="95">
        <f t="shared" si="4"/>
        <v>0</v>
      </c>
      <c r="U26" s="523">
        <f t="shared" si="5"/>
        <v>0</v>
      </c>
    </row>
    <row r="27" spans="1:21" x14ac:dyDescent="0.3">
      <c r="A27" s="776" t="s">
        <v>86</v>
      </c>
      <c r="B27" s="776"/>
      <c r="C27" s="143">
        <v>20.14</v>
      </c>
      <c r="D27" s="143">
        <v>17.18</v>
      </c>
      <c r="E27" s="116">
        <f t="shared" si="1"/>
        <v>37.32</v>
      </c>
      <c r="F27" s="859">
        <f>'1461'!F27:G27</f>
        <v>1.1919999999999999</v>
      </c>
      <c r="G27" s="859"/>
      <c r="H27" s="80">
        <f t="shared" si="2"/>
        <v>44.485399999999998</v>
      </c>
      <c r="I27" s="101">
        <f t="shared" si="3"/>
        <v>246826.53</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151.98000000000002</v>
      </c>
      <c r="D30" s="94">
        <f>SUM(D14:D29)+0</f>
        <v>151.94</v>
      </c>
      <c r="E30" s="94">
        <f>SUM(E14:E29)</f>
        <v>303.92</v>
      </c>
      <c r="F30" s="795"/>
      <c r="G30" s="795"/>
      <c r="H30" s="99">
        <f>SUM(H14:H29)</f>
        <v>340.19209999999998</v>
      </c>
      <c r="I30" s="94">
        <f>SUM(I14:I29)</f>
        <v>1887550.4200000002</v>
      </c>
      <c r="K30" s="236">
        <f>I30-J30</f>
        <v>1887550.4200000002</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340.19209999999998</v>
      </c>
      <c r="F46" s="34"/>
      <c r="G46" s="106"/>
      <c r="H46" s="107" t="s">
        <v>98</v>
      </c>
      <c r="I46" s="94">
        <f>SUM(I44,I30)</f>
        <v>1887550.4200000002</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1985077.23</v>
      </c>
      <c r="G51" s="109" t="s">
        <v>6</v>
      </c>
      <c r="H51" s="452">
        <v>5.5899999999999998E-2</v>
      </c>
      <c r="I51" s="101">
        <f>ROUND(F51*H51,2)</f>
        <v>110965.82</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1985077.23</v>
      </c>
      <c r="G52" s="109" t="s">
        <v>6</v>
      </c>
      <c r="H52" s="452">
        <v>1.0699999999999999E-2</v>
      </c>
      <c r="I52" s="101">
        <f>ROUND(F52*H52,2)</f>
        <v>21240.33</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132206.15000000002</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1.5</v>
      </c>
      <c r="D57" s="143">
        <v>2</v>
      </c>
      <c r="E57" s="116">
        <f>IF(D$66=0,C57*2,C57+D57)</f>
        <v>3.5</v>
      </c>
      <c r="F57" s="493" t="s">
        <v>498</v>
      </c>
      <c r="G57" s="493">
        <v>251</v>
      </c>
      <c r="H57" s="507">
        <f>'1461'!H57</f>
        <v>1047</v>
      </c>
      <c r="I57" s="101">
        <f>ROUND(E57*H57,2)</f>
        <v>3664.5</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ref="E58:E65" si="10">IF(D$66=0,C58*2,C58+D58)</f>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3</v>
      </c>
      <c r="D60" s="143">
        <v>3</v>
      </c>
      <c r="E60" s="116">
        <f t="shared" si="10"/>
        <v>6</v>
      </c>
      <c r="F60" s="494" t="s">
        <v>13</v>
      </c>
      <c r="G60" s="493">
        <v>251</v>
      </c>
      <c r="H60" s="507">
        <f>'1461'!H60</f>
        <v>1173</v>
      </c>
      <c r="I60" s="101">
        <f t="shared" si="11"/>
        <v>7038</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4.5</v>
      </c>
      <c r="D66" s="97">
        <f>SUM(D57:D65)</f>
        <v>5</v>
      </c>
      <c r="E66" s="97">
        <f>SUM(E57:E65)</f>
        <v>9.5</v>
      </c>
      <c r="F66" s="779" t="s">
        <v>507</v>
      </c>
      <c r="G66" s="779"/>
      <c r="H66" s="779"/>
      <c r="I66" s="97">
        <f>SUM(I57:I65)</f>
        <v>10702.5</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303.92</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1.446E-3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340.19209999999998</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1.4339999999999999E-3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303.92</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1.6379999999999999E-3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303.92</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1.4480000000000001E-3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303.92</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1.6410000000000001E-3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1.4480000000000001E-3</v>
      </c>
      <c r="I85" s="101">
        <f>ROUND(F85*H85,2)</f>
        <v>66826.759999999995</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1.446E-3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1.6410000000000001E-3</v>
      </c>
      <c r="I90" s="101">
        <f>ROUND(F90*H90,2)</f>
        <v>31333.81</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1.6379999999999999E-3</v>
      </c>
      <c r="I92" s="101">
        <f t="shared" ref="I92:I96" si="14">ROUND(F92*H92,2)</f>
        <v>18774.64</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1.4339999999999999E-3</v>
      </c>
      <c r="I94" s="101">
        <f t="shared" si="14"/>
        <v>366755.27</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1.4339999999999999E-3</v>
      </c>
      <c r="I96" s="101">
        <f t="shared" si="14"/>
        <v>-23955.49</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1.446E-3</v>
      </c>
      <c r="I98" s="101">
        <f t="shared" ref="I98" si="16">ROUND(F98*H98,2)</f>
        <v>294.77999999999997</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217.57669999999999</v>
      </c>
      <c r="D104" s="774"/>
      <c r="E104" s="46">
        <f>H8</f>
        <v>1.0407999999999999</v>
      </c>
      <c r="F104" s="302">
        <f>'1461'!F104</f>
        <v>950.92</v>
      </c>
      <c r="G104" s="39" t="s">
        <v>12</v>
      </c>
      <c r="H104" s="101">
        <f>ROUND(C104*E104*F104,2)</f>
        <v>215339.48</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122.61539999999999</v>
      </c>
      <c r="D105" s="774"/>
      <c r="E105" s="46">
        <f>H8</f>
        <v>1.0407999999999999</v>
      </c>
      <c r="F105" s="302">
        <f>'1461'!F105</f>
        <v>907.92</v>
      </c>
      <c r="G105" s="39" t="s">
        <v>12</v>
      </c>
      <c r="H105" s="101">
        <f>ROUND(C105*E105*F105,2)</f>
        <v>115867.03</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340.19209999999998</v>
      </c>
      <c r="D107" s="787"/>
      <c r="E107" s="123"/>
      <c r="F107" s="123"/>
      <c r="G107" s="123"/>
      <c r="H107" s="124" t="s">
        <v>100</v>
      </c>
      <c r="I107" s="101">
        <f>IF(A1=75,0,H106+H105+H104)</f>
        <v>331206.51</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41"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2689489.2</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2557283.0500000003</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2557283.0500000003</v>
      </c>
      <c r="I135" s="94">
        <f>ROUND(IF(E30=0,0,IF(E30&gt;250,-(((250/E30)*H135)*IF(G135="H",0.02,0.05)),IF(G135="H",-0.02*H135,-0.05*H135))),2)</f>
        <v>-105179.12</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2584310.08</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81" t="s">
        <v>241</v>
      </c>
      <c r="B139" s="69"/>
      <c r="C139" s="140"/>
      <c r="D139" s="69"/>
      <c r="F139" s="69"/>
      <c r="G139" s="69"/>
      <c r="H139" s="65"/>
      <c r="I139" s="271">
        <f>-'Cumulative Payments'!Q104</f>
        <v>-2602548.2000000002</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266">
        <f>I137+I139</f>
        <v>-18238.120000000112</v>
      </c>
      <c r="N141" s="73"/>
      <c r="O141" s="73"/>
      <c r="P141" s="73"/>
      <c r="Q141" s="73"/>
      <c r="R141" s="73"/>
      <c r="S141" s="73"/>
      <c r="T141" s="73"/>
      <c r="U141" s="73"/>
    </row>
    <row r="142" spans="1:21" x14ac:dyDescent="0.3">
      <c r="A142" s="81"/>
      <c r="B142" s="69"/>
      <c r="C142" s="69"/>
      <c r="D142" s="69"/>
      <c r="E142" s="69"/>
      <c r="F142" s="69"/>
      <c r="G142" s="69"/>
      <c r="H142" s="65"/>
      <c r="I142" s="266"/>
      <c r="N142" s="73"/>
      <c r="O142" s="73"/>
      <c r="P142" s="73"/>
      <c r="Q142" s="73"/>
      <c r="R142" s="73"/>
      <c r="S142" s="73"/>
      <c r="T142" s="73"/>
      <c r="U142" s="73"/>
    </row>
    <row r="143" spans="1:21" x14ac:dyDescent="0.3">
      <c r="A143" s="81" t="s">
        <v>247</v>
      </c>
      <c r="B143" s="69"/>
      <c r="C143" s="69"/>
      <c r="D143" s="69"/>
      <c r="E143" s="69"/>
      <c r="F143" s="69"/>
      <c r="G143" s="69"/>
      <c r="H143" s="65"/>
      <c r="I143" s="273">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-18238.12</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22685.03</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c r="K206" s="250"/>
    </row>
    <row r="207" spans="1:14" x14ac:dyDescent="0.3">
      <c r="A207" s="74"/>
      <c r="K207" s="250"/>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377</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J10" s="253"/>
      <c r="K10" s="65"/>
      <c r="L10" s="65"/>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J11" s="255"/>
      <c r="K11" s="254"/>
      <c r="L11" s="254"/>
      <c r="N11" s="12"/>
      <c r="O11" s="12"/>
      <c r="P11" s="13"/>
      <c r="Q11" s="13"/>
      <c r="R11" s="870" t="s">
        <v>1</v>
      </c>
      <c r="S11" s="870"/>
      <c r="T11" s="15" t="s">
        <v>60</v>
      </c>
      <c r="U11" s="16" t="s">
        <v>27</v>
      </c>
    </row>
    <row r="12" spans="1:21" ht="15.75" customHeight="1" x14ac:dyDescent="0.3">
      <c r="A12" s="796" t="s">
        <v>1</v>
      </c>
      <c r="B12" s="796"/>
      <c r="C12" s="341" t="str">
        <f>'1461'!C12</f>
        <v>FTE</v>
      </c>
      <c r="D12" s="339" t="str">
        <f>'1461'!D12</f>
        <v>FTE</v>
      </c>
      <c r="E12" s="339" t="s">
        <v>2</v>
      </c>
      <c r="F12" s="805" t="s">
        <v>63</v>
      </c>
      <c r="G12" s="805"/>
      <c r="H12" s="17" t="s">
        <v>59</v>
      </c>
      <c r="I12" s="439" t="s">
        <v>457</v>
      </c>
      <c r="J12" s="253"/>
      <c r="K12" s="254"/>
      <c r="L12" s="254"/>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K13" s="254"/>
      <c r="L13" s="254"/>
      <c r="N13" s="865" t="s">
        <v>36</v>
      </c>
      <c r="O13" s="865"/>
      <c r="P13" s="866" t="s">
        <v>37</v>
      </c>
      <c r="Q13" s="866"/>
      <c r="R13" s="867" t="s">
        <v>38</v>
      </c>
      <c r="S13" s="867"/>
      <c r="T13" s="22" t="s">
        <v>39</v>
      </c>
      <c r="U13" s="23" t="s">
        <v>40</v>
      </c>
    </row>
    <row r="14" spans="1:21" x14ac:dyDescent="0.3">
      <c r="A14" s="797" t="s">
        <v>20</v>
      </c>
      <c r="B14" s="797"/>
      <c r="C14" s="143">
        <v>63.96</v>
      </c>
      <c r="D14" s="141">
        <v>62.42</v>
      </c>
      <c r="E14" s="187">
        <f>IF(D$30=0,C14*2,C14+D14)</f>
        <v>126.38</v>
      </c>
      <c r="F14" s="868">
        <f>'1461'!F14:G14</f>
        <v>1.1180000000000001</v>
      </c>
      <c r="G14" s="868"/>
      <c r="H14" s="145">
        <f>ROUND(E14*F14,4)</f>
        <v>141.2928</v>
      </c>
      <c r="I14" s="111">
        <f>ROUND(ROUND(ROUND(H14*$C$8,4)*($H$8),2)*(MAX($H$9,1)),2)</f>
        <v>783960.84</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5</v>
      </c>
      <c r="D15" s="143">
        <v>5.5</v>
      </c>
      <c r="E15" s="116">
        <f t="shared" ref="E15:E29" si="1">IF(D$30=0,C15*2,C15+D15)</f>
        <v>10.5</v>
      </c>
      <c r="F15" s="859">
        <f>'1461'!F15:G15</f>
        <v>1.1180000000000001</v>
      </c>
      <c r="G15" s="859"/>
      <c r="H15" s="80">
        <f t="shared" ref="H15:H29" si="2">ROUND(E15*F15,4)</f>
        <v>11.739000000000001</v>
      </c>
      <c r="I15" s="101">
        <f t="shared" ref="I15:I29" si="3">ROUND(ROUND(ROUND(H15*$C$8,4)*($H$8),2)*(MAX($H$9,1)),2)</f>
        <v>65133.65</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94.97</v>
      </c>
      <c r="D16" s="143">
        <v>96.76</v>
      </c>
      <c r="E16" s="116">
        <f t="shared" si="1"/>
        <v>191.73000000000002</v>
      </c>
      <c r="F16" s="859">
        <f>'1461'!F16:G16</f>
        <v>1</v>
      </c>
      <c r="G16" s="859"/>
      <c r="H16" s="80">
        <f t="shared" si="2"/>
        <v>191.73</v>
      </c>
      <c r="I16" s="101">
        <f t="shared" si="3"/>
        <v>1063810.83</v>
      </c>
      <c r="N16" s="818" t="s">
        <v>22</v>
      </c>
      <c r="O16" s="818"/>
      <c r="P16" s="860">
        <f t="shared" si="0"/>
        <v>0</v>
      </c>
      <c r="Q16" s="860"/>
      <c r="R16" s="864">
        <v>1</v>
      </c>
      <c r="S16" s="864"/>
      <c r="T16" s="95">
        <f t="shared" si="4"/>
        <v>0</v>
      </c>
      <c r="U16" s="523">
        <f t="shared" si="5"/>
        <v>0</v>
      </c>
    </row>
    <row r="17" spans="1:21" x14ac:dyDescent="0.3">
      <c r="A17" s="776" t="s">
        <v>23</v>
      </c>
      <c r="B17" s="776"/>
      <c r="C17" s="143">
        <v>18.809999999999999</v>
      </c>
      <c r="D17" s="143">
        <v>16.96</v>
      </c>
      <c r="E17" s="116">
        <f t="shared" si="1"/>
        <v>35.769999999999996</v>
      </c>
      <c r="F17" s="859">
        <f>'1461'!F17:G17</f>
        <v>1</v>
      </c>
      <c r="G17" s="859"/>
      <c r="H17" s="80">
        <f t="shared" si="2"/>
        <v>35.770000000000003</v>
      </c>
      <c r="I17" s="101">
        <f t="shared" si="3"/>
        <v>198469.27</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27.02</v>
      </c>
      <c r="D26" s="143">
        <v>23.77</v>
      </c>
      <c r="E26" s="116">
        <f t="shared" si="1"/>
        <v>50.79</v>
      </c>
      <c r="F26" s="859">
        <f>'1461'!F26:G26</f>
        <v>1.1919999999999999</v>
      </c>
      <c r="G26" s="859"/>
      <c r="H26" s="80">
        <f t="shared" si="2"/>
        <v>60.541699999999999</v>
      </c>
      <c r="I26" s="101">
        <f t="shared" si="3"/>
        <v>335914.65</v>
      </c>
      <c r="N26" s="818" t="s">
        <v>85</v>
      </c>
      <c r="O26" s="818"/>
      <c r="P26" s="860">
        <f t="shared" si="0"/>
        <v>0</v>
      </c>
      <c r="Q26" s="860"/>
      <c r="R26" s="864">
        <v>1</v>
      </c>
      <c r="S26" s="864"/>
      <c r="T26" s="95">
        <f t="shared" si="4"/>
        <v>0</v>
      </c>
      <c r="U26" s="523">
        <f t="shared" si="5"/>
        <v>0</v>
      </c>
    </row>
    <row r="27" spans="1:21" x14ac:dyDescent="0.3">
      <c r="A27" s="776" t="s">
        <v>86</v>
      </c>
      <c r="B27" s="776"/>
      <c r="C27" s="143">
        <v>19.579999999999998</v>
      </c>
      <c r="D27" s="143">
        <v>17.21</v>
      </c>
      <c r="E27" s="116">
        <f t="shared" si="1"/>
        <v>36.79</v>
      </c>
      <c r="F27" s="859">
        <f>'1461'!F27:G27</f>
        <v>1.1919999999999999</v>
      </c>
      <c r="G27" s="859"/>
      <c r="H27" s="80">
        <f t="shared" si="2"/>
        <v>43.853700000000003</v>
      </c>
      <c r="I27" s="101">
        <f t="shared" si="3"/>
        <v>243321.55</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229.34000000000003</v>
      </c>
      <c r="D30" s="94">
        <f>SUM(D14:D29)</f>
        <v>222.62000000000003</v>
      </c>
      <c r="E30" s="94">
        <f>SUM(E14:E29)</f>
        <v>451.96000000000004</v>
      </c>
      <c r="F30" s="795"/>
      <c r="G30" s="795"/>
      <c r="H30" s="99">
        <f>SUM(H14:H29)</f>
        <v>484.92719999999997</v>
      </c>
      <c r="I30" s="94">
        <f>SUM(I14:I29)</f>
        <v>2690610.7899999996</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484.92719999999997</v>
      </c>
      <c r="F46" s="34"/>
      <c r="G46" s="106"/>
      <c r="H46" s="107" t="s">
        <v>98</v>
      </c>
      <c r="I46" s="94">
        <f>SUM(I44,I30)</f>
        <v>2690610.7899999996</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3169867.2099999995</v>
      </c>
      <c r="G51" s="109" t="s">
        <v>6</v>
      </c>
      <c r="H51" s="452">
        <v>5.5899999999999998E-2</v>
      </c>
      <c r="I51" s="101">
        <f>ROUND(F51*H51,2)</f>
        <v>177195.58</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3169867.2099999995</v>
      </c>
      <c r="G52" s="109" t="s">
        <v>6</v>
      </c>
      <c r="H52" s="452">
        <v>1.0699999999999999E-2</v>
      </c>
      <c r="I52" s="101">
        <f>ROUND(F52*H52,2)</f>
        <v>33917.58</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211113.15999999997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3</v>
      </c>
      <c r="D57" s="143">
        <v>3.3</v>
      </c>
      <c r="E57" s="116">
        <f t="shared" ref="E57:E65" si="10">IF(D$66=0,C57*2,C57+D57)</f>
        <v>6.3</v>
      </c>
      <c r="F57" s="493" t="s">
        <v>498</v>
      </c>
      <c r="G57" s="493">
        <v>251</v>
      </c>
      <c r="H57" s="507">
        <f>'1461'!H57</f>
        <v>1047</v>
      </c>
      <c r="I57" s="101">
        <f>ROUND(E57*H57,2)</f>
        <v>6596.1</v>
      </c>
      <c r="N57" s="849" t="s">
        <v>506</v>
      </c>
      <c r="O57" s="849"/>
      <c r="P57" s="851"/>
      <c r="Q57" s="851"/>
      <c r="R57" s="499" t="s">
        <v>498</v>
      </c>
      <c r="S57" s="499">
        <v>251</v>
      </c>
      <c r="T57" s="510">
        <f>H57</f>
        <v>1047</v>
      </c>
      <c r="U57" s="524">
        <f>ROUND(P57*T57,2)</f>
        <v>0</v>
      </c>
      <c r="V57" s="474"/>
    </row>
    <row r="58" spans="1:22" x14ac:dyDescent="0.3">
      <c r="A58" s="792"/>
      <c r="B58" s="792"/>
      <c r="C58" s="143">
        <v>2</v>
      </c>
      <c r="D58" s="143">
        <v>2.2000000000000002</v>
      </c>
      <c r="E58" s="116">
        <f t="shared" si="10"/>
        <v>4.2</v>
      </c>
      <c r="F58" s="493" t="s">
        <v>498</v>
      </c>
      <c r="G58" s="493">
        <v>252</v>
      </c>
      <c r="H58" s="507">
        <f>'1461'!H58</f>
        <v>3380</v>
      </c>
      <c r="I58" s="101">
        <f t="shared" ref="I58:I65" si="11">ROUND(E58*H58,2)</f>
        <v>14196</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15.29</v>
      </c>
      <c r="D60" s="143">
        <v>13.78</v>
      </c>
      <c r="E60" s="116">
        <f t="shared" si="10"/>
        <v>29.07</v>
      </c>
      <c r="F60" s="494" t="s">
        <v>13</v>
      </c>
      <c r="G60" s="493">
        <v>251</v>
      </c>
      <c r="H60" s="507">
        <f>'1461'!H60</f>
        <v>1173</v>
      </c>
      <c r="I60" s="101">
        <f t="shared" si="11"/>
        <v>34099.11</v>
      </c>
      <c r="N60" s="850"/>
      <c r="O60" s="850"/>
      <c r="P60" s="844"/>
      <c r="Q60" s="844"/>
      <c r="R60" s="40" t="s">
        <v>13</v>
      </c>
      <c r="S60" s="499">
        <v>251</v>
      </c>
      <c r="T60" s="510">
        <f t="shared" si="12"/>
        <v>1173</v>
      </c>
      <c r="U60" s="524">
        <f t="shared" si="13"/>
        <v>0</v>
      </c>
      <c r="V60" s="474"/>
    </row>
    <row r="61" spans="1:22" x14ac:dyDescent="0.3">
      <c r="A61" s="792"/>
      <c r="B61" s="792"/>
      <c r="C61" s="143">
        <v>3.52</v>
      </c>
      <c r="D61" s="143">
        <v>3.18</v>
      </c>
      <c r="E61" s="116">
        <f t="shared" si="10"/>
        <v>6.7</v>
      </c>
      <c r="F61" s="494" t="s">
        <v>13</v>
      </c>
      <c r="G61" s="493">
        <v>252</v>
      </c>
      <c r="H61" s="507">
        <f>'1461'!H61</f>
        <v>3506</v>
      </c>
      <c r="I61" s="101">
        <f t="shared" si="11"/>
        <v>23490.2</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23.81</v>
      </c>
      <c r="D66" s="97">
        <f>SUM(D57:D65)</f>
        <v>22.46</v>
      </c>
      <c r="E66" s="97">
        <f>SUM(E57:E65)</f>
        <v>46.27</v>
      </c>
      <c r="F66" s="779" t="s">
        <v>507</v>
      </c>
      <c r="G66" s="779"/>
      <c r="H66" s="779"/>
      <c r="I66" s="97">
        <f>SUM(I57:I65)</f>
        <v>78381.41</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451.96000000000004</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2.15E-3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484.92719999999997</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2.0439999999999998E-3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451.96000000000004</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2.4350000000000001E-3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451.96000000000004</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2.1540000000000001E-3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451.96000000000004</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2.4399999999999999E-3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2.1540000000000001E-3</v>
      </c>
      <c r="I85" s="101">
        <f>ROUND(F85*H85,2)</f>
        <v>99409.42</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2.15E-3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2.4399999999999999E-3</v>
      </c>
      <c r="I90" s="101">
        <f>ROUND(F90*H90,2)</f>
        <v>46590.19</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2.4350000000000001E-3</v>
      </c>
      <c r="I92" s="101">
        <f t="shared" ref="I92:I96" si="14">ROUND(F92*H92,2)</f>
        <v>27909.79</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2.0439999999999998E-3</v>
      </c>
      <c r="I94" s="101">
        <f t="shared" si="14"/>
        <v>522766.93</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2.0439999999999998E-3</v>
      </c>
      <c r="I96" s="101">
        <f t="shared" si="14"/>
        <v>-34145.769999999997</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2.15E-3</v>
      </c>
      <c r="I98" s="101">
        <f t="shared" ref="I98" si="16">ROUND(F98*H98,2)</f>
        <v>438.3</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213.5735</v>
      </c>
      <c r="D104" s="774"/>
      <c r="E104" s="46">
        <f>H8</f>
        <v>1.0407999999999999</v>
      </c>
      <c r="F104" s="302">
        <f>'1461'!F104</f>
        <v>950.92</v>
      </c>
      <c r="G104" s="39" t="s">
        <v>12</v>
      </c>
      <c r="H104" s="101">
        <f>ROUND(C104*E104*F104,2)</f>
        <v>211377.44</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271.3537</v>
      </c>
      <c r="D105" s="774"/>
      <c r="E105" s="46">
        <f>H8</f>
        <v>1.0407999999999999</v>
      </c>
      <c r="F105" s="302">
        <f>'1461'!F105</f>
        <v>907.92</v>
      </c>
      <c r="G105" s="39" t="s">
        <v>12</v>
      </c>
      <c r="H105" s="101">
        <f>ROUND(C105*E105*F105,2)</f>
        <v>256419.24</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484.92719999999997</v>
      </c>
      <c r="D107" s="787"/>
      <c r="E107" s="123"/>
      <c r="F107" s="123"/>
      <c r="G107" s="123"/>
      <c r="H107" s="124" t="s">
        <v>100</v>
      </c>
      <c r="I107" s="101">
        <f>IF(A1=75,0,H106+H105+H104)</f>
        <v>467796.68</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41"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3899757.7399999998</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3688644.5799999996</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3688644.5799999996</v>
      </c>
      <c r="I135" s="94">
        <f>ROUND(IF(E30=0,0,IF(E30&gt;250,-(((250/E30)*H135)*IF(G135="H",0.02,0.05)),IF(G135="H",-0.02*H135,-0.05*H135))),2)</f>
        <v>-102018</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3797739.7399999998</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81" t="s">
        <v>241</v>
      </c>
      <c r="B139" s="69"/>
      <c r="C139" s="140"/>
      <c r="D139" s="69"/>
      <c r="F139" s="69"/>
      <c r="G139" s="69"/>
      <c r="H139" s="65"/>
      <c r="I139" s="271">
        <f>-'Cumulative Payments'!Q105</f>
        <v>-3869800.08</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266">
        <f>I137+I139</f>
        <v>-72060.340000000317</v>
      </c>
      <c r="N141" s="73"/>
      <c r="O141" s="73"/>
      <c r="P141" s="73"/>
      <c r="Q141" s="73"/>
      <c r="R141" s="73"/>
      <c r="S141" s="73"/>
      <c r="T141" s="73"/>
      <c r="U141" s="73"/>
    </row>
    <row r="142" spans="1:21" x14ac:dyDescent="0.3">
      <c r="A142" s="81"/>
      <c r="B142" s="69"/>
      <c r="C142" s="69"/>
      <c r="D142" s="69"/>
      <c r="E142" s="69"/>
      <c r="F142" s="69"/>
      <c r="G142" s="69"/>
      <c r="H142" s="65"/>
      <c r="I142" s="266"/>
      <c r="N142" s="73"/>
      <c r="O142" s="73"/>
      <c r="P142" s="73"/>
      <c r="Q142" s="73"/>
      <c r="R142" s="73"/>
      <c r="S142" s="73"/>
      <c r="T142" s="73"/>
      <c r="U142" s="73"/>
    </row>
    <row r="143" spans="1:21" x14ac:dyDescent="0.3">
      <c r="A143" s="81" t="s">
        <v>247</v>
      </c>
      <c r="B143" s="69"/>
      <c r="C143" s="69"/>
      <c r="D143" s="69"/>
      <c r="E143" s="69"/>
      <c r="F143" s="69"/>
      <c r="G143" s="69"/>
      <c r="H143" s="65"/>
      <c r="I143" s="273">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-72060.34</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82414.23</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8">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132</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36.9</v>
      </c>
      <c r="D16" s="143">
        <v>36.4</v>
      </c>
      <c r="E16" s="116">
        <f t="shared" si="1"/>
        <v>73.3</v>
      </c>
      <c r="F16" s="859">
        <f>'1461'!F16:G16</f>
        <v>1</v>
      </c>
      <c r="G16" s="859"/>
      <c r="H16" s="80">
        <f t="shared" si="2"/>
        <v>73.3</v>
      </c>
      <c r="I16" s="101">
        <f t="shared" si="3"/>
        <v>406703.88</v>
      </c>
      <c r="N16" s="818" t="s">
        <v>22</v>
      </c>
      <c r="O16" s="818"/>
      <c r="P16" s="860">
        <f t="shared" si="0"/>
        <v>0</v>
      </c>
      <c r="Q16" s="860"/>
      <c r="R16" s="864">
        <v>1</v>
      </c>
      <c r="S16" s="864"/>
      <c r="T16" s="95">
        <f t="shared" si="4"/>
        <v>0</v>
      </c>
      <c r="U16" s="523">
        <f t="shared" si="5"/>
        <v>0</v>
      </c>
    </row>
    <row r="17" spans="1:21" x14ac:dyDescent="0.3">
      <c r="A17" s="776" t="s">
        <v>23</v>
      </c>
      <c r="B17" s="776"/>
      <c r="C17" s="143">
        <v>9.3800000000000008</v>
      </c>
      <c r="D17" s="143">
        <v>9.3699999999999992</v>
      </c>
      <c r="E17" s="116">
        <f t="shared" si="1"/>
        <v>18.75</v>
      </c>
      <c r="F17" s="859">
        <f>'1461'!F17:G17</f>
        <v>1</v>
      </c>
      <c r="G17" s="859"/>
      <c r="H17" s="80">
        <f t="shared" si="2"/>
        <v>18.75</v>
      </c>
      <c r="I17" s="101">
        <f t="shared" si="3"/>
        <v>104034.07</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1</v>
      </c>
      <c r="D27" s="143">
        <v>1.41</v>
      </c>
      <c r="E27" s="116">
        <f t="shared" si="1"/>
        <v>2.41</v>
      </c>
      <c r="F27" s="859">
        <f>'1461'!F27:G27</f>
        <v>1.1919999999999999</v>
      </c>
      <c r="G27" s="859"/>
      <c r="H27" s="80">
        <f t="shared" si="2"/>
        <v>2.8727</v>
      </c>
      <c r="I27" s="101">
        <f t="shared" si="3"/>
        <v>15939.13</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47.28</v>
      </c>
      <c r="D30" s="94">
        <f>SUM(D14:D29)</f>
        <v>47.179999999999993</v>
      </c>
      <c r="E30" s="94">
        <f>SUM(E14:E29)</f>
        <v>94.46</v>
      </c>
      <c r="F30" s="795"/>
      <c r="G30" s="795"/>
      <c r="H30" s="99">
        <f>SUM(H14:H29)</f>
        <v>94.922699999999992</v>
      </c>
      <c r="I30" s="94">
        <f>SUM(I14:I29)</f>
        <v>526677.07999999996</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94.922699999999992</v>
      </c>
      <c r="F46" s="34"/>
      <c r="G46" s="106"/>
      <c r="H46" s="107" t="s">
        <v>98</v>
      </c>
      <c r="I46" s="94">
        <f>SUM(I44,I30)</f>
        <v>526677.07999999996</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504219.03</v>
      </c>
      <c r="G51" s="109" t="s">
        <v>6</v>
      </c>
      <c r="H51" s="452">
        <v>5.5899999999999998E-2</v>
      </c>
      <c r="I51" s="101">
        <f>ROUND(F51*H51,2)</f>
        <v>28185.84</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504219.03</v>
      </c>
      <c r="G52" s="109" t="s">
        <v>6</v>
      </c>
      <c r="H52" s="452">
        <v>1.0699999999999999E-2</v>
      </c>
      <c r="I52" s="101">
        <f>ROUND(F52*H52,2)</f>
        <v>5395.14</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33580.980000000003</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8.8800000000000008</v>
      </c>
      <c r="D60" s="143">
        <v>8.8699999999999992</v>
      </c>
      <c r="E60" s="116">
        <f t="shared" si="10"/>
        <v>17.75</v>
      </c>
      <c r="F60" s="494" t="s">
        <v>13</v>
      </c>
      <c r="G60" s="493">
        <v>251</v>
      </c>
      <c r="H60" s="507">
        <f>'1461'!H60</f>
        <v>1173</v>
      </c>
      <c r="I60" s="101">
        <f t="shared" si="11"/>
        <v>20820.75</v>
      </c>
      <c r="N60" s="850"/>
      <c r="O60" s="850"/>
      <c r="P60" s="844"/>
      <c r="Q60" s="844"/>
      <c r="R60" s="40" t="s">
        <v>13</v>
      </c>
      <c r="S60" s="499">
        <v>251</v>
      </c>
      <c r="T60" s="510">
        <f t="shared" si="12"/>
        <v>1173</v>
      </c>
      <c r="U60" s="524">
        <f t="shared" si="13"/>
        <v>0</v>
      </c>
      <c r="V60" s="474"/>
    </row>
    <row r="61" spans="1:22" x14ac:dyDescent="0.3">
      <c r="A61" s="792"/>
      <c r="B61" s="792"/>
      <c r="C61" s="143">
        <v>0.5</v>
      </c>
      <c r="D61" s="143">
        <v>0.5</v>
      </c>
      <c r="E61" s="116">
        <f t="shared" si="10"/>
        <v>1</v>
      </c>
      <c r="F61" s="494" t="s">
        <v>13</v>
      </c>
      <c r="G61" s="493">
        <v>252</v>
      </c>
      <c r="H61" s="507">
        <f>'1461'!H61</f>
        <v>3506</v>
      </c>
      <c r="I61" s="101">
        <f t="shared" si="11"/>
        <v>3506</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9.3800000000000008</v>
      </c>
      <c r="D66" s="97">
        <f>SUM(D57:D65)</f>
        <v>9.3699999999999992</v>
      </c>
      <c r="E66" s="97">
        <f>SUM(E57:E65)</f>
        <v>18.75</v>
      </c>
      <c r="F66" s="779" t="s">
        <v>507</v>
      </c>
      <c r="G66" s="779"/>
      <c r="H66" s="779"/>
      <c r="I66" s="97">
        <f>SUM(I57:I65)</f>
        <v>24326.75</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94.46</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4.4900000000000002E-4</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94.922699999999992</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4.0000000000000002E-4</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94.46</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5.0900000000000001E-4</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94.46</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4.4999999999999999E-4</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94.46</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5.1000000000000004E-4</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4.4999999999999999E-4</v>
      </c>
      <c r="I85" s="101">
        <f>ROUND(F85*H85,2)</f>
        <v>20767.990000000002</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4.4900000000000002E-4</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5.1000000000000004E-4</v>
      </c>
      <c r="I90" s="101">
        <f>ROUND(F90*H90,2)</f>
        <v>9738.11</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5.0900000000000001E-4</v>
      </c>
      <c r="I92" s="101">
        <f t="shared" ref="I92:I96" si="14">ROUND(F92*H92,2)</f>
        <v>5834.12</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4.0000000000000002E-4</v>
      </c>
      <c r="I94" s="101">
        <f t="shared" si="14"/>
        <v>102302.73</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4.0000000000000002E-4</v>
      </c>
      <c r="I96" s="101">
        <f t="shared" si="14"/>
        <v>-6682.15</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4.4900000000000002E-4</v>
      </c>
      <c r="I98" s="101">
        <f t="shared" ref="I98" si="16">ROUND(F98*H98,2)</f>
        <v>91.53</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94.922699999999992</v>
      </c>
      <c r="D105" s="774"/>
      <c r="E105" s="46">
        <f>H8</f>
        <v>1.0407999999999999</v>
      </c>
      <c r="F105" s="302">
        <f>'1461'!F105</f>
        <v>907.92</v>
      </c>
      <c r="G105" s="39" t="s">
        <v>12</v>
      </c>
      <c r="H105" s="101">
        <f>ROUND(C105*E105*F105,2)</f>
        <v>89698.45</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94.922699999999992</v>
      </c>
      <c r="D107" s="787"/>
      <c r="E107" s="123"/>
      <c r="F107" s="123"/>
      <c r="G107" s="123"/>
      <c r="H107" s="124" t="s">
        <v>100</v>
      </c>
      <c r="I107" s="101">
        <f>IF(A1=75,0,H106+H105+H104)</f>
        <v>89698.45</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772754.60999999987</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739173.62999999989</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t="s">
        <v>239</v>
      </c>
      <c r="H135" s="139">
        <f>IF(H133=1,I133,I130)</f>
        <v>739173.62999999989</v>
      </c>
      <c r="I135" s="94">
        <f>ROUND(IF(E30=0,0,IF(E30&gt;250,-(((250/E30)*H135)*IF(G135="H",0.02,0.05)),IF(G135="H",-0.02*H135,-0.05*H135))),2)</f>
        <v>-14783.47</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757971.1399999999</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Payments'!Q106</f>
        <v>-761865.19</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-3894.0500000000466</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-3894.05</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9">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133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136.15</v>
      </c>
      <c r="D14" s="141">
        <v>133.69</v>
      </c>
      <c r="E14" s="187">
        <f>IF(D$30=0,C14*2,C14+D14)</f>
        <v>269.84000000000003</v>
      </c>
      <c r="F14" s="868">
        <f>'1461'!F14:G14</f>
        <v>1.1180000000000001</v>
      </c>
      <c r="G14" s="868"/>
      <c r="H14" s="145">
        <f>ROUND(E14*F14,4)</f>
        <v>301.68110000000001</v>
      </c>
      <c r="I14" s="111">
        <f>ROUND(ROUND(ROUND(H14*$C$8,4)*($H$8),2)*(MAX($H$9,1)),2)</f>
        <v>1673872.75</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10.45</v>
      </c>
      <c r="D15" s="143">
        <v>11.13</v>
      </c>
      <c r="E15" s="116">
        <f t="shared" ref="E15:E29" si="1">IF(D$30=0,C15*2,C15+D15)</f>
        <v>21.58</v>
      </c>
      <c r="F15" s="859">
        <f>'1461'!F15:G15</f>
        <v>1.1180000000000001</v>
      </c>
      <c r="G15" s="859"/>
      <c r="H15" s="80">
        <f t="shared" ref="H15:H29" si="2">ROUND(E15*F15,4)</f>
        <v>24.1264</v>
      </c>
      <c r="I15" s="101">
        <f t="shared" ref="I15:I29" si="3">ROUND(ROUND(ROUND(H15*$C$8,4)*($H$8),2)*(MAX($H$9,1)),2)</f>
        <v>133864.94</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154.33000000000001</v>
      </c>
      <c r="D16" s="143">
        <v>153.5</v>
      </c>
      <c r="E16" s="116">
        <f t="shared" si="1"/>
        <v>307.83000000000004</v>
      </c>
      <c r="F16" s="859">
        <f>'1461'!F16:G16</f>
        <v>1</v>
      </c>
      <c r="G16" s="859"/>
      <c r="H16" s="80">
        <f t="shared" si="2"/>
        <v>307.83</v>
      </c>
      <c r="I16" s="101">
        <f t="shared" si="3"/>
        <v>1707989.82</v>
      </c>
      <c r="N16" s="818" t="s">
        <v>22</v>
      </c>
      <c r="O16" s="818"/>
      <c r="P16" s="860">
        <f t="shared" si="0"/>
        <v>0</v>
      </c>
      <c r="Q16" s="860"/>
      <c r="R16" s="864">
        <v>1</v>
      </c>
      <c r="S16" s="864"/>
      <c r="T16" s="95">
        <f t="shared" si="4"/>
        <v>0</v>
      </c>
      <c r="U16" s="523">
        <f t="shared" si="5"/>
        <v>0</v>
      </c>
    </row>
    <row r="17" spans="1:21" x14ac:dyDescent="0.3">
      <c r="A17" s="776" t="s">
        <v>23</v>
      </c>
      <c r="B17" s="776"/>
      <c r="C17" s="143">
        <v>21</v>
      </c>
      <c r="D17" s="143">
        <v>21.49</v>
      </c>
      <c r="E17" s="116">
        <f t="shared" si="1"/>
        <v>42.489999999999995</v>
      </c>
      <c r="F17" s="859">
        <f>'1461'!F17:G17</f>
        <v>1</v>
      </c>
      <c r="G17" s="859"/>
      <c r="H17" s="80">
        <f t="shared" si="2"/>
        <v>42.49</v>
      </c>
      <c r="I17" s="101">
        <f t="shared" si="3"/>
        <v>235755.08</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20.58</v>
      </c>
      <c r="D26" s="143">
        <v>18.739999999999998</v>
      </c>
      <c r="E26" s="116">
        <f t="shared" si="1"/>
        <v>39.319999999999993</v>
      </c>
      <c r="F26" s="859">
        <f>'1461'!F26:G26</f>
        <v>1.1919999999999999</v>
      </c>
      <c r="G26" s="859"/>
      <c r="H26" s="80">
        <f t="shared" si="2"/>
        <v>46.869399999999999</v>
      </c>
      <c r="I26" s="101">
        <f t="shared" si="3"/>
        <v>260054.12</v>
      </c>
      <c r="N26" s="818" t="s">
        <v>85</v>
      </c>
      <c r="O26" s="818"/>
      <c r="P26" s="860">
        <f t="shared" si="0"/>
        <v>0</v>
      </c>
      <c r="Q26" s="860"/>
      <c r="R26" s="864">
        <v>1</v>
      </c>
      <c r="S26" s="864"/>
      <c r="T26" s="95">
        <f t="shared" si="4"/>
        <v>0</v>
      </c>
      <c r="U26" s="523">
        <f t="shared" si="5"/>
        <v>0</v>
      </c>
    </row>
    <row r="27" spans="1:21" x14ac:dyDescent="0.3">
      <c r="A27" s="776" t="s">
        <v>86</v>
      </c>
      <c r="B27" s="776"/>
      <c r="C27" s="143">
        <v>19.73</v>
      </c>
      <c r="D27" s="143">
        <v>17.97</v>
      </c>
      <c r="E27" s="116">
        <f t="shared" si="1"/>
        <v>37.700000000000003</v>
      </c>
      <c r="F27" s="859">
        <f>'1461'!F27:G27</f>
        <v>1.1919999999999999</v>
      </c>
      <c r="G27" s="859"/>
      <c r="H27" s="80">
        <f t="shared" si="2"/>
        <v>44.938400000000001</v>
      </c>
      <c r="I27" s="101">
        <f t="shared" si="3"/>
        <v>249339.99</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362.24</v>
      </c>
      <c r="D30" s="94">
        <f>SUM(D14:D29)</f>
        <v>356.52</v>
      </c>
      <c r="E30" s="94">
        <f>SUM(E14:E29)</f>
        <v>718.76</v>
      </c>
      <c r="F30" s="795"/>
      <c r="G30" s="795"/>
      <c r="H30" s="99">
        <f>SUM(H14:H29)</f>
        <v>767.9353000000001</v>
      </c>
      <c r="I30" s="94">
        <f>SUM(I14:I29)</f>
        <v>4260876.7</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767.9353000000001</v>
      </c>
      <c r="F46" s="34"/>
      <c r="G46" s="106"/>
      <c r="H46" s="107" t="s">
        <v>98</v>
      </c>
      <c r="I46" s="94">
        <f>SUM(I44,I30)</f>
        <v>4260876.7</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4612688.32</v>
      </c>
      <c r="G51" s="109" t="s">
        <v>6</v>
      </c>
      <c r="H51" s="452">
        <v>5.5899999999999998E-2</v>
      </c>
      <c r="I51" s="101">
        <f>ROUND(F51*H51,2)</f>
        <v>257849.28</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4612688.32</v>
      </c>
      <c r="G52" s="109" t="s">
        <v>6</v>
      </c>
      <c r="H52" s="452">
        <v>1.0699999999999999E-2</v>
      </c>
      <c r="I52" s="101">
        <f>ROUND(F52*H52,2)</f>
        <v>49355.77</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307205.05</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6.96</v>
      </c>
      <c r="D57" s="143">
        <v>7.42</v>
      </c>
      <c r="E57" s="116">
        <f t="shared" ref="E57:E65" si="10">IF(D$66=0,C57*2,C57+D57)</f>
        <v>14.379999999999999</v>
      </c>
      <c r="F57" s="493" t="s">
        <v>498</v>
      </c>
      <c r="G57" s="493">
        <v>251</v>
      </c>
      <c r="H57" s="507">
        <f>'1461'!H57</f>
        <v>1047</v>
      </c>
      <c r="I57" s="101">
        <f>ROUND(E57*H57,2)</f>
        <v>15055.86</v>
      </c>
      <c r="N57" s="849" t="s">
        <v>506</v>
      </c>
      <c r="O57" s="849"/>
      <c r="P57" s="851"/>
      <c r="Q57" s="851"/>
      <c r="R57" s="499" t="s">
        <v>498</v>
      </c>
      <c r="S57" s="499">
        <v>251</v>
      </c>
      <c r="T57" s="510">
        <f>H57</f>
        <v>1047</v>
      </c>
      <c r="U57" s="524">
        <f>ROUND(P57*T57,2)</f>
        <v>0</v>
      </c>
      <c r="V57" s="474"/>
    </row>
    <row r="58" spans="1:22" x14ac:dyDescent="0.3">
      <c r="A58" s="792"/>
      <c r="B58" s="792"/>
      <c r="C58" s="143">
        <v>2.99</v>
      </c>
      <c r="D58" s="143">
        <v>3.18</v>
      </c>
      <c r="E58" s="116">
        <f t="shared" si="10"/>
        <v>6.17</v>
      </c>
      <c r="F58" s="493" t="s">
        <v>498</v>
      </c>
      <c r="G58" s="493">
        <v>252</v>
      </c>
      <c r="H58" s="507">
        <f>'1461'!H58</f>
        <v>3380</v>
      </c>
      <c r="I58" s="101">
        <f t="shared" ref="I58:I65" si="11">ROUND(E58*H58,2)</f>
        <v>20854.599999999999</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0.5</v>
      </c>
      <c r="D59" s="143">
        <v>0.53</v>
      </c>
      <c r="E59" s="116">
        <f t="shared" si="10"/>
        <v>1.03</v>
      </c>
      <c r="F59" s="493" t="s">
        <v>498</v>
      </c>
      <c r="G59" s="493">
        <v>253</v>
      </c>
      <c r="H59" s="507">
        <f>'1461'!H59</f>
        <v>6896</v>
      </c>
      <c r="I59" s="101">
        <f t="shared" si="11"/>
        <v>7102.88</v>
      </c>
      <c r="N59" s="850"/>
      <c r="O59" s="850"/>
      <c r="P59" s="844"/>
      <c r="Q59" s="844"/>
      <c r="R59" s="499" t="s">
        <v>498</v>
      </c>
      <c r="S59" s="499">
        <v>253</v>
      </c>
      <c r="T59" s="510">
        <f t="shared" si="12"/>
        <v>6896</v>
      </c>
      <c r="U59" s="524">
        <f t="shared" si="13"/>
        <v>0</v>
      </c>
      <c r="V59" s="474"/>
    </row>
    <row r="60" spans="1:22" x14ac:dyDescent="0.3">
      <c r="A60" s="792"/>
      <c r="B60" s="792"/>
      <c r="C60" s="143">
        <v>19.5</v>
      </c>
      <c r="D60" s="143">
        <v>19.95</v>
      </c>
      <c r="E60" s="116">
        <f t="shared" si="10"/>
        <v>39.450000000000003</v>
      </c>
      <c r="F60" s="494" t="s">
        <v>13</v>
      </c>
      <c r="G60" s="493">
        <v>251</v>
      </c>
      <c r="H60" s="507">
        <f>'1461'!H60</f>
        <v>1173</v>
      </c>
      <c r="I60" s="101">
        <f t="shared" si="11"/>
        <v>46274.85</v>
      </c>
      <c r="N60" s="850"/>
      <c r="O60" s="850"/>
      <c r="P60" s="844"/>
      <c r="Q60" s="844"/>
      <c r="R60" s="40" t="s">
        <v>13</v>
      </c>
      <c r="S60" s="499">
        <v>251</v>
      </c>
      <c r="T60" s="510">
        <f t="shared" si="12"/>
        <v>1173</v>
      </c>
      <c r="U60" s="524">
        <f t="shared" si="13"/>
        <v>0</v>
      </c>
      <c r="V60" s="474"/>
    </row>
    <row r="61" spans="1:22" x14ac:dyDescent="0.3">
      <c r="A61" s="792"/>
      <c r="B61" s="792"/>
      <c r="C61" s="143">
        <v>1.5</v>
      </c>
      <c r="D61" s="143">
        <v>1.54</v>
      </c>
      <c r="E61" s="116">
        <f t="shared" si="10"/>
        <v>3.04</v>
      </c>
      <c r="F61" s="494" t="s">
        <v>13</v>
      </c>
      <c r="G61" s="493">
        <v>252</v>
      </c>
      <c r="H61" s="507">
        <f>'1461'!H61</f>
        <v>3506</v>
      </c>
      <c r="I61" s="101">
        <f t="shared" si="11"/>
        <v>10658.24</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31.45</v>
      </c>
      <c r="D66" s="97">
        <f>SUM(D57:D65)</f>
        <v>32.619999999999997</v>
      </c>
      <c r="E66" s="97">
        <f>SUM(E57:E65)</f>
        <v>64.070000000000007</v>
      </c>
      <c r="F66" s="779" t="s">
        <v>507</v>
      </c>
      <c r="G66" s="779"/>
      <c r="H66" s="779"/>
      <c r="I66" s="97">
        <f>SUM(I57:I65)</f>
        <v>99946.430000000008</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718.76</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3.4199999999999999E-3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767.9353000000001</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3.238E-3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718.76</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3.8730000000000001E-3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718.76</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3.4250000000000001E-3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718.76</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3.8800000000000002E-3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3.4250000000000001E-3</v>
      </c>
      <c r="I85" s="101">
        <f>ROUND(F85*H85,2)</f>
        <v>158067.45000000001</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3.4199999999999999E-3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3.8800000000000002E-3</v>
      </c>
      <c r="I90" s="101">
        <f>ROUND(F90*H90,2)</f>
        <v>74086.039999999994</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3.8730000000000001E-3</v>
      </c>
      <c r="I92" s="101">
        <f t="shared" ref="I92:I96" si="14">ROUND(F92*H92,2)</f>
        <v>44392.05</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3.238E-3</v>
      </c>
      <c r="I94" s="101">
        <f t="shared" si="14"/>
        <v>828140.57</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3.238E-3</v>
      </c>
      <c r="I96" s="101">
        <f t="shared" si="14"/>
        <v>-54091.98</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3.4199999999999999E-3</v>
      </c>
      <c r="I98" s="101">
        <f t="shared" ref="I98" si="16">ROUND(F98*H98,2)</f>
        <v>697.21</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372.67689999999999</v>
      </c>
      <c r="D104" s="774"/>
      <c r="E104" s="46">
        <f>H8</f>
        <v>1.0407999999999999</v>
      </c>
      <c r="F104" s="302">
        <f>'1461'!F104</f>
        <v>950.92</v>
      </c>
      <c r="G104" s="39" t="s">
        <v>12</v>
      </c>
      <c r="H104" s="101">
        <f>ROUND(C104*E104*F104,2)</f>
        <v>368844.86</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395.25839999999999</v>
      </c>
      <c r="D105" s="774"/>
      <c r="E105" s="46">
        <f>H8</f>
        <v>1.0407999999999999</v>
      </c>
      <c r="F105" s="302">
        <f>'1461'!F105</f>
        <v>907.92</v>
      </c>
      <c r="G105" s="39" t="s">
        <v>12</v>
      </c>
      <c r="H105" s="101">
        <f>ROUND(C105*E105*F105,2)</f>
        <v>373504.62</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767.93529999999998</v>
      </c>
      <c r="D107" s="787"/>
      <c r="E107" s="123"/>
      <c r="F107" s="123"/>
      <c r="G107" s="123"/>
      <c r="H107" s="124" t="s">
        <v>100</v>
      </c>
      <c r="I107" s="101">
        <f>IF(A1=75,0,H106+H105+H104)</f>
        <v>742349.48</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6154463.9499999993</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5847258.8999999994</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87" t="s">
        <v>561</v>
      </c>
      <c r="O132" s="888"/>
      <c r="P132" s="888"/>
      <c r="Q132" s="888"/>
      <c r="R132" s="888"/>
      <c r="S132" s="888"/>
      <c r="T132" s="888"/>
      <c r="U132" s="138"/>
    </row>
    <row r="133" spans="1:21" x14ac:dyDescent="0.3">
      <c r="A133" s="776" t="s">
        <v>70</v>
      </c>
      <c r="B133" s="776"/>
      <c r="C133" s="776"/>
      <c r="D133" s="776"/>
      <c r="E133" s="776"/>
      <c r="F133" s="776"/>
      <c r="G133" s="776"/>
      <c r="H133" s="70" t="str">
        <f>IF(E30=0,"",IF((E15+E17+SUM(E19:E25))/E30&gt;0.75,1,""))</f>
        <v/>
      </c>
      <c r="I133" s="116">
        <f>U130</f>
        <v>0</v>
      </c>
      <c r="N133" s="888" t="s">
        <v>70</v>
      </c>
      <c r="O133" s="888"/>
      <c r="P133" s="888"/>
      <c r="Q133" s="888"/>
      <c r="R133" s="888"/>
      <c r="S133" s="888"/>
      <c r="T133" s="88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5847258.8999999994</v>
      </c>
      <c r="I135" s="94">
        <f>ROUND(IF(E30=0,0,IF(E30&gt;250,-(((250/E30)*H135)*IF(G135="H",0.02,0.05)),IF(G135="H",-0.02*H135,-0.05*H135))),2)</f>
        <v>-101690.04</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6052773.9099999992</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Payments'!Q107</f>
        <v>-6147532.0699999984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-94758.159999999218</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-94758.16</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190672.91</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O1:U1"/>
    <mergeCell ref="N2:U2"/>
    <mergeCell ref="N3:U3"/>
    <mergeCell ref="A4:B4"/>
    <mergeCell ref="C4:E4"/>
    <mergeCell ref="N4:O4"/>
    <mergeCell ref="P4:Q4"/>
    <mergeCell ref="B1:I1"/>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N20:O20"/>
    <mergeCell ref="P20:Q20"/>
    <mergeCell ref="R20:S20"/>
    <mergeCell ref="A21:B21"/>
    <mergeCell ref="F21:G21"/>
    <mergeCell ref="N21:O21"/>
    <mergeCell ref="P21:Q21"/>
    <mergeCell ref="R21:S21"/>
    <mergeCell ref="A20:B20"/>
    <mergeCell ref="F20:G20"/>
    <mergeCell ref="N22:O22"/>
    <mergeCell ref="P22:Q22"/>
    <mergeCell ref="R22:S22"/>
    <mergeCell ref="A23:B23"/>
    <mergeCell ref="F23:G23"/>
    <mergeCell ref="N23:O23"/>
    <mergeCell ref="P23:Q23"/>
    <mergeCell ref="R23:S23"/>
    <mergeCell ref="A22:B22"/>
    <mergeCell ref="F22:G22"/>
    <mergeCell ref="N24:O24"/>
    <mergeCell ref="P24:Q24"/>
    <mergeCell ref="R24:S24"/>
    <mergeCell ref="A25:B25"/>
    <mergeCell ref="F25:G25"/>
    <mergeCell ref="N25:O25"/>
    <mergeCell ref="P25:Q25"/>
    <mergeCell ref="R25:S25"/>
    <mergeCell ref="A24:B24"/>
    <mergeCell ref="F24:G24"/>
    <mergeCell ref="F26:G26"/>
    <mergeCell ref="N26:O26"/>
    <mergeCell ref="P26:Q26"/>
    <mergeCell ref="R26:S26"/>
    <mergeCell ref="A27:B27"/>
    <mergeCell ref="F27:G27"/>
    <mergeCell ref="N27:O27"/>
    <mergeCell ref="P27:Q27"/>
    <mergeCell ref="R27:S27"/>
    <mergeCell ref="A26:B26"/>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0">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134</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138.27000000000001</v>
      </c>
      <c r="D14" s="141">
        <v>128.44</v>
      </c>
      <c r="E14" s="187">
        <f>IF(D$30=0,C14*2,C14+D14)</f>
        <v>266.71000000000004</v>
      </c>
      <c r="F14" s="868">
        <f>'1461'!F14:G14</f>
        <v>1.1180000000000001</v>
      </c>
      <c r="G14" s="868"/>
      <c r="H14" s="145">
        <f>ROUND(E14*F14,4)</f>
        <v>298.18180000000001</v>
      </c>
      <c r="I14" s="111">
        <f>ROUND(ROUND(ROUND(H14*$C$8,4)*($H$8),2)*(MAX($H$9,1)),2)</f>
        <v>1654456.94</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13.02</v>
      </c>
      <c r="D15" s="143">
        <v>12.01</v>
      </c>
      <c r="E15" s="116">
        <f t="shared" ref="E15:E29" si="1">IF(D$30=0,C15*2,C15+D15)</f>
        <v>25.03</v>
      </c>
      <c r="F15" s="859">
        <f>'1461'!F15:G15</f>
        <v>1.1180000000000001</v>
      </c>
      <c r="G15" s="859"/>
      <c r="H15" s="80">
        <f t="shared" ref="H15:H29" si="2">ROUND(E15*F15,4)</f>
        <v>27.983499999999999</v>
      </c>
      <c r="I15" s="101">
        <f t="shared" ref="I15:I29" si="3">ROUND(ROUND(ROUND(H15*$C$8,4)*($H$8),2)*(MAX($H$9,1)),2)</f>
        <v>155266</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148.36000000000001</v>
      </c>
      <c r="D16" s="143">
        <v>152.15</v>
      </c>
      <c r="E16" s="116">
        <f t="shared" si="1"/>
        <v>300.51</v>
      </c>
      <c r="F16" s="859">
        <f>'1461'!F16:G16</f>
        <v>1</v>
      </c>
      <c r="G16" s="859"/>
      <c r="H16" s="80">
        <f t="shared" si="2"/>
        <v>300.51</v>
      </c>
      <c r="I16" s="101">
        <f t="shared" si="3"/>
        <v>1667374.92</v>
      </c>
      <c r="N16" s="818" t="s">
        <v>22</v>
      </c>
      <c r="O16" s="818"/>
      <c r="P16" s="860">
        <f t="shared" si="0"/>
        <v>0</v>
      </c>
      <c r="Q16" s="860"/>
      <c r="R16" s="864">
        <v>1</v>
      </c>
      <c r="S16" s="864"/>
      <c r="T16" s="95">
        <f t="shared" si="4"/>
        <v>0</v>
      </c>
      <c r="U16" s="523">
        <f t="shared" si="5"/>
        <v>0</v>
      </c>
    </row>
    <row r="17" spans="1:21" x14ac:dyDescent="0.3">
      <c r="A17" s="776" t="s">
        <v>23</v>
      </c>
      <c r="B17" s="776"/>
      <c r="C17" s="143">
        <v>26.08</v>
      </c>
      <c r="D17" s="143">
        <v>24.51</v>
      </c>
      <c r="E17" s="116">
        <f t="shared" si="1"/>
        <v>50.59</v>
      </c>
      <c r="F17" s="859">
        <f>'1461'!F17:G17</f>
        <v>1</v>
      </c>
      <c r="G17" s="859"/>
      <c r="H17" s="80">
        <f t="shared" si="2"/>
        <v>50.59</v>
      </c>
      <c r="I17" s="101">
        <f t="shared" si="3"/>
        <v>280697.8</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26.42</v>
      </c>
      <c r="D26" s="143">
        <v>23.4</v>
      </c>
      <c r="E26" s="116">
        <f t="shared" si="1"/>
        <v>49.82</v>
      </c>
      <c r="F26" s="859">
        <f>'1461'!F26:G26</f>
        <v>1.1919999999999999</v>
      </c>
      <c r="G26" s="859"/>
      <c r="H26" s="80">
        <f t="shared" si="2"/>
        <v>59.385399999999997</v>
      </c>
      <c r="I26" s="101">
        <f t="shared" si="3"/>
        <v>329498.94</v>
      </c>
      <c r="N26" s="818" t="s">
        <v>85</v>
      </c>
      <c r="O26" s="818"/>
      <c r="P26" s="860">
        <f t="shared" si="0"/>
        <v>0</v>
      </c>
      <c r="Q26" s="860"/>
      <c r="R26" s="864">
        <v>1</v>
      </c>
      <c r="S26" s="864"/>
      <c r="T26" s="95">
        <f t="shared" si="4"/>
        <v>0</v>
      </c>
      <c r="U26" s="523">
        <f t="shared" si="5"/>
        <v>0</v>
      </c>
    </row>
    <row r="27" spans="1:21" x14ac:dyDescent="0.3">
      <c r="A27" s="776" t="s">
        <v>86</v>
      </c>
      <c r="B27" s="776"/>
      <c r="C27" s="143">
        <v>30</v>
      </c>
      <c r="D27" s="143">
        <v>26.58</v>
      </c>
      <c r="E27" s="116">
        <f t="shared" si="1"/>
        <v>56.58</v>
      </c>
      <c r="F27" s="859">
        <f>'1461'!F27:G27</f>
        <v>1.1919999999999999</v>
      </c>
      <c r="G27" s="859"/>
      <c r="H27" s="80">
        <f t="shared" si="2"/>
        <v>67.443399999999997</v>
      </c>
      <c r="I27" s="101">
        <f t="shared" si="3"/>
        <v>374208.62</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382.15000000000003</v>
      </c>
      <c r="D30" s="94">
        <f>SUM(D14:D29)</f>
        <v>367.09</v>
      </c>
      <c r="E30" s="94">
        <f>SUM(E14:E29)</f>
        <v>749.24000000000012</v>
      </c>
      <c r="F30" s="795"/>
      <c r="G30" s="795"/>
      <c r="H30" s="99">
        <f>SUM(H14:H29)</f>
        <v>804.09410000000003</v>
      </c>
      <c r="I30" s="94">
        <f>SUM(I14:I29)</f>
        <v>4461503.22</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804.09410000000003</v>
      </c>
      <c r="F46" s="34"/>
      <c r="G46" s="106"/>
      <c r="H46" s="107" t="s">
        <v>98</v>
      </c>
      <c r="I46" s="94">
        <f>SUM(I44,I30)</f>
        <v>4461503.22</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3" t="s">
        <v>577</v>
      </c>
      <c r="C51" s="26"/>
      <c r="D51" s="26"/>
      <c r="E51" s="43" t="s">
        <v>461</v>
      </c>
      <c r="F51" s="451">
        <v>5046637.4799999995</v>
      </c>
      <c r="G51" s="109" t="s">
        <v>6</v>
      </c>
      <c r="H51" s="452">
        <v>5.5899999999999998E-2</v>
      </c>
      <c r="I51" s="101">
        <f>ROUND(F51*H51,2)</f>
        <v>282107.03999999998</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5046637.4799999995</v>
      </c>
      <c r="G52" s="109" t="s">
        <v>6</v>
      </c>
      <c r="H52" s="452">
        <v>1.0699999999999999E-2</v>
      </c>
      <c r="I52" s="101">
        <f>ROUND(F52*H52,2)</f>
        <v>53999.02</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336106.06</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11.52</v>
      </c>
      <c r="D57" s="143">
        <v>10.62</v>
      </c>
      <c r="E57" s="116">
        <f t="shared" ref="E57:E65" si="10">IF(D$66=0,C57*2,C57+D57)</f>
        <v>22.14</v>
      </c>
      <c r="F57" s="493" t="s">
        <v>498</v>
      </c>
      <c r="G57" s="493">
        <v>251</v>
      </c>
      <c r="H57" s="507">
        <f>'1461'!H57</f>
        <v>1047</v>
      </c>
      <c r="I57" s="101">
        <f>ROUND(E57*H57,2)</f>
        <v>23180.58</v>
      </c>
      <c r="N57" s="849" t="s">
        <v>506</v>
      </c>
      <c r="O57" s="849"/>
      <c r="P57" s="851"/>
      <c r="Q57" s="851"/>
      <c r="R57" s="499" t="s">
        <v>498</v>
      </c>
      <c r="S57" s="499">
        <v>251</v>
      </c>
      <c r="T57" s="510">
        <f>H57</f>
        <v>1047</v>
      </c>
      <c r="U57" s="524">
        <f>ROUND(P57*T57,2)</f>
        <v>0</v>
      </c>
      <c r="V57" s="474"/>
    </row>
    <row r="58" spans="1:22" x14ac:dyDescent="0.3">
      <c r="A58" s="792"/>
      <c r="B58" s="792"/>
      <c r="C58" s="143">
        <v>1.5</v>
      </c>
      <c r="D58" s="143">
        <v>1.39</v>
      </c>
      <c r="E58" s="116">
        <f t="shared" si="10"/>
        <v>2.8899999999999997</v>
      </c>
      <c r="F58" s="493" t="s">
        <v>498</v>
      </c>
      <c r="G58" s="493">
        <v>252</v>
      </c>
      <c r="H58" s="507">
        <f>'1461'!H58</f>
        <v>3380</v>
      </c>
      <c r="I58" s="101">
        <f t="shared" ref="I58:I65" si="11">ROUND(E58*H58,2)</f>
        <v>9768.2000000000007</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23.07</v>
      </c>
      <c r="D60" s="143">
        <v>21.68</v>
      </c>
      <c r="E60" s="116">
        <f t="shared" si="10"/>
        <v>44.75</v>
      </c>
      <c r="F60" s="494" t="s">
        <v>13</v>
      </c>
      <c r="G60" s="493">
        <v>251</v>
      </c>
      <c r="H60" s="507">
        <f>'1461'!H60</f>
        <v>1173</v>
      </c>
      <c r="I60" s="101">
        <f t="shared" si="11"/>
        <v>52491.75</v>
      </c>
      <c r="N60" s="850"/>
      <c r="O60" s="850"/>
      <c r="P60" s="844"/>
      <c r="Q60" s="844"/>
      <c r="R60" s="40" t="s">
        <v>13</v>
      </c>
      <c r="S60" s="499">
        <v>251</v>
      </c>
      <c r="T60" s="510">
        <f t="shared" si="12"/>
        <v>1173</v>
      </c>
      <c r="U60" s="524">
        <f t="shared" si="13"/>
        <v>0</v>
      </c>
      <c r="V60" s="474"/>
    </row>
    <row r="61" spans="1:22" x14ac:dyDescent="0.3">
      <c r="A61" s="792"/>
      <c r="B61" s="792"/>
      <c r="C61" s="143">
        <v>3.01</v>
      </c>
      <c r="D61" s="143">
        <v>2.83</v>
      </c>
      <c r="E61" s="116">
        <f t="shared" si="10"/>
        <v>5.84</v>
      </c>
      <c r="F61" s="494" t="s">
        <v>13</v>
      </c>
      <c r="G61" s="493">
        <v>252</v>
      </c>
      <c r="H61" s="507">
        <f>'1461'!H61</f>
        <v>3506</v>
      </c>
      <c r="I61" s="101">
        <f t="shared" si="11"/>
        <v>20475.04</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IF(D$66=0,C62*2,C62+D62)</f>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39.1</v>
      </c>
      <c r="D66" s="97">
        <f>SUM(D57:D65)</f>
        <v>36.519999999999996</v>
      </c>
      <c r="E66" s="97">
        <f>SUM(E57:E65)</f>
        <v>75.62</v>
      </c>
      <c r="F66" s="779" t="s">
        <v>507</v>
      </c>
      <c r="G66" s="779"/>
      <c r="H66" s="779"/>
      <c r="I66" s="97">
        <f>SUM(I57:I65)</f>
        <v>105915.57</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749.24000000000012</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3.565E-3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804.09410000000003</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3.3899999999999998E-3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749.24000000000012</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4.0369999999999998E-3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749.24000000000012</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3.571E-3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749.24000000000012</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4.0439999999999999E-3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3.571E-3</v>
      </c>
      <c r="I85" s="101">
        <f>ROUND(F85*H85,2)</f>
        <v>164805.5</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3.565E-3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4.0439999999999999E-3</v>
      </c>
      <c r="I90" s="101">
        <f>ROUND(F90*H90,2)</f>
        <v>77217.509999999995</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4.0369999999999998E-3</v>
      </c>
      <c r="I92" s="101">
        <f t="shared" ref="I92:I96" si="14">ROUND(F92*H92,2)</f>
        <v>46271.8</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3.3899999999999998E-3</v>
      </c>
      <c r="I94" s="101">
        <f t="shared" si="14"/>
        <v>867015.61</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3.3899999999999998E-3</v>
      </c>
      <c r="I96" s="101">
        <f t="shared" si="14"/>
        <v>-56631.19</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3.565E-3</v>
      </c>
      <c r="I98" s="101">
        <f t="shared" ref="I98" si="16">ROUND(F98*H98,2)</f>
        <v>726.77</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385.55070000000001</v>
      </c>
      <c r="D104" s="774"/>
      <c r="E104" s="46">
        <f>H8</f>
        <v>1.0407999999999999</v>
      </c>
      <c r="F104" s="302">
        <f>'1461'!F104</f>
        <v>950.92</v>
      </c>
      <c r="G104" s="39" t="s">
        <v>12</v>
      </c>
      <c r="H104" s="101">
        <f>ROUND(C104*E104*F104,2)</f>
        <v>381586.29</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418.54340000000002</v>
      </c>
      <c r="D105" s="774"/>
      <c r="E105" s="46">
        <f>H8</f>
        <v>1.0407999999999999</v>
      </c>
      <c r="F105" s="302">
        <f>'1461'!F105</f>
        <v>907.92</v>
      </c>
      <c r="G105" s="39" t="s">
        <v>12</v>
      </c>
      <c r="H105" s="101">
        <f>ROUND(C105*E105*F105,2)</f>
        <v>395508.08</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804.09410000000003</v>
      </c>
      <c r="D107" s="787"/>
      <c r="E107" s="123"/>
      <c r="F107" s="123"/>
      <c r="G107" s="123"/>
      <c r="H107" s="124" t="s">
        <v>100</v>
      </c>
      <c r="I107" s="101">
        <f>IF(A1=75,0,H106+H105+H104)</f>
        <v>777094.37</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6443919.1599999992</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6107813.0999999996</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6107813.0999999996</v>
      </c>
      <c r="I135" s="94">
        <f>ROUND(IF(E30=0,0,IF(E30&gt;250,-(((250/E30)*H135)*IF(G135="H",0.02,0.05)),IF(G135="H",-0.02*H135,-0.05*H135))),2)</f>
        <v>-101900.14</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6342019.0199999996</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Payments'!Q108</f>
        <v>-6494077.9100000001</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-152058.8900000006</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-152058.89000000001</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203490.52</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O1:U1"/>
    <mergeCell ref="N2:U2"/>
    <mergeCell ref="N3:U3"/>
    <mergeCell ref="A4:B4"/>
    <mergeCell ref="C4:E4"/>
    <mergeCell ref="N4:O4"/>
    <mergeCell ref="P4:Q4"/>
    <mergeCell ref="B1:I1"/>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N20:O20"/>
    <mergeCell ref="P20:Q20"/>
    <mergeCell ref="R20:S20"/>
    <mergeCell ref="A21:B21"/>
    <mergeCell ref="F21:G21"/>
    <mergeCell ref="N21:O21"/>
    <mergeCell ref="P21:Q21"/>
    <mergeCell ref="R21:S21"/>
    <mergeCell ref="A20:B20"/>
    <mergeCell ref="F20:G20"/>
    <mergeCell ref="N22:O22"/>
    <mergeCell ref="P22:Q22"/>
    <mergeCell ref="R22:S22"/>
    <mergeCell ref="A23:B23"/>
    <mergeCell ref="F23:G23"/>
    <mergeCell ref="N23:O23"/>
    <mergeCell ref="P23:Q23"/>
    <mergeCell ref="R23:S23"/>
    <mergeCell ref="A22:B22"/>
    <mergeCell ref="F22:G22"/>
    <mergeCell ref="N24:O24"/>
    <mergeCell ref="P24:Q24"/>
    <mergeCell ref="R24:S24"/>
    <mergeCell ref="A25:B25"/>
    <mergeCell ref="F25:G25"/>
    <mergeCell ref="N25:O25"/>
    <mergeCell ref="P25:Q25"/>
    <mergeCell ref="R25:S25"/>
    <mergeCell ref="A24:B24"/>
    <mergeCell ref="F24:G24"/>
    <mergeCell ref="F26:G26"/>
    <mergeCell ref="N26:O26"/>
    <mergeCell ref="P26:Q26"/>
    <mergeCell ref="R26:S26"/>
    <mergeCell ref="A27:B27"/>
    <mergeCell ref="F27:G27"/>
    <mergeCell ref="N27:O27"/>
    <mergeCell ref="P27:Q27"/>
    <mergeCell ref="R27:S27"/>
    <mergeCell ref="A26:B26"/>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1">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367</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J10" s="253"/>
      <c r="K10" s="65"/>
      <c r="L10" s="65"/>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J11" s="255"/>
      <c r="K11" s="254"/>
      <c r="L11" s="254"/>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J12" s="253"/>
      <c r="K12" s="254"/>
      <c r="L12" s="254"/>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K13" s="254"/>
      <c r="L13" s="254"/>
      <c r="N13" s="865" t="s">
        <v>36</v>
      </c>
      <c r="O13" s="865"/>
      <c r="P13" s="866" t="s">
        <v>37</v>
      </c>
      <c r="Q13" s="866"/>
      <c r="R13" s="867" t="s">
        <v>38</v>
      </c>
      <c r="S13" s="867"/>
      <c r="T13" s="22" t="s">
        <v>39</v>
      </c>
      <c r="U13" s="23" t="s">
        <v>40</v>
      </c>
    </row>
    <row r="14" spans="1:21" x14ac:dyDescent="0.3">
      <c r="A14" s="797" t="s">
        <v>20</v>
      </c>
      <c r="B14" s="797"/>
      <c r="C14" s="143">
        <v>177.58</v>
      </c>
      <c r="D14" s="141">
        <v>184.03</v>
      </c>
      <c r="E14" s="187">
        <f>IF(D$30=0,C14*2,C14+D14)</f>
        <v>361.61</v>
      </c>
      <c r="F14" s="868">
        <f>'1461'!F14:G14</f>
        <v>1.1180000000000001</v>
      </c>
      <c r="G14" s="868"/>
      <c r="H14" s="145">
        <f>ROUND(E14*F14,4)</f>
        <v>404.28</v>
      </c>
      <c r="I14" s="111">
        <f>ROUND(ROUND(ROUND(H14*$C$8,4)*($H$8),2)*(MAX($H$9,1)),2)</f>
        <v>2243141.11</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14.66</v>
      </c>
      <c r="D15" s="143">
        <v>12.99</v>
      </c>
      <c r="E15" s="116">
        <f t="shared" ref="E15:E29" si="1">IF(D$30=0,C15*2,C15+D15)</f>
        <v>27.65</v>
      </c>
      <c r="F15" s="859">
        <f>'1461'!F15:G15</f>
        <v>1.1180000000000001</v>
      </c>
      <c r="G15" s="859"/>
      <c r="H15" s="80">
        <f t="shared" ref="H15:H29" si="2">ROUND(E15*F15,4)</f>
        <v>30.912700000000001</v>
      </c>
      <c r="I15" s="101">
        <f t="shared" ref="I15:I29" si="3">ROUND(ROUND(ROUND(H15*$C$8,4)*($H$8),2)*(MAX($H$9,1)),2)</f>
        <v>171518.62</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227.66</v>
      </c>
      <c r="D16" s="143">
        <v>226.33</v>
      </c>
      <c r="E16" s="116">
        <f t="shared" si="1"/>
        <v>453.99</v>
      </c>
      <c r="F16" s="859">
        <f>'1461'!F16:G16</f>
        <v>1</v>
      </c>
      <c r="G16" s="859"/>
      <c r="H16" s="80">
        <f t="shared" si="2"/>
        <v>453.99</v>
      </c>
      <c r="I16" s="101">
        <f t="shared" si="3"/>
        <v>2518956.2400000002</v>
      </c>
      <c r="N16" s="818" t="s">
        <v>22</v>
      </c>
      <c r="O16" s="818"/>
      <c r="P16" s="860">
        <f t="shared" si="0"/>
        <v>0</v>
      </c>
      <c r="Q16" s="860"/>
      <c r="R16" s="864">
        <v>1</v>
      </c>
      <c r="S16" s="864"/>
      <c r="T16" s="95">
        <f t="shared" si="4"/>
        <v>0</v>
      </c>
      <c r="U16" s="523">
        <f t="shared" si="5"/>
        <v>0</v>
      </c>
    </row>
    <row r="17" spans="1:21" x14ac:dyDescent="0.3">
      <c r="A17" s="776" t="s">
        <v>23</v>
      </c>
      <c r="B17" s="776"/>
      <c r="C17" s="143">
        <v>30.55</v>
      </c>
      <c r="D17" s="143">
        <v>28.95</v>
      </c>
      <c r="E17" s="116">
        <f t="shared" si="1"/>
        <v>59.5</v>
      </c>
      <c r="F17" s="859">
        <f>'1461'!F17:G17</f>
        <v>1</v>
      </c>
      <c r="G17" s="859"/>
      <c r="H17" s="80">
        <f t="shared" si="2"/>
        <v>59.5</v>
      </c>
      <c r="I17" s="101">
        <f t="shared" si="3"/>
        <v>330134.8</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19.309999999999999</v>
      </c>
      <c r="D26" s="143">
        <v>18.96</v>
      </c>
      <c r="E26" s="116">
        <f t="shared" si="1"/>
        <v>38.269999999999996</v>
      </c>
      <c r="F26" s="859">
        <f>'1461'!F26:G26</f>
        <v>1.1919999999999999</v>
      </c>
      <c r="G26" s="859"/>
      <c r="H26" s="80">
        <f t="shared" si="2"/>
        <v>45.617800000000003</v>
      </c>
      <c r="I26" s="101">
        <f t="shared" si="3"/>
        <v>253109.63</v>
      </c>
      <c r="N26" s="818" t="s">
        <v>85</v>
      </c>
      <c r="O26" s="818"/>
      <c r="P26" s="860">
        <f t="shared" si="0"/>
        <v>0</v>
      </c>
      <c r="Q26" s="860"/>
      <c r="R26" s="864">
        <v>1</v>
      </c>
      <c r="S26" s="864"/>
      <c r="T26" s="95">
        <f t="shared" si="4"/>
        <v>0</v>
      </c>
      <c r="U26" s="523">
        <f t="shared" si="5"/>
        <v>0</v>
      </c>
    </row>
    <row r="27" spans="1:21" x14ac:dyDescent="0.3">
      <c r="A27" s="776" t="s">
        <v>86</v>
      </c>
      <c r="B27" s="776"/>
      <c r="C27" s="143">
        <v>10.9</v>
      </c>
      <c r="D27" s="143">
        <v>10.71</v>
      </c>
      <c r="E27" s="116">
        <f t="shared" si="1"/>
        <v>21.61</v>
      </c>
      <c r="F27" s="859">
        <f>'1461'!F27:G27</f>
        <v>1.1919999999999999</v>
      </c>
      <c r="G27" s="859"/>
      <c r="H27" s="80">
        <f t="shared" si="2"/>
        <v>25.7591</v>
      </c>
      <c r="I27" s="101">
        <f t="shared" si="3"/>
        <v>142923.95000000001</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v>480.91</v>
      </c>
      <c r="D30" s="94">
        <f>SUM(D14:D29)</f>
        <v>481.96999999999997</v>
      </c>
      <c r="E30" s="94">
        <f>SUM(E14:E29)</f>
        <v>962.63</v>
      </c>
      <c r="F30" s="795"/>
      <c r="G30" s="795"/>
      <c r="H30" s="99">
        <f>SUM(H14:H29)</f>
        <v>1020.0595999999999</v>
      </c>
      <c r="I30" s="94">
        <f>SUM(I14:I29)</f>
        <v>5659784.3500000006</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1020.0595999999999</v>
      </c>
      <c r="F46" s="34"/>
      <c r="G46" s="106"/>
      <c r="H46" s="107" t="s">
        <v>98</v>
      </c>
      <c r="I46" s="94">
        <f>SUM(I44,I30)</f>
        <v>5659784.3500000006</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5612096.7999999998</v>
      </c>
      <c r="G51" s="109" t="s">
        <v>6</v>
      </c>
      <c r="H51" s="452">
        <v>5.5899999999999998E-2</v>
      </c>
      <c r="I51" s="101">
        <f>ROUND(F51*H51,2)</f>
        <v>313716.21000000002</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5612096.7999999998</v>
      </c>
      <c r="G52" s="109" t="s">
        <v>6</v>
      </c>
      <c r="H52" s="452">
        <v>1.0699999999999999E-2</v>
      </c>
      <c r="I52" s="101">
        <f>ROUND(F52*H52,2)</f>
        <v>60049.440000000002</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373765.65</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10.11</v>
      </c>
      <c r="D57" s="143">
        <v>8.9600000000000009</v>
      </c>
      <c r="E57" s="116">
        <f t="shared" ref="E57:E65" si="10">IF(D$66=0,C57*2,C57+D57)</f>
        <v>19.07</v>
      </c>
      <c r="F57" s="493" t="s">
        <v>498</v>
      </c>
      <c r="G57" s="493">
        <v>251</v>
      </c>
      <c r="H57" s="507">
        <f>'1461'!H57</f>
        <v>1047</v>
      </c>
      <c r="I57" s="101">
        <f>ROUND(E57*H57,2)</f>
        <v>19966.29</v>
      </c>
      <c r="N57" s="849" t="s">
        <v>506</v>
      </c>
      <c r="O57" s="849"/>
      <c r="P57" s="851"/>
      <c r="Q57" s="851"/>
      <c r="R57" s="499" t="s">
        <v>498</v>
      </c>
      <c r="S57" s="499">
        <v>251</v>
      </c>
      <c r="T57" s="510">
        <f>H57</f>
        <v>1047</v>
      </c>
      <c r="U57" s="524">
        <f>ROUND(P57*T57,2)</f>
        <v>0</v>
      </c>
      <c r="V57" s="474"/>
    </row>
    <row r="58" spans="1:22" x14ac:dyDescent="0.3">
      <c r="A58" s="792"/>
      <c r="B58" s="792"/>
      <c r="C58" s="143">
        <v>4.04</v>
      </c>
      <c r="D58" s="143">
        <v>3.58</v>
      </c>
      <c r="E58" s="116">
        <f t="shared" si="10"/>
        <v>7.62</v>
      </c>
      <c r="F58" s="493" t="s">
        <v>498</v>
      </c>
      <c r="G58" s="493">
        <v>252</v>
      </c>
      <c r="H58" s="507">
        <f>'1461'!H58</f>
        <v>3380</v>
      </c>
      <c r="I58" s="101">
        <f t="shared" ref="I58:I65" si="11">ROUND(E58*H58,2)</f>
        <v>25755.599999999999</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0.51</v>
      </c>
      <c r="D59" s="143">
        <v>0.45</v>
      </c>
      <c r="E59" s="116">
        <f t="shared" si="10"/>
        <v>0.96</v>
      </c>
      <c r="F59" s="493" t="s">
        <v>498</v>
      </c>
      <c r="G59" s="493">
        <v>253</v>
      </c>
      <c r="H59" s="507">
        <f>'1461'!H59</f>
        <v>6896</v>
      </c>
      <c r="I59" s="101">
        <f t="shared" si="11"/>
        <v>6620.16</v>
      </c>
      <c r="N59" s="850"/>
      <c r="O59" s="850"/>
      <c r="P59" s="844"/>
      <c r="Q59" s="844"/>
      <c r="R59" s="499" t="s">
        <v>498</v>
      </c>
      <c r="S59" s="499">
        <v>253</v>
      </c>
      <c r="T59" s="510">
        <f t="shared" si="12"/>
        <v>6896</v>
      </c>
      <c r="U59" s="524">
        <f t="shared" si="13"/>
        <v>0</v>
      </c>
      <c r="V59" s="474"/>
    </row>
    <row r="60" spans="1:22" x14ac:dyDescent="0.3">
      <c r="A60" s="792"/>
      <c r="B60" s="792"/>
      <c r="C60" s="143">
        <v>21.54</v>
      </c>
      <c r="D60" s="143">
        <v>20.41</v>
      </c>
      <c r="E60" s="116">
        <f t="shared" si="10"/>
        <v>41.95</v>
      </c>
      <c r="F60" s="494" t="s">
        <v>13</v>
      </c>
      <c r="G60" s="493">
        <v>251</v>
      </c>
      <c r="H60" s="507">
        <f>'1461'!H60</f>
        <v>1173</v>
      </c>
      <c r="I60" s="101">
        <f t="shared" si="11"/>
        <v>49207.35</v>
      </c>
      <c r="N60" s="850"/>
      <c r="O60" s="850"/>
      <c r="P60" s="844"/>
      <c r="Q60" s="844"/>
      <c r="R60" s="40" t="s">
        <v>13</v>
      </c>
      <c r="S60" s="499">
        <v>251</v>
      </c>
      <c r="T60" s="510">
        <f t="shared" si="12"/>
        <v>1173</v>
      </c>
      <c r="U60" s="524">
        <f t="shared" si="13"/>
        <v>0</v>
      </c>
      <c r="V60" s="474"/>
    </row>
    <row r="61" spans="1:22" x14ac:dyDescent="0.3">
      <c r="A61" s="792"/>
      <c r="B61" s="792"/>
      <c r="C61" s="143">
        <v>9.01</v>
      </c>
      <c r="D61" s="143">
        <v>8.5399999999999991</v>
      </c>
      <c r="E61" s="116">
        <f t="shared" si="10"/>
        <v>17.549999999999997</v>
      </c>
      <c r="F61" s="494" t="s">
        <v>13</v>
      </c>
      <c r="G61" s="493">
        <v>252</v>
      </c>
      <c r="H61" s="507">
        <f>'1461'!H61</f>
        <v>3506</v>
      </c>
      <c r="I61" s="101">
        <f t="shared" si="11"/>
        <v>61530.3</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45.209999999999994</v>
      </c>
      <c r="D66" s="97">
        <f>SUM(D57:D65)</f>
        <v>41.94</v>
      </c>
      <c r="E66" s="97">
        <f>SUM(E57:E65)</f>
        <v>87.15</v>
      </c>
      <c r="F66" s="779" t="s">
        <v>507</v>
      </c>
      <c r="G66" s="779"/>
      <c r="H66" s="779"/>
      <c r="I66" s="97">
        <f>SUM(I57:I65)</f>
        <v>163079.70000000001</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962.63</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4.5799999999999999E-3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1020.0595999999999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4.3E-3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962.63</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5.1869999999999998E-3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962.63</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4.5880000000000001E-3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962.63</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5.1960000000000001E-3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4.5880000000000001E-3</v>
      </c>
      <c r="I85" s="101">
        <f>ROUND(F85*H85,2)</f>
        <v>211741.15</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4.5799999999999999E-3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5.1960000000000001E-3</v>
      </c>
      <c r="I90" s="101">
        <f>ROUND(F90*H90,2)</f>
        <v>99214.19</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5.1869999999999998E-3</v>
      </c>
      <c r="I92" s="101">
        <f t="shared" ref="I92:I96" si="14">ROUND(F92*H92,2)</f>
        <v>59453.02</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4.3E-3</v>
      </c>
      <c r="I94" s="101">
        <f t="shared" si="14"/>
        <v>1099754.31</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4.3E-3</v>
      </c>
      <c r="I96" s="101">
        <f t="shared" si="14"/>
        <v>-71833.070000000007</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4.5799999999999999E-3</v>
      </c>
      <c r="I98" s="101">
        <f t="shared" ref="I98" si="16">ROUND(F98*H98,2)</f>
        <v>933.69</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480.81049999999993</v>
      </c>
      <c r="D104" s="774"/>
      <c r="E104" s="46">
        <f>H8</f>
        <v>1.0407999999999999</v>
      </c>
      <c r="F104" s="302">
        <f>'1461'!F104</f>
        <v>950.92</v>
      </c>
      <c r="G104" s="39" t="s">
        <v>12</v>
      </c>
      <c r="H104" s="101">
        <f>ROUND(C104*E104*F104,2)</f>
        <v>475866.58</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539.2491</v>
      </c>
      <c r="D105" s="774"/>
      <c r="E105" s="46">
        <f>H8</f>
        <v>1.0407999999999999</v>
      </c>
      <c r="F105" s="302">
        <f>'1461'!F105</f>
        <v>907.92</v>
      </c>
      <c r="G105" s="39" t="s">
        <v>12</v>
      </c>
      <c r="H105" s="101">
        <f>ROUND(C105*E105*F105,2)</f>
        <v>509570.52</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1020.0595999999999</v>
      </c>
      <c r="D107" s="787"/>
      <c r="E107" s="123"/>
      <c r="F107" s="123"/>
      <c r="G107" s="123"/>
      <c r="H107" s="124" t="s">
        <v>100</v>
      </c>
      <c r="I107" s="101">
        <f>IF(A1=75,0,H106+H105+H104)</f>
        <v>985437.10000000009</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179</v>
      </c>
      <c r="D113" s="143">
        <v>192</v>
      </c>
      <c r="E113" s="116">
        <f>(C113+D113)/2</f>
        <v>185.5</v>
      </c>
      <c r="F113" s="126" t="s">
        <v>30</v>
      </c>
      <c r="G113" s="303">
        <f>'1461'!G113</f>
        <v>584</v>
      </c>
      <c r="I113" s="101">
        <f>ROUND(G113*E113,2)</f>
        <v>108332</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8315896.4400000013</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7942130.790000001</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7"/>
      <c r="H135" s="139">
        <f>IF(H133=1,I133,I130)</f>
        <v>7942130.790000001</v>
      </c>
      <c r="I135" s="94">
        <f>ROUND(IF(E30=0,0,IF(E30&gt;250,-(((250/E30)*H135)*IF(G135="H",0.02,0.05)),IF(G135="H",-0.02*H135,-0.05*H135))),2)</f>
        <v>-103130.63</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8212765.8100000015</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81" t="s">
        <v>241</v>
      </c>
      <c r="B139" s="69"/>
      <c r="C139" s="140"/>
      <c r="D139" s="69"/>
      <c r="F139" s="69"/>
      <c r="G139" s="69"/>
      <c r="H139" s="65"/>
      <c r="I139" s="271">
        <f>-'Cumulative Payments'!Q109</f>
        <v>-8236104.0299999993</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-23338.219999997877</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-23338.22</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293975.90999999997</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T81:U81"/>
    <mergeCell ref="N82:S82"/>
    <mergeCell ref="T82:U82"/>
    <mergeCell ref="N88:P88"/>
    <mergeCell ref="O1:U1"/>
    <mergeCell ref="N2:U2"/>
    <mergeCell ref="N3:U3"/>
    <mergeCell ref="F11:G11"/>
    <mergeCell ref="R11:S11"/>
    <mergeCell ref="N12:O12"/>
    <mergeCell ref="P12:Q12"/>
    <mergeCell ref="R12:S12"/>
    <mergeCell ref="T9:U9"/>
    <mergeCell ref="N35:T35"/>
    <mergeCell ref="T78:U78"/>
    <mergeCell ref="T79:U79"/>
    <mergeCell ref="F66:H66"/>
    <mergeCell ref="N57:O65"/>
    <mergeCell ref="P56:Q56"/>
    <mergeCell ref="P57:Q57"/>
    <mergeCell ref="P58:Q58"/>
    <mergeCell ref="P59:Q59"/>
    <mergeCell ref="P60:Q60"/>
    <mergeCell ref="A4:B4"/>
    <mergeCell ref="C4:E4"/>
    <mergeCell ref="N4:O4"/>
    <mergeCell ref="P4:Q4"/>
    <mergeCell ref="B1:I1"/>
    <mergeCell ref="N7:U7"/>
    <mergeCell ref="N8:O8"/>
    <mergeCell ref="P8:Q8"/>
    <mergeCell ref="R8:S8"/>
    <mergeCell ref="T8:U8"/>
    <mergeCell ref="A7:I7"/>
    <mergeCell ref="A13:B13"/>
    <mergeCell ref="F13:G13"/>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N16:O16"/>
    <mergeCell ref="P16:Q16"/>
    <mergeCell ref="R16:S16"/>
    <mergeCell ref="A17:B17"/>
    <mergeCell ref="F17:G17"/>
    <mergeCell ref="N17:O17"/>
    <mergeCell ref="P17:Q17"/>
    <mergeCell ref="R17:S17"/>
    <mergeCell ref="A16:B16"/>
    <mergeCell ref="F16:G16"/>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69:B69"/>
    <mergeCell ref="D69:G69"/>
    <mergeCell ref="N69:O69"/>
    <mergeCell ref="Q69:S69"/>
    <mergeCell ref="T69:U69"/>
    <mergeCell ref="P61:Q61"/>
    <mergeCell ref="P62:Q62"/>
    <mergeCell ref="P63:Q63"/>
    <mergeCell ref="P64:Q64"/>
    <mergeCell ref="P65:Q65"/>
    <mergeCell ref="P66:Q66"/>
    <mergeCell ref="R66:T66"/>
    <mergeCell ref="A57:B65"/>
    <mergeCell ref="A75:B75"/>
    <mergeCell ref="D75:G75"/>
    <mergeCell ref="N75:O75"/>
    <mergeCell ref="Q75:S75"/>
    <mergeCell ref="T75:U75"/>
    <mergeCell ref="N76:S76"/>
    <mergeCell ref="T76:U76"/>
    <mergeCell ref="N70:S70"/>
    <mergeCell ref="T70:U70"/>
    <mergeCell ref="A72:B72"/>
    <mergeCell ref="D72:G72"/>
    <mergeCell ref="N72:O72"/>
    <mergeCell ref="Q72:S72"/>
    <mergeCell ref="T72:U72"/>
    <mergeCell ref="N73:S73"/>
    <mergeCell ref="T73:U73"/>
    <mergeCell ref="A87:C87"/>
    <mergeCell ref="N87:P87"/>
    <mergeCell ref="A94:C94"/>
    <mergeCell ref="A88:C88"/>
    <mergeCell ref="N94:P94"/>
    <mergeCell ref="A78:B78"/>
    <mergeCell ref="D78:G78"/>
    <mergeCell ref="N78:O78"/>
    <mergeCell ref="Q78:S78"/>
    <mergeCell ref="N79:S79"/>
    <mergeCell ref="A81:B81"/>
    <mergeCell ref="D81:G81"/>
    <mergeCell ref="N81:O81"/>
    <mergeCell ref="Q81:S81"/>
    <mergeCell ref="A96:C96"/>
    <mergeCell ref="N96:P96"/>
    <mergeCell ref="C102:D102"/>
    <mergeCell ref="C103:D103"/>
    <mergeCell ref="N103:O103"/>
    <mergeCell ref="P103:Q103"/>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4">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243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39.909999999999997</v>
      </c>
      <c r="D14" s="141">
        <v>36.96</v>
      </c>
      <c r="E14" s="187">
        <f>IF(D$30=0,C14*2,C14+D14)</f>
        <v>76.87</v>
      </c>
      <c r="F14" s="868">
        <f>'1461'!F14:G14</f>
        <v>1.1180000000000001</v>
      </c>
      <c r="G14" s="868"/>
      <c r="H14" s="145">
        <f>ROUND(E14*F14,4)</f>
        <v>85.940700000000007</v>
      </c>
      <c r="I14" s="111">
        <f>ROUND(ROUND(ROUND(H14*$C$8,4)*($H$8),2)*(MAX($H$9,1)),2)</f>
        <v>476840.6</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2.5</v>
      </c>
      <c r="D15" s="143">
        <v>4</v>
      </c>
      <c r="E15" s="116">
        <f t="shared" ref="E15:E29" si="1">IF(D$30=0,C15*2,C15+D15)</f>
        <v>6.5</v>
      </c>
      <c r="F15" s="859">
        <f>'1461'!F15:G15</f>
        <v>1.1180000000000001</v>
      </c>
      <c r="G15" s="859"/>
      <c r="H15" s="80">
        <f t="shared" ref="H15:H29" si="2">ROUND(E15*F15,4)</f>
        <v>7.2670000000000003</v>
      </c>
      <c r="I15" s="101">
        <f t="shared" ref="I15:I29" si="3">ROUND(ROUND(ROUND(H15*$C$8,4)*($H$8),2)*(MAX($H$9,1)),2)</f>
        <v>40320.83</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66.430000000000007</v>
      </c>
      <c r="D16" s="143">
        <v>61.84</v>
      </c>
      <c r="E16" s="116">
        <f t="shared" si="1"/>
        <v>128.27000000000001</v>
      </c>
      <c r="F16" s="859">
        <f>'1461'!F16:G16</f>
        <v>1</v>
      </c>
      <c r="G16" s="859"/>
      <c r="H16" s="80">
        <f t="shared" si="2"/>
        <v>128.27000000000001</v>
      </c>
      <c r="I16" s="101">
        <f t="shared" si="3"/>
        <v>711704.04</v>
      </c>
      <c r="N16" s="818" t="s">
        <v>22</v>
      </c>
      <c r="O16" s="818"/>
      <c r="P16" s="860">
        <f t="shared" si="0"/>
        <v>0</v>
      </c>
      <c r="Q16" s="860"/>
      <c r="R16" s="864">
        <v>1</v>
      </c>
      <c r="S16" s="864"/>
      <c r="T16" s="95">
        <f t="shared" si="4"/>
        <v>0</v>
      </c>
      <c r="U16" s="523">
        <f t="shared" si="5"/>
        <v>0</v>
      </c>
    </row>
    <row r="17" spans="1:21" x14ac:dyDescent="0.3">
      <c r="A17" s="776" t="s">
        <v>23</v>
      </c>
      <c r="B17" s="776"/>
      <c r="C17" s="143">
        <v>4</v>
      </c>
      <c r="D17" s="143">
        <v>7</v>
      </c>
      <c r="E17" s="116">
        <f t="shared" si="1"/>
        <v>11</v>
      </c>
      <c r="F17" s="859">
        <f>'1461'!F17:G17</f>
        <v>1</v>
      </c>
      <c r="G17" s="859"/>
      <c r="H17" s="80">
        <f t="shared" si="2"/>
        <v>11</v>
      </c>
      <c r="I17" s="101">
        <f t="shared" si="3"/>
        <v>61033.32</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6.08</v>
      </c>
      <c r="D26" s="143">
        <v>6.45</v>
      </c>
      <c r="E26" s="116">
        <f t="shared" si="1"/>
        <v>12.530000000000001</v>
      </c>
      <c r="F26" s="859">
        <f>'1461'!F26:G26</f>
        <v>1.1919999999999999</v>
      </c>
      <c r="G26" s="859"/>
      <c r="H26" s="80">
        <f t="shared" si="2"/>
        <v>14.9358</v>
      </c>
      <c r="I26" s="101">
        <f t="shared" si="3"/>
        <v>82871.05</v>
      </c>
      <c r="N26" s="818" t="s">
        <v>85</v>
      </c>
      <c r="O26" s="818"/>
      <c r="P26" s="860">
        <f t="shared" si="0"/>
        <v>0</v>
      </c>
      <c r="Q26" s="860"/>
      <c r="R26" s="864">
        <v>1</v>
      </c>
      <c r="S26" s="864"/>
      <c r="T26" s="95">
        <f t="shared" si="4"/>
        <v>0</v>
      </c>
      <c r="U26" s="523">
        <f t="shared" si="5"/>
        <v>0</v>
      </c>
    </row>
    <row r="27" spans="1:21" x14ac:dyDescent="0.3">
      <c r="A27" s="776" t="s">
        <v>86</v>
      </c>
      <c r="B27" s="776"/>
      <c r="C27" s="143">
        <v>3.54</v>
      </c>
      <c r="D27" s="143">
        <v>3.76</v>
      </c>
      <c r="E27" s="116">
        <f t="shared" si="1"/>
        <v>7.3</v>
      </c>
      <c r="F27" s="859">
        <f>'1461'!F27:G27</f>
        <v>1.1919999999999999</v>
      </c>
      <c r="G27" s="859"/>
      <c r="H27" s="80">
        <f t="shared" si="2"/>
        <v>8.7015999999999991</v>
      </c>
      <c r="I27" s="101">
        <f t="shared" si="3"/>
        <v>48280.69</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122.46000000000001</v>
      </c>
      <c r="D30" s="94">
        <f>SUM(D14:D29)</f>
        <v>120.01000000000002</v>
      </c>
      <c r="E30" s="94">
        <f>SUM(E14:E29)</f>
        <v>242.47000000000003</v>
      </c>
      <c r="F30" s="795"/>
      <c r="G30" s="795"/>
      <c r="H30" s="99">
        <f>SUM(H14:H29)</f>
        <v>256.11510000000004</v>
      </c>
      <c r="I30" s="94">
        <f>SUM(I14:I29)</f>
        <v>1421050.53</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42">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44">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44">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44">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44">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36">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256.11510000000004</v>
      </c>
      <c r="F46" s="34"/>
      <c r="G46" s="106"/>
      <c r="H46" s="107" t="s">
        <v>98</v>
      </c>
      <c r="I46" s="94">
        <f>SUM(I44,I30)</f>
        <v>1421050.53</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1623701.6999999997</v>
      </c>
      <c r="G51" s="109" t="s">
        <v>6</v>
      </c>
      <c r="H51" s="452">
        <v>5.5899999999999998E-2</v>
      </c>
      <c r="I51" s="101">
        <f>ROUND(F51*H51,2)</f>
        <v>90764.93</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1623701.6999999997</v>
      </c>
      <c r="G52" s="109" t="s">
        <v>6</v>
      </c>
      <c r="H52" s="452">
        <v>1.0699999999999999E-2</v>
      </c>
      <c r="I52" s="101">
        <f>ROUND(F52*H52,2)</f>
        <v>17373.61</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108138.54</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0.5</v>
      </c>
      <c r="D57" s="143">
        <v>0.8</v>
      </c>
      <c r="E57" s="116">
        <f t="shared" ref="E57:E65" si="10">IF(D$66=0,C57*2,C57+D57)</f>
        <v>1.3</v>
      </c>
      <c r="F57" s="493" t="s">
        <v>498</v>
      </c>
      <c r="G57" s="493">
        <v>251</v>
      </c>
      <c r="H57" s="507">
        <f>'1461'!H57</f>
        <v>1047</v>
      </c>
      <c r="I57" s="101">
        <f>ROUND(E57*H57,2)</f>
        <v>1361.1</v>
      </c>
      <c r="N57" s="849" t="s">
        <v>506</v>
      </c>
      <c r="O57" s="849"/>
      <c r="P57" s="851"/>
      <c r="Q57" s="851"/>
      <c r="R57" s="499" t="s">
        <v>498</v>
      </c>
      <c r="S57" s="499">
        <v>251</v>
      </c>
      <c r="T57" s="510">
        <f>H57</f>
        <v>1047</v>
      </c>
      <c r="U57" s="524">
        <f>ROUND(P57*T57,2)</f>
        <v>0</v>
      </c>
      <c r="V57" s="474"/>
    </row>
    <row r="58" spans="1:22" x14ac:dyDescent="0.3">
      <c r="A58" s="792"/>
      <c r="B58" s="792"/>
      <c r="C58" s="143">
        <v>2</v>
      </c>
      <c r="D58" s="143">
        <v>3.2</v>
      </c>
      <c r="E58" s="116">
        <f t="shared" si="10"/>
        <v>5.2</v>
      </c>
      <c r="F58" s="493" t="s">
        <v>498</v>
      </c>
      <c r="G58" s="493">
        <v>252</v>
      </c>
      <c r="H58" s="507">
        <f>'1461'!H58</f>
        <v>3380</v>
      </c>
      <c r="I58" s="101">
        <f t="shared" ref="I58:I65" si="11">ROUND(E58*H58,2)</f>
        <v>17576</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3.5</v>
      </c>
      <c r="D60" s="143">
        <v>6.13</v>
      </c>
      <c r="E60" s="116">
        <f t="shared" si="10"/>
        <v>9.629999999999999</v>
      </c>
      <c r="F60" s="494" t="s">
        <v>13</v>
      </c>
      <c r="G60" s="493">
        <v>251</v>
      </c>
      <c r="H60" s="507">
        <f>'1461'!H60</f>
        <v>1173</v>
      </c>
      <c r="I60" s="101">
        <f t="shared" si="11"/>
        <v>11295.99</v>
      </c>
      <c r="N60" s="850"/>
      <c r="O60" s="850"/>
      <c r="P60" s="844"/>
      <c r="Q60" s="844"/>
      <c r="R60" s="40" t="s">
        <v>13</v>
      </c>
      <c r="S60" s="499">
        <v>251</v>
      </c>
      <c r="T60" s="510">
        <f t="shared" si="12"/>
        <v>1173</v>
      </c>
      <c r="U60" s="524">
        <f t="shared" si="13"/>
        <v>0</v>
      </c>
      <c r="V60" s="474"/>
    </row>
    <row r="61" spans="1:22" x14ac:dyDescent="0.3">
      <c r="A61" s="792"/>
      <c r="B61" s="792"/>
      <c r="C61" s="143">
        <v>0.5</v>
      </c>
      <c r="D61" s="143">
        <v>0.87</v>
      </c>
      <c r="E61" s="116">
        <f t="shared" si="10"/>
        <v>1.37</v>
      </c>
      <c r="F61" s="494" t="s">
        <v>13</v>
      </c>
      <c r="G61" s="493">
        <v>252</v>
      </c>
      <c r="H61" s="507">
        <f>'1461'!H61</f>
        <v>3506</v>
      </c>
      <c r="I61" s="101">
        <f t="shared" si="11"/>
        <v>4803.22</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6.5</v>
      </c>
      <c r="D66" s="97">
        <f>SUM(D57:D65)</f>
        <v>10.999999999999998</v>
      </c>
      <c r="E66" s="97">
        <f>SUM(E57:E65)</f>
        <v>17.5</v>
      </c>
      <c r="F66" s="779" t="s">
        <v>507</v>
      </c>
      <c r="G66" s="779"/>
      <c r="H66" s="779"/>
      <c r="I66" s="97">
        <f>SUM(I57:I65)</f>
        <v>35036.31</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242.47000000000003</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1.1540000000000001E-3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256.11510000000004</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1.08E-3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242.47000000000003</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1.3060000000000001E-3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242.47000000000003</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1.1559999999999999E-3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242.47000000000003</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1.3090000000000001E-3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1.1559999999999999E-3</v>
      </c>
      <c r="I85" s="101">
        <f>ROUND(F85*H85,2)</f>
        <v>53350.65</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53"/>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1.1540000000000001E-3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1.3090000000000001E-3</v>
      </c>
      <c r="I90" s="101">
        <f>ROUND(F90*H90,2)</f>
        <v>24994.49</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1.3060000000000001E-3</v>
      </c>
      <c r="I92" s="101">
        <f t="shared" ref="I92:I96" si="14">ROUND(F92*H92,2)</f>
        <v>14969.28</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1.08E-3</v>
      </c>
      <c r="I94" s="101">
        <f t="shared" si="14"/>
        <v>276217.36</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1.08E-3</v>
      </c>
      <c r="I96" s="101">
        <f t="shared" si="14"/>
        <v>-18041.8</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1.1540000000000001E-3</v>
      </c>
      <c r="I98" s="101">
        <f t="shared" ref="I98" si="16">ROUND(F98*H98,2)</f>
        <v>235.26</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108.1435</v>
      </c>
      <c r="D104" s="774"/>
      <c r="E104" s="46">
        <f>H8</f>
        <v>1.0407999999999999</v>
      </c>
      <c r="F104" s="302">
        <f>'1461'!F104</f>
        <v>950.92</v>
      </c>
      <c r="G104" s="39" t="s">
        <v>12</v>
      </c>
      <c r="H104" s="101">
        <f>ROUND(C104*E104*F104,2)</f>
        <v>107031.52</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147.97160000000002</v>
      </c>
      <c r="D105" s="774"/>
      <c r="E105" s="46">
        <f>H8</f>
        <v>1.0407999999999999</v>
      </c>
      <c r="F105" s="302">
        <f>'1461'!F105</f>
        <v>907.92</v>
      </c>
      <c r="G105" s="39" t="s">
        <v>12</v>
      </c>
      <c r="H105" s="101">
        <f>ROUND(C105*E105*F105,2)</f>
        <v>139827.71</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256.11510000000004</v>
      </c>
      <c r="D107" s="787"/>
      <c r="E107" s="123"/>
      <c r="F107" s="123"/>
      <c r="G107" s="123"/>
      <c r="H107" s="124" t="s">
        <v>100</v>
      </c>
      <c r="I107" s="101">
        <f>IF(A1=75,0,H106+H105+H104)</f>
        <v>246859.22999999998</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34</v>
      </c>
      <c r="D113" s="143">
        <v>35</v>
      </c>
      <c r="E113" s="144">
        <f>(C113+D113)/2</f>
        <v>34.5</v>
      </c>
      <c r="F113" s="126" t="s">
        <v>30</v>
      </c>
      <c r="G113" s="303">
        <f>'1461'!G113</f>
        <v>584</v>
      </c>
      <c r="I113" s="101">
        <f>ROUND(G113*E113,2)</f>
        <v>20148</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44">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42">
        <f>IF(D30=0,C121*2,C121+D121)</f>
        <v>0</v>
      </c>
      <c r="F121" s="889">
        <v>0</v>
      </c>
      <c r="G121" s="889"/>
      <c r="H121" s="61">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44">
        <f>IF(D31=0,C122*2,C122+D122)</f>
        <v>0</v>
      </c>
      <c r="F122" s="781">
        <f>ROUND(F121/2,2)</f>
        <v>0</v>
      </c>
      <c r="G122" s="781"/>
      <c r="H122" s="61">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44">
        <f>IF(D32=0,C123*2,C123+D123)</f>
        <v>0</v>
      </c>
      <c r="F123" s="782"/>
      <c r="G123" s="782"/>
      <c r="H123" s="63">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2074819.31</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1966680.77</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1966680.77</v>
      </c>
      <c r="I135" s="94">
        <f>ROUND(IF(E30=0,0,IF(E30&gt;250,-(((250/E30)*H135)*IF(G135="H",0.02,0.05)),IF(G135="H",-0.02*H135,-0.05*H135))),2)</f>
        <v>-98334.04</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1976485.27</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Payments'!Q110</f>
        <v>-1992718.4299999997</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-16233.159999999683</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-16233.16</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7:I7"/>
    <mergeCell ref="N12:O12"/>
    <mergeCell ref="P12:Q12"/>
    <mergeCell ref="R12:S12"/>
    <mergeCell ref="T9:U9"/>
    <mergeCell ref="O1:U1"/>
    <mergeCell ref="N2:U2"/>
    <mergeCell ref="N3:U3"/>
    <mergeCell ref="A4:B4"/>
    <mergeCell ref="C4:E4"/>
    <mergeCell ref="N4:O4"/>
    <mergeCell ref="P4:Q4"/>
    <mergeCell ref="B1:I1"/>
    <mergeCell ref="N7:U7"/>
    <mergeCell ref="F13:G13"/>
    <mergeCell ref="N13:O13"/>
    <mergeCell ref="P13:Q13"/>
    <mergeCell ref="R13:S13"/>
    <mergeCell ref="A12:B12"/>
    <mergeCell ref="F12:G12"/>
    <mergeCell ref="N14:O14"/>
    <mergeCell ref="P14:Q14"/>
    <mergeCell ref="R14:S14"/>
    <mergeCell ref="A13:B13"/>
    <mergeCell ref="A15:B15"/>
    <mergeCell ref="F15:G15"/>
    <mergeCell ref="N15:O15"/>
    <mergeCell ref="P15:Q15"/>
    <mergeCell ref="R15:S15"/>
    <mergeCell ref="A14:B14"/>
    <mergeCell ref="F14:G14"/>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N20:O20"/>
    <mergeCell ref="P20:Q20"/>
    <mergeCell ref="R20:S20"/>
    <mergeCell ref="A21:B21"/>
    <mergeCell ref="F21:G21"/>
    <mergeCell ref="N21:O21"/>
    <mergeCell ref="P21:Q21"/>
    <mergeCell ref="R21:S21"/>
    <mergeCell ref="A20:B20"/>
    <mergeCell ref="F20:G20"/>
    <mergeCell ref="N22:O22"/>
    <mergeCell ref="P22:Q22"/>
    <mergeCell ref="R22:S22"/>
    <mergeCell ref="A23:B23"/>
    <mergeCell ref="F23:G23"/>
    <mergeCell ref="N23:O23"/>
    <mergeCell ref="P23:Q23"/>
    <mergeCell ref="R23:S23"/>
    <mergeCell ref="A22:B22"/>
    <mergeCell ref="F22:G22"/>
    <mergeCell ref="N24:O24"/>
    <mergeCell ref="P24:Q24"/>
    <mergeCell ref="R24:S24"/>
    <mergeCell ref="A25:B25"/>
    <mergeCell ref="F25:G25"/>
    <mergeCell ref="N25:O25"/>
    <mergeCell ref="P25:Q25"/>
    <mergeCell ref="R25:S25"/>
    <mergeCell ref="A24:B24"/>
    <mergeCell ref="F24:G24"/>
    <mergeCell ref="F26:G26"/>
    <mergeCell ref="N26:O26"/>
    <mergeCell ref="P26:Q26"/>
    <mergeCell ref="R26:S26"/>
    <mergeCell ref="A27:B27"/>
    <mergeCell ref="F27:G27"/>
    <mergeCell ref="N27:O27"/>
    <mergeCell ref="P27:Q27"/>
    <mergeCell ref="R27:S27"/>
    <mergeCell ref="A26:B26"/>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A69:B69"/>
    <mergeCell ref="D69:G69"/>
    <mergeCell ref="N69:O69"/>
    <mergeCell ref="Q69:S69"/>
    <mergeCell ref="T69:U69"/>
    <mergeCell ref="N70:S70"/>
    <mergeCell ref="T70:U70"/>
    <mergeCell ref="A72:B72"/>
    <mergeCell ref="D72:G72"/>
    <mergeCell ref="N72:O72"/>
    <mergeCell ref="Q72:S72"/>
    <mergeCell ref="T72:U72"/>
    <mergeCell ref="N73:S73"/>
    <mergeCell ref="R66:T66"/>
    <mergeCell ref="A94:C94"/>
    <mergeCell ref="A88:C88"/>
    <mergeCell ref="N94:P94"/>
    <mergeCell ref="N79:S79"/>
    <mergeCell ref="T79:U79"/>
    <mergeCell ref="A81:B81"/>
    <mergeCell ref="D81:G81"/>
    <mergeCell ref="N81:O81"/>
    <mergeCell ref="Q81:S81"/>
    <mergeCell ref="T81:U81"/>
    <mergeCell ref="A87:C87"/>
    <mergeCell ref="N87:P87"/>
    <mergeCell ref="N82:S82"/>
    <mergeCell ref="T82:U82"/>
    <mergeCell ref="T73:U73"/>
    <mergeCell ref="T75:U75"/>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5">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235</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49.41</v>
      </c>
      <c r="D18" s="143">
        <v>50.18</v>
      </c>
      <c r="E18" s="116">
        <f t="shared" si="1"/>
        <v>99.59</v>
      </c>
      <c r="F18" s="859">
        <f>'1461'!F18:G18</f>
        <v>0.97799999999999998</v>
      </c>
      <c r="G18" s="859"/>
      <c r="H18" s="80">
        <f t="shared" si="2"/>
        <v>97.399000000000001</v>
      </c>
      <c r="I18" s="101">
        <f t="shared" si="3"/>
        <v>540416.79</v>
      </c>
      <c r="N18" s="818" t="s">
        <v>24</v>
      </c>
      <c r="O18" s="818"/>
      <c r="P18" s="860">
        <f t="shared" si="0"/>
        <v>0</v>
      </c>
      <c r="Q18" s="860"/>
      <c r="R18" s="864">
        <v>1</v>
      </c>
      <c r="S18" s="864"/>
      <c r="T18" s="95">
        <f t="shared" si="4"/>
        <v>0</v>
      </c>
      <c r="U18" s="523">
        <f t="shared" si="5"/>
        <v>0</v>
      </c>
    </row>
    <row r="19" spans="1:21" x14ac:dyDescent="0.3">
      <c r="A19" s="776" t="s">
        <v>25</v>
      </c>
      <c r="B19" s="776"/>
      <c r="C19" s="143">
        <v>10.92</v>
      </c>
      <c r="D19" s="143">
        <v>11.41</v>
      </c>
      <c r="E19" s="116">
        <f t="shared" si="1"/>
        <v>22.33</v>
      </c>
      <c r="F19" s="859">
        <f>'1461'!F19:G19</f>
        <v>0.97799999999999998</v>
      </c>
      <c r="G19" s="859"/>
      <c r="H19" s="80">
        <f t="shared" si="2"/>
        <v>21.838699999999999</v>
      </c>
      <c r="I19" s="101">
        <f t="shared" si="3"/>
        <v>121171.68</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4.0199999999999996</v>
      </c>
      <c r="D28" s="143">
        <v>4.0199999999999996</v>
      </c>
      <c r="E28" s="116">
        <f t="shared" si="1"/>
        <v>8.0399999999999991</v>
      </c>
      <c r="F28" s="859">
        <f>'1461'!F28:G28</f>
        <v>1.1919999999999999</v>
      </c>
      <c r="G28" s="859"/>
      <c r="H28" s="80">
        <f t="shared" si="2"/>
        <v>9.5837000000000003</v>
      </c>
      <c r="I28" s="101">
        <f t="shared" si="3"/>
        <v>53175.01</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64.349999999999994</v>
      </c>
      <c r="D30" s="94">
        <f>SUM(D14:D29)</f>
        <v>65.61</v>
      </c>
      <c r="E30" s="94">
        <f>SUM(E14:E29)</f>
        <v>129.96</v>
      </c>
      <c r="F30" s="795"/>
      <c r="G30" s="795"/>
      <c r="H30" s="99">
        <f>SUM(H14:H29)</f>
        <v>128.82140000000001</v>
      </c>
      <c r="I30" s="94">
        <f>SUM(I14:I29)</f>
        <v>714763.48</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42">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44">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44">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44">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44">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36">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128.82140000000001</v>
      </c>
      <c r="F46" s="34"/>
      <c r="G46" s="106"/>
      <c r="H46" s="107" t="s">
        <v>98</v>
      </c>
      <c r="I46" s="94">
        <f>SUM(I44,I30)</f>
        <v>714763.48</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685148.45000000007</v>
      </c>
      <c r="G51" s="109" t="s">
        <v>6</v>
      </c>
      <c r="H51" s="452">
        <v>5.5899999999999998E-2</v>
      </c>
      <c r="I51" s="101">
        <f>ROUND(F51*H51,2)</f>
        <v>38299.800000000003</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685148.45000000007</v>
      </c>
      <c r="G52" s="109" t="s">
        <v>6</v>
      </c>
      <c r="H52" s="452">
        <v>1.0699999999999999E-2</v>
      </c>
      <c r="I52" s="101">
        <f>ROUND(F52*H52,2)</f>
        <v>7331.09</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45630.89</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9.41</v>
      </c>
      <c r="D63" s="143">
        <v>9.83</v>
      </c>
      <c r="E63" s="116">
        <f t="shared" si="10"/>
        <v>19.240000000000002</v>
      </c>
      <c r="F63" s="494" t="s">
        <v>14</v>
      </c>
      <c r="G63" s="493">
        <v>251</v>
      </c>
      <c r="H63" s="507">
        <f>'1461'!H63</f>
        <v>835</v>
      </c>
      <c r="I63" s="101">
        <f t="shared" si="11"/>
        <v>16065.4</v>
      </c>
      <c r="N63" s="850"/>
      <c r="O63" s="850"/>
      <c r="P63" s="844"/>
      <c r="Q63" s="844"/>
      <c r="R63" s="40" t="s">
        <v>14</v>
      </c>
      <c r="S63" s="499">
        <v>251</v>
      </c>
      <c r="T63" s="510">
        <f t="shared" si="12"/>
        <v>835</v>
      </c>
      <c r="U63" s="524">
        <f t="shared" si="13"/>
        <v>0</v>
      </c>
      <c r="V63" s="474"/>
    </row>
    <row r="64" spans="1:22" x14ac:dyDescent="0.3">
      <c r="A64" s="792"/>
      <c r="B64" s="792"/>
      <c r="C64" s="143">
        <v>0.5</v>
      </c>
      <c r="D64" s="143">
        <v>0.52</v>
      </c>
      <c r="E64" s="116">
        <f t="shared" si="10"/>
        <v>1.02</v>
      </c>
      <c r="F64" s="494" t="s">
        <v>14</v>
      </c>
      <c r="G64" s="493">
        <v>252</v>
      </c>
      <c r="H64" s="507">
        <f>'1461'!H64</f>
        <v>3168</v>
      </c>
      <c r="I64" s="101">
        <f t="shared" si="11"/>
        <v>3231.36</v>
      </c>
      <c r="N64" s="850"/>
      <c r="O64" s="850"/>
      <c r="P64" s="844"/>
      <c r="Q64" s="844"/>
      <c r="R64" s="40" t="s">
        <v>14</v>
      </c>
      <c r="S64" s="499">
        <v>252</v>
      </c>
      <c r="T64" s="510">
        <f t="shared" si="12"/>
        <v>3168</v>
      </c>
      <c r="U64" s="524">
        <f t="shared" si="13"/>
        <v>0</v>
      </c>
      <c r="V64" s="474"/>
    </row>
    <row r="65" spans="1:22" ht="16.2" thickBot="1" x14ac:dyDescent="0.35">
      <c r="A65" s="792"/>
      <c r="B65" s="792"/>
      <c r="C65" s="143">
        <v>1.01</v>
      </c>
      <c r="D65" s="143">
        <v>1.06</v>
      </c>
      <c r="E65" s="116">
        <f t="shared" si="10"/>
        <v>2.0700000000000003</v>
      </c>
      <c r="F65" s="494" t="s">
        <v>14</v>
      </c>
      <c r="G65" s="493">
        <v>253</v>
      </c>
      <c r="H65" s="507">
        <f>'1461'!H65</f>
        <v>6685</v>
      </c>
      <c r="I65" s="101">
        <f t="shared" si="11"/>
        <v>13837.95</v>
      </c>
      <c r="N65" s="850"/>
      <c r="O65" s="850"/>
      <c r="P65" s="845"/>
      <c r="Q65" s="845"/>
      <c r="R65" s="40" t="s">
        <v>14</v>
      </c>
      <c r="S65" s="499">
        <v>253</v>
      </c>
      <c r="T65" s="510">
        <f t="shared" si="12"/>
        <v>6685</v>
      </c>
      <c r="U65" s="525">
        <f t="shared" si="13"/>
        <v>0</v>
      </c>
      <c r="V65" s="474"/>
    </row>
    <row r="66" spans="1:22" ht="16.2" thickBot="1" x14ac:dyDescent="0.35">
      <c r="A66" s="490"/>
      <c r="C66" s="97">
        <f>SUM(C57:C65)</f>
        <v>10.92</v>
      </c>
      <c r="D66" s="97">
        <f>SUM(D57:D65)</f>
        <v>11.41</v>
      </c>
      <c r="E66" s="97">
        <f>SUM(E57:E65)</f>
        <v>22.330000000000002</v>
      </c>
      <c r="F66" s="779" t="s">
        <v>507</v>
      </c>
      <c r="G66" s="779"/>
      <c r="H66" s="779"/>
      <c r="I66" s="97">
        <f>SUM(I57:I65)</f>
        <v>33134.71</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129.96</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6.1799999999999995E-4</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128.82140000000001</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5.4299999999999997E-4</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129.96</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6.9999999999999999E-4</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129.96</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6.1899999999999998E-4</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129.96</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7.0200000000000004E-4</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6.1899999999999998E-4</v>
      </c>
      <c r="I85" s="101">
        <f>ROUND(F85*H85,2)</f>
        <v>28567.52</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53"/>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6.1799999999999995E-4</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7.0200000000000004E-4</v>
      </c>
      <c r="I90" s="101">
        <f>ROUND(F90*H90,2)</f>
        <v>13404.23</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6.9999999999999999E-4</v>
      </c>
      <c r="I92" s="101">
        <f t="shared" ref="I92:I96" si="14">ROUND(F92*H92,2)</f>
        <v>8023.35</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5.4299999999999997E-4</v>
      </c>
      <c r="I94" s="101">
        <f t="shared" si="14"/>
        <v>138875.95000000001</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5.4299999999999997E-4</v>
      </c>
      <c r="I96" s="101">
        <f t="shared" si="14"/>
        <v>-9071.01</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6.1799999999999995E-4</v>
      </c>
      <c r="I98" s="101">
        <f t="shared" ref="I98" si="16">ROUND(F98*H98,2)</f>
        <v>125.99</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128.82140000000001</v>
      </c>
      <c r="D106" s="774"/>
      <c r="E106" s="46">
        <f>H8</f>
        <v>1.0407999999999999</v>
      </c>
      <c r="F106" s="302">
        <f>'1461'!F106</f>
        <v>910.12</v>
      </c>
      <c r="G106" s="39" t="s">
        <v>12</v>
      </c>
      <c r="H106" s="94">
        <f>ROUND(C106*E106*F106,2)</f>
        <v>122026.44</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128.82140000000001</v>
      </c>
      <c r="D107" s="787"/>
      <c r="E107" s="123"/>
      <c r="F107" s="123"/>
      <c r="G107" s="123"/>
      <c r="H107" s="124" t="s">
        <v>100</v>
      </c>
      <c r="I107" s="101">
        <f>IF(A1=75,0,H106+H105+H104)</f>
        <v>122026.44</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22</v>
      </c>
      <c r="D113" s="143">
        <v>22</v>
      </c>
      <c r="E113" s="144">
        <f>(C113+D113)/2</f>
        <v>22</v>
      </c>
      <c r="F113" s="126" t="s">
        <v>30</v>
      </c>
      <c r="G113" s="303">
        <f>'1461'!G113</f>
        <v>584</v>
      </c>
      <c r="I113" s="101">
        <f>ROUND(G113*E113,2)</f>
        <v>12848</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44">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42">
        <f>IF(D30=0,C121*2,C121+D121)</f>
        <v>0</v>
      </c>
      <c r="F121" s="889">
        <v>0</v>
      </c>
      <c r="G121" s="889"/>
      <c r="H121" s="61">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44">
        <f>IF(D31=0,C122*2,C122+D122)</f>
        <v>0</v>
      </c>
      <c r="F122" s="781">
        <f>ROUND(F121/2,2)</f>
        <v>0</v>
      </c>
      <c r="G122" s="781"/>
      <c r="H122" s="61">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44">
        <f>IF(D32=0,C123*2,C123+D123)</f>
        <v>0</v>
      </c>
      <c r="F123" s="782"/>
      <c r="G123" s="782"/>
      <c r="H123" s="63">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1062698.6599999999</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1017067.7699999999</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1017067.7699999999</v>
      </c>
      <c r="I135" s="94">
        <f>ROUND(IF(E30=0,0,IF(E30&gt;250,-(((250/E30)*H135)*IF(G135="H",0.02,0.05)),IF(G135="H",-0.02*H135,-0.05*H135))),2)</f>
        <v>-50853.39</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1011845.2699999999</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Payments'!Q111</f>
        <v>-1002670.36</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9174.9099999999162</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9174.91</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132:T132"/>
    <mergeCell ref="N133:T133"/>
    <mergeCell ref="N8:O8"/>
    <mergeCell ref="P8:Q8"/>
    <mergeCell ref="R8:S8"/>
    <mergeCell ref="T8:U8"/>
    <mergeCell ref="F11:G11"/>
    <mergeCell ref="R11:S11"/>
    <mergeCell ref="F12:G12"/>
    <mergeCell ref="N12:O12"/>
    <mergeCell ref="P12:Q12"/>
    <mergeCell ref="R12:S12"/>
    <mergeCell ref="T9:U9"/>
    <mergeCell ref="F13:G13"/>
    <mergeCell ref="N13:O13"/>
    <mergeCell ref="P13:Q13"/>
    <mergeCell ref="R13:S13"/>
    <mergeCell ref="P60:Q60"/>
    <mergeCell ref="P61:Q61"/>
    <mergeCell ref="P62:Q62"/>
    <mergeCell ref="P63:Q63"/>
    <mergeCell ref="P64:Q64"/>
    <mergeCell ref="T72:U72"/>
    <mergeCell ref="R66:T66"/>
    <mergeCell ref="B1:I1"/>
    <mergeCell ref="O1:U1"/>
    <mergeCell ref="N2:U2"/>
    <mergeCell ref="N3:U3"/>
    <mergeCell ref="A4:B4"/>
    <mergeCell ref="C4:E4"/>
    <mergeCell ref="N4:O4"/>
    <mergeCell ref="P4:Q4"/>
    <mergeCell ref="A7:I7"/>
    <mergeCell ref="N7:U7"/>
    <mergeCell ref="A14:B14"/>
    <mergeCell ref="F14:G14"/>
    <mergeCell ref="N14:O14"/>
    <mergeCell ref="P14:Q14"/>
    <mergeCell ref="R14:S14"/>
    <mergeCell ref="A13:B13"/>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A94:C94"/>
    <mergeCell ref="A88:C88"/>
    <mergeCell ref="N94:P9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N155:U155"/>
    <mergeCell ref="N135:U135"/>
    <mergeCell ref="N126:P126"/>
    <mergeCell ref="A126:C126"/>
    <mergeCell ref="F126:H126"/>
    <mergeCell ref="N130:T130"/>
    <mergeCell ref="A128:H128"/>
    <mergeCell ref="A132:G132"/>
    <mergeCell ref="A12:B12"/>
    <mergeCell ref="A133:G133"/>
    <mergeCell ref="N136:U136"/>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7">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272</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106.2</v>
      </c>
      <c r="D16" s="143">
        <v>133.84</v>
      </c>
      <c r="E16" s="116">
        <f t="shared" si="1"/>
        <v>240.04000000000002</v>
      </c>
      <c r="F16" s="859">
        <f>'1461'!F16:G16</f>
        <v>1</v>
      </c>
      <c r="G16" s="859"/>
      <c r="H16" s="80">
        <f t="shared" si="2"/>
        <v>240.04</v>
      </c>
      <c r="I16" s="101">
        <f t="shared" si="3"/>
        <v>1331858.1000000001</v>
      </c>
      <c r="N16" s="818" t="s">
        <v>22</v>
      </c>
      <c r="O16" s="818"/>
      <c r="P16" s="860">
        <f t="shared" si="0"/>
        <v>0</v>
      </c>
      <c r="Q16" s="860"/>
      <c r="R16" s="864">
        <v>1</v>
      </c>
      <c r="S16" s="864"/>
      <c r="T16" s="95">
        <f t="shared" si="4"/>
        <v>0</v>
      </c>
      <c r="U16" s="523">
        <f t="shared" si="5"/>
        <v>0</v>
      </c>
    </row>
    <row r="17" spans="1:21" x14ac:dyDescent="0.3">
      <c r="A17" s="776" t="s">
        <v>23</v>
      </c>
      <c r="B17" s="776"/>
      <c r="C17" s="143">
        <v>16.48</v>
      </c>
      <c r="D17" s="143">
        <v>19.68</v>
      </c>
      <c r="E17" s="116">
        <f t="shared" si="1"/>
        <v>36.159999999999997</v>
      </c>
      <c r="F17" s="859">
        <f>'1461'!F17:G17</f>
        <v>1</v>
      </c>
      <c r="G17" s="859"/>
      <c r="H17" s="80">
        <f t="shared" si="2"/>
        <v>36.159999999999997</v>
      </c>
      <c r="I17" s="101">
        <f t="shared" si="3"/>
        <v>200633.18</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13.18</v>
      </c>
      <c r="D27" s="143">
        <v>15.31</v>
      </c>
      <c r="E27" s="116">
        <f t="shared" si="1"/>
        <v>28.490000000000002</v>
      </c>
      <c r="F27" s="859">
        <f>'1461'!F27:G27</f>
        <v>1.1919999999999999</v>
      </c>
      <c r="G27" s="859"/>
      <c r="H27" s="80">
        <f t="shared" si="2"/>
        <v>33.960099999999997</v>
      </c>
      <c r="I27" s="101">
        <f t="shared" si="3"/>
        <v>188427.07</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135.86000000000001</v>
      </c>
      <c r="D30" s="94">
        <f>SUM(D14:D29)</f>
        <v>168.83</v>
      </c>
      <c r="E30" s="94">
        <f>SUM(E14:E29)</f>
        <v>304.69000000000005</v>
      </c>
      <c r="F30" s="795"/>
      <c r="G30" s="795"/>
      <c r="H30" s="99">
        <f>SUM(H14:H29)</f>
        <v>310.1601</v>
      </c>
      <c r="I30" s="94">
        <f>SUM(I14:I29)</f>
        <v>1720918.35</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42">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44">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44">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44">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44">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36">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310.1601</v>
      </c>
      <c r="F46" s="34"/>
      <c r="G46" s="106"/>
      <c r="H46" s="107" t="s">
        <v>98</v>
      </c>
      <c r="I46" s="94">
        <f>SUM(I44,I30)</f>
        <v>1720918.35</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1914794.03</v>
      </c>
      <c r="G51" s="109" t="s">
        <v>6</v>
      </c>
      <c r="H51" s="452">
        <v>5.5899999999999998E-2</v>
      </c>
      <c r="I51" s="101">
        <f>ROUND(F51*H51,2)</f>
        <v>107036.99</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1914794.03</v>
      </c>
      <c r="G52" s="109" t="s">
        <v>6</v>
      </c>
      <c r="H52" s="452">
        <v>1.0699999999999999E-2</v>
      </c>
      <c r="I52" s="101">
        <f>ROUND(F52*H52,2)</f>
        <v>20488.3</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127525.29000000001</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16</v>
      </c>
      <c r="D60" s="143">
        <v>19.100000000000001</v>
      </c>
      <c r="E60" s="116">
        <f t="shared" si="10"/>
        <v>35.1</v>
      </c>
      <c r="F60" s="494" t="s">
        <v>13</v>
      </c>
      <c r="G60" s="493">
        <v>251</v>
      </c>
      <c r="H60" s="507">
        <f>'1461'!H60</f>
        <v>1173</v>
      </c>
      <c r="I60" s="101">
        <f t="shared" si="11"/>
        <v>41172.300000000003</v>
      </c>
      <c r="N60" s="850"/>
      <c r="O60" s="850"/>
      <c r="P60" s="844"/>
      <c r="Q60" s="844"/>
      <c r="R60" s="40" t="s">
        <v>13</v>
      </c>
      <c r="S60" s="499">
        <v>251</v>
      </c>
      <c r="T60" s="510">
        <f t="shared" si="12"/>
        <v>1173</v>
      </c>
      <c r="U60" s="524">
        <f t="shared" si="13"/>
        <v>0</v>
      </c>
      <c r="V60" s="474"/>
    </row>
    <row r="61" spans="1:22" x14ac:dyDescent="0.3">
      <c r="A61" s="792"/>
      <c r="B61" s="792"/>
      <c r="C61" s="143">
        <v>0.48</v>
      </c>
      <c r="D61" s="143">
        <v>0.57999999999999996</v>
      </c>
      <c r="E61" s="116">
        <f t="shared" si="10"/>
        <v>1.06</v>
      </c>
      <c r="F61" s="494" t="s">
        <v>13</v>
      </c>
      <c r="G61" s="493">
        <v>252</v>
      </c>
      <c r="H61" s="507">
        <f>'1461'!H61</f>
        <v>3506</v>
      </c>
      <c r="I61" s="101">
        <f t="shared" si="11"/>
        <v>3716.36</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16.48</v>
      </c>
      <c r="D66" s="97">
        <f>SUM(D57:D65)</f>
        <v>19.68</v>
      </c>
      <c r="E66" s="97">
        <f>SUM(E57:E65)</f>
        <v>36.160000000000004</v>
      </c>
      <c r="F66" s="779" t="s">
        <v>507</v>
      </c>
      <c r="G66" s="779"/>
      <c r="H66" s="779"/>
      <c r="I66" s="97">
        <f>SUM(I57:I65)</f>
        <v>44888.66</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304.69000000000005</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1.4499999999999999E-3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310.1601</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1.3079999999999999E-3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304.69000000000005</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1.642E-3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304.69000000000005</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1.4519999999999999E-3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304.69000000000005</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1.645E-3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1.4519999999999999E-3</v>
      </c>
      <c r="I85" s="101">
        <f>ROUND(F85*H85,2)</f>
        <v>67011.37</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53"/>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1.4499999999999999E-3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1.645E-3</v>
      </c>
      <c r="I90" s="101">
        <f>ROUND(F90*H90,2)</f>
        <v>31410.19</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1.642E-3</v>
      </c>
      <c r="I92" s="101">
        <f t="shared" ref="I92:I96" si="14">ROUND(F92*H92,2)</f>
        <v>18820.490000000002</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1.3079999999999999E-3</v>
      </c>
      <c r="I94" s="101">
        <f t="shared" si="14"/>
        <v>334529.91999999998</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1.3079999999999999E-3</v>
      </c>
      <c r="I96" s="101">
        <f t="shared" si="14"/>
        <v>-21850.62</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1.4499999999999999E-3</v>
      </c>
      <c r="I98" s="101">
        <f t="shared" ref="I98" si="16">ROUND(F98*H98,2)</f>
        <v>295.60000000000002</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310.1601</v>
      </c>
      <c r="D105" s="774"/>
      <c r="E105" s="46">
        <f>H8</f>
        <v>1.0407999999999999</v>
      </c>
      <c r="F105" s="302">
        <f>'1461'!F105</f>
        <v>907.92</v>
      </c>
      <c r="G105" s="39" t="s">
        <v>12</v>
      </c>
      <c r="H105" s="101">
        <f>ROUND(C105*E105*F105,2)</f>
        <v>293089.86</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310.1601</v>
      </c>
      <c r="D107" s="787"/>
      <c r="E107" s="123"/>
      <c r="F107" s="123"/>
      <c r="G107" s="123"/>
      <c r="H107" s="124" t="s">
        <v>100</v>
      </c>
      <c r="I107" s="101">
        <f>IF(A1=75,0,H106+H105+H104)</f>
        <v>293089.86</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44">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44">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42">
        <f>IF(D30=0,C121*2,C121+D121)</f>
        <v>0</v>
      </c>
      <c r="F121" s="889">
        <v>0</v>
      </c>
      <c r="G121" s="889"/>
      <c r="H121" s="61">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44">
        <f>IF(D31=0,C122*2,C122+D122)</f>
        <v>0</v>
      </c>
      <c r="F122" s="781">
        <f>ROUND(F121/2,2)</f>
        <v>0</v>
      </c>
      <c r="G122" s="781"/>
      <c r="H122" s="61">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44">
        <f>IF(D32=0,C123*2,C123+D123)</f>
        <v>0</v>
      </c>
      <c r="F123" s="782"/>
      <c r="G123" s="782"/>
      <c r="H123" s="63">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2489113.8199999998</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2361588.5299999998</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583"/>
      <c r="O131" s="583"/>
      <c r="P131" s="583"/>
      <c r="Q131" s="583"/>
      <c r="R131" s="583"/>
      <c r="S131" s="583"/>
      <c r="T131" s="583"/>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2361588.5299999998</v>
      </c>
      <c r="I135" s="94">
        <f>ROUND(IF(E30=0,0,IF(E30&gt;250,-(((250/E30)*H135)*IF(G135="H",0.02,0.05)),IF(G135="H",-0.02*H135,-0.05*H135))),2)</f>
        <v>-96884.89</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2392228.9299999997</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Payments'!Q112</f>
        <v>-2185141.77</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207087.15999999968</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207087.16</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21194.54</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R120:S120"/>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N155:U155"/>
    <mergeCell ref="A126:C126"/>
    <mergeCell ref="F126:H126"/>
    <mergeCell ref="N130:T130"/>
    <mergeCell ref="A128:H128"/>
    <mergeCell ref="A132:G132"/>
    <mergeCell ref="N135:U135"/>
    <mergeCell ref="A133:G133"/>
    <mergeCell ref="N136:U136"/>
    <mergeCell ref="N126:P126"/>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8">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271</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39"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81.25</v>
      </c>
      <c r="D14" s="141">
        <v>79.099999999999994</v>
      </c>
      <c r="E14" s="187">
        <f>IF(D$30=0,C14*2,C14+D14)</f>
        <v>160.35</v>
      </c>
      <c r="F14" s="868">
        <f>'1461'!F14:G14</f>
        <v>1.1180000000000001</v>
      </c>
      <c r="G14" s="868"/>
      <c r="H14" s="145">
        <f>ROUND(E14*F14,4)</f>
        <v>179.2713</v>
      </c>
      <c r="I14" s="111">
        <f>ROUND(ROUND(ROUND(H14*$C$8,4)*($H$8),2)*(MAX($H$9,1)),2)</f>
        <v>994683.94</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10.74</v>
      </c>
      <c r="D15" s="143">
        <v>10.71</v>
      </c>
      <c r="E15" s="116">
        <f t="shared" ref="E15:E29" si="1">IF(D$30=0,C15*2,C15+D15)</f>
        <v>21.450000000000003</v>
      </c>
      <c r="F15" s="859">
        <f>'1461'!F15:G15</f>
        <v>1.1180000000000001</v>
      </c>
      <c r="G15" s="859"/>
      <c r="H15" s="80">
        <f t="shared" ref="H15:H29" si="2">ROUND(E15*F15,4)</f>
        <v>23.981100000000001</v>
      </c>
      <c r="I15" s="101">
        <f t="shared" ref="I15:I29" si="3">ROUND(ROUND(ROUND(H15*$C$8,4)*($H$8),2)*(MAX($H$9,1)),2)</f>
        <v>133058.75</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48.47</v>
      </c>
      <c r="D16" s="143">
        <v>49.2</v>
      </c>
      <c r="E16" s="116">
        <f t="shared" si="1"/>
        <v>97.67</v>
      </c>
      <c r="F16" s="859">
        <f>'1461'!F16:G16</f>
        <v>1</v>
      </c>
      <c r="G16" s="859"/>
      <c r="H16" s="80">
        <f t="shared" si="2"/>
        <v>97.67</v>
      </c>
      <c r="I16" s="101">
        <f t="shared" si="3"/>
        <v>541920.43000000005</v>
      </c>
      <c r="N16" s="818" t="s">
        <v>22</v>
      </c>
      <c r="O16" s="818"/>
      <c r="P16" s="860">
        <f t="shared" si="0"/>
        <v>0</v>
      </c>
      <c r="Q16" s="860"/>
      <c r="R16" s="864">
        <v>1</v>
      </c>
      <c r="S16" s="864"/>
      <c r="T16" s="95">
        <f t="shared" si="4"/>
        <v>0</v>
      </c>
      <c r="U16" s="523">
        <f t="shared" si="5"/>
        <v>0</v>
      </c>
    </row>
    <row r="17" spans="1:21" x14ac:dyDescent="0.3">
      <c r="A17" s="776" t="s">
        <v>23</v>
      </c>
      <c r="B17" s="776"/>
      <c r="C17" s="143">
        <v>4.8600000000000003</v>
      </c>
      <c r="D17" s="143">
        <v>5.64</v>
      </c>
      <c r="E17" s="116">
        <f t="shared" si="1"/>
        <v>10.5</v>
      </c>
      <c r="F17" s="859">
        <f>'1461'!F17:G17</f>
        <v>1</v>
      </c>
      <c r="G17" s="859"/>
      <c r="H17" s="80">
        <f t="shared" si="2"/>
        <v>10.5</v>
      </c>
      <c r="I17" s="101">
        <f t="shared" si="3"/>
        <v>58259.08</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43.62</v>
      </c>
      <c r="D26" s="143">
        <v>42.72</v>
      </c>
      <c r="E26" s="116">
        <f t="shared" si="1"/>
        <v>86.34</v>
      </c>
      <c r="F26" s="859">
        <f>'1461'!F26:G26</f>
        <v>1.1919999999999999</v>
      </c>
      <c r="G26" s="859"/>
      <c r="H26" s="80">
        <f t="shared" si="2"/>
        <v>102.9173</v>
      </c>
      <c r="I26" s="101">
        <f t="shared" si="3"/>
        <v>571034.99</v>
      </c>
      <c r="N26" s="818" t="s">
        <v>85</v>
      </c>
      <c r="O26" s="818"/>
      <c r="P26" s="860">
        <f t="shared" si="0"/>
        <v>0</v>
      </c>
      <c r="Q26" s="860"/>
      <c r="R26" s="864">
        <v>1</v>
      </c>
      <c r="S26" s="864"/>
      <c r="T26" s="95">
        <f t="shared" si="4"/>
        <v>0</v>
      </c>
      <c r="U26" s="523">
        <f t="shared" si="5"/>
        <v>0</v>
      </c>
    </row>
    <row r="27" spans="1:21" x14ac:dyDescent="0.3">
      <c r="A27" s="776" t="s">
        <v>86</v>
      </c>
      <c r="B27" s="776"/>
      <c r="C27" s="143">
        <v>8.99</v>
      </c>
      <c r="D27" s="143">
        <v>8.81</v>
      </c>
      <c r="E27" s="116">
        <f t="shared" si="1"/>
        <v>17.8</v>
      </c>
      <c r="F27" s="859">
        <f>'1461'!F27:G27</f>
        <v>1.1919999999999999</v>
      </c>
      <c r="G27" s="859"/>
      <c r="H27" s="80">
        <f t="shared" si="2"/>
        <v>21.217600000000001</v>
      </c>
      <c r="I27" s="101">
        <f t="shared" si="3"/>
        <v>117725.51</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197.93</v>
      </c>
      <c r="D30" s="94">
        <f>SUM(D14:D29)</f>
        <v>196.17999999999998</v>
      </c>
      <c r="E30" s="94">
        <f>SUM(E14:E29)</f>
        <v>394.11000000000007</v>
      </c>
      <c r="F30" s="795"/>
      <c r="G30" s="795"/>
      <c r="H30" s="99">
        <f>SUM(H14:H29)</f>
        <v>435.5573</v>
      </c>
      <c r="I30" s="94">
        <f>SUM(I14:I29)</f>
        <v>2416682.7000000002</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42">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44">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44">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44">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44">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36">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435.5573</v>
      </c>
      <c r="F46" s="34"/>
      <c r="G46" s="106"/>
      <c r="H46" s="107" t="s">
        <v>98</v>
      </c>
      <c r="I46" s="94">
        <f>SUM(I44,I30)</f>
        <v>2416682.7000000002</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2559801.4</v>
      </c>
      <c r="G51" s="109" t="s">
        <v>6</v>
      </c>
      <c r="H51" s="452">
        <v>5.5899999999999998E-2</v>
      </c>
      <c r="I51" s="101">
        <f>ROUND(F51*H51,2)</f>
        <v>143092.9</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2559801.4</v>
      </c>
      <c r="G52" s="109" t="s">
        <v>6</v>
      </c>
      <c r="H52" s="452">
        <v>1.0699999999999999E-2</v>
      </c>
      <c r="I52" s="101">
        <f>ROUND(F52*H52,2)</f>
        <v>27389.87</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170482.77</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8.7899999999999991</v>
      </c>
      <c r="D57" s="143">
        <v>8.76</v>
      </c>
      <c r="E57" s="116">
        <f t="shared" ref="E57:E65" si="10">IF(D$66=0,C57*2,C57+D57)</f>
        <v>17.549999999999997</v>
      </c>
      <c r="F57" s="493" t="s">
        <v>498</v>
      </c>
      <c r="G57" s="493">
        <v>251</v>
      </c>
      <c r="H57" s="507">
        <f>'1461'!H57</f>
        <v>1047</v>
      </c>
      <c r="I57" s="101">
        <f>ROUND(E57*H57,2)</f>
        <v>18374.849999999999</v>
      </c>
      <c r="N57" s="849" t="s">
        <v>506</v>
      </c>
      <c r="O57" s="849"/>
      <c r="P57" s="851"/>
      <c r="Q57" s="851"/>
      <c r="R57" s="499" t="s">
        <v>498</v>
      </c>
      <c r="S57" s="499">
        <v>251</v>
      </c>
      <c r="T57" s="510">
        <f>H57</f>
        <v>1047</v>
      </c>
      <c r="U57" s="524">
        <f>ROUND(P57*T57,2)</f>
        <v>0</v>
      </c>
      <c r="V57" s="474"/>
    </row>
    <row r="58" spans="1:22" x14ac:dyDescent="0.3">
      <c r="A58" s="792"/>
      <c r="B58" s="792"/>
      <c r="C58" s="143">
        <v>1.95</v>
      </c>
      <c r="D58" s="143">
        <v>1.95</v>
      </c>
      <c r="E58" s="116">
        <f t="shared" si="10"/>
        <v>3.9</v>
      </c>
      <c r="F58" s="493" t="s">
        <v>498</v>
      </c>
      <c r="G58" s="493">
        <v>252</v>
      </c>
      <c r="H58" s="507">
        <f>'1461'!H58</f>
        <v>3380</v>
      </c>
      <c r="I58" s="101">
        <f t="shared" ref="I58:I65" si="11">ROUND(E58*H58,2)</f>
        <v>13182</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3.89</v>
      </c>
      <c r="D60" s="143">
        <v>4.51</v>
      </c>
      <c r="E60" s="116">
        <f t="shared" si="10"/>
        <v>8.4</v>
      </c>
      <c r="F60" s="494" t="s">
        <v>13</v>
      </c>
      <c r="G60" s="493">
        <v>251</v>
      </c>
      <c r="H60" s="507">
        <f>'1461'!H60</f>
        <v>1173</v>
      </c>
      <c r="I60" s="101">
        <f t="shared" si="11"/>
        <v>9853.2000000000007</v>
      </c>
      <c r="N60" s="850"/>
      <c r="O60" s="850"/>
      <c r="P60" s="844"/>
      <c r="Q60" s="844"/>
      <c r="R60" s="40" t="s">
        <v>13</v>
      </c>
      <c r="S60" s="499">
        <v>251</v>
      </c>
      <c r="T60" s="510">
        <f t="shared" si="12"/>
        <v>1173</v>
      </c>
      <c r="U60" s="524">
        <f t="shared" si="13"/>
        <v>0</v>
      </c>
      <c r="V60" s="474"/>
    </row>
    <row r="61" spans="1:22" x14ac:dyDescent="0.3">
      <c r="A61" s="792"/>
      <c r="B61" s="792"/>
      <c r="C61" s="143">
        <v>0.97</v>
      </c>
      <c r="D61" s="143">
        <v>1.1299999999999999</v>
      </c>
      <c r="E61" s="116">
        <f t="shared" si="10"/>
        <v>2.0999999999999996</v>
      </c>
      <c r="F61" s="494" t="s">
        <v>13</v>
      </c>
      <c r="G61" s="493">
        <v>252</v>
      </c>
      <c r="H61" s="507">
        <f>'1461'!H61</f>
        <v>3506</v>
      </c>
      <c r="I61" s="101">
        <f t="shared" si="11"/>
        <v>7362.6</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15.6</v>
      </c>
      <c r="D66" s="97">
        <f>SUM(D57:D65)</f>
        <v>16.349999999999998</v>
      </c>
      <c r="E66" s="97">
        <f>SUM(E57:E65)</f>
        <v>31.949999999999996</v>
      </c>
      <c r="F66" s="779" t="s">
        <v>507</v>
      </c>
      <c r="G66" s="779"/>
      <c r="H66" s="779"/>
      <c r="I66" s="97">
        <f>SUM(I57:I65)</f>
        <v>48772.65</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394.11000000000007</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1.8749999999999999E-3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435.5573</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1.836E-3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394.11000000000007</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2.124E-3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394.11000000000007</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1.8779999999999999E-3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394.11000000000007</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2.127E-3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1.8779999999999999E-3</v>
      </c>
      <c r="I85" s="101">
        <f>ROUND(F85*H85,2)</f>
        <v>86671.73</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53"/>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1.8749999999999999E-3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2.127E-3</v>
      </c>
      <c r="I90" s="101">
        <f>ROUND(F90*H90,2)</f>
        <v>40613.660000000003</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2.124E-3</v>
      </c>
      <c r="I92" s="101">
        <f t="shared" ref="I92:I96" si="14">ROUND(F92*H92,2)</f>
        <v>24345.14</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1.836E-3</v>
      </c>
      <c r="I94" s="101">
        <f t="shared" si="14"/>
        <v>469569.51</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1.836E-3</v>
      </c>
      <c r="I96" s="101">
        <f t="shared" si="14"/>
        <v>-30671.05</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1.8749999999999999E-3</v>
      </c>
      <c r="I98" s="101">
        <f t="shared" ref="I98" si="16">ROUND(F98*H98,2)</f>
        <v>382.24</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306.16969999999998</v>
      </c>
      <c r="D104" s="774"/>
      <c r="E104" s="46">
        <f>H8</f>
        <v>1.0407999999999999</v>
      </c>
      <c r="F104" s="302">
        <f>'1461'!F104</f>
        <v>950.92</v>
      </c>
      <c r="G104" s="39" t="s">
        <v>12</v>
      </c>
      <c r="H104" s="101">
        <f>ROUND(C104*E104*F104,2)</f>
        <v>303021.52</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129.38759999999999</v>
      </c>
      <c r="D105" s="774"/>
      <c r="E105" s="46">
        <f>H8</f>
        <v>1.0407999999999999</v>
      </c>
      <c r="F105" s="302">
        <f>'1461'!F105</f>
        <v>907.92</v>
      </c>
      <c r="G105" s="39" t="s">
        <v>12</v>
      </c>
      <c r="H105" s="101">
        <f>ROUND(C105*E105*F105,2)</f>
        <v>122266.51</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435.55729999999994</v>
      </c>
      <c r="D107" s="787"/>
      <c r="E107" s="123"/>
      <c r="F107" s="123"/>
      <c r="G107" s="123"/>
      <c r="H107" s="124" t="s">
        <v>100</v>
      </c>
      <c r="I107" s="101">
        <f>IF(A1=75,0,H106+H105+H104)</f>
        <v>425288.03</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39"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1</v>
      </c>
      <c r="E113" s="144">
        <f>(C113+D113)/2</f>
        <v>0.5</v>
      </c>
      <c r="F113" s="126" t="s">
        <v>30</v>
      </c>
      <c r="G113" s="303">
        <f>'1461'!G113</f>
        <v>584</v>
      </c>
      <c r="I113" s="101">
        <f>ROUND(G113*E113,2)</f>
        <v>292</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44">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42">
        <f>IF(D30=0,C121*2,C121+D121)</f>
        <v>0</v>
      </c>
      <c r="F121" s="889">
        <v>0</v>
      </c>
      <c r="G121" s="889"/>
      <c r="H121" s="61">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44">
        <f>IF(D31=0,C122*2,C122+D122)</f>
        <v>0</v>
      </c>
      <c r="F122" s="781">
        <f>ROUND(F121/2,2)</f>
        <v>0</v>
      </c>
      <c r="G122" s="781"/>
      <c r="H122" s="61">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44">
        <f>IF(D32=0,C123*2,C123+D123)</f>
        <v>0</v>
      </c>
      <c r="F123" s="782"/>
      <c r="G123" s="782"/>
      <c r="H123" s="63">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3481946.6100000013</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3311463.8400000012</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3311463.8400000012</v>
      </c>
      <c r="I135" s="94">
        <f>ROUND(IF(E30=0,0,IF(E30&gt;250,-(((250/E30)*H135)*IF(G135="H",0.02,0.05)),IF(G135="H",-0.02*H135,-0.05*H135))),2)</f>
        <v>-105029.81</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3376916.8000000012</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Payments'!Q113</f>
        <v>-3431893.1499999994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-54976.34999999823</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-54976.35</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60543.38</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R120:S120"/>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N155:U155"/>
    <mergeCell ref="A126:C126"/>
    <mergeCell ref="F126:H126"/>
    <mergeCell ref="N130:T130"/>
    <mergeCell ref="A128:H128"/>
    <mergeCell ref="A132:G132"/>
    <mergeCell ref="N135:U135"/>
    <mergeCell ref="A133:G133"/>
    <mergeCell ref="N136:U136"/>
    <mergeCell ref="N126:P126"/>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9">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265</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41"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1.5</v>
      </c>
      <c r="D15" s="143">
        <v>1.5</v>
      </c>
      <c r="E15" s="116">
        <f t="shared" ref="E15:E29" si="1">IF(D$30=0,C15*2,C15+D15)</f>
        <v>3</v>
      </c>
      <c r="F15" s="859">
        <f>'1461'!F15:G15</f>
        <v>1.1180000000000001</v>
      </c>
      <c r="G15" s="859"/>
      <c r="H15" s="80">
        <f t="shared" ref="H15:H29" si="2">ROUND(E15*F15,4)</f>
        <v>3.3540000000000001</v>
      </c>
      <c r="I15" s="101">
        <f t="shared" ref="I15:I29" si="3">ROUND(ROUND(ROUND(H15*$C$8,4)*($H$8),2)*(MAX($H$9,1)),2)</f>
        <v>18609.62</v>
      </c>
      <c r="J15" s="65" t="str">
        <f>IF(ROUND(E15,2)=ROUND(SUM(E57:E59),2)," ","CHECK PK-3 LINES BELOW")</f>
        <v xml:space="preserve"> </v>
      </c>
      <c r="N15" s="818" t="s">
        <v>21</v>
      </c>
      <c r="O15" s="818"/>
      <c r="P15" s="860">
        <f t="shared" si="0"/>
        <v>3</v>
      </c>
      <c r="Q15" s="860"/>
      <c r="R15" s="864">
        <v>1</v>
      </c>
      <c r="S15" s="864"/>
      <c r="T15" s="95">
        <f t="shared" ref="T15:T29" si="4">ROUND(P15*R15,4)</f>
        <v>3</v>
      </c>
      <c r="U15" s="523">
        <f t="shared" ref="U15:U29" si="5">ROUND(ROUND(ROUND(T15*$C$8,4)*($H$8),2)*(MAX($H$9,1)),2)</f>
        <v>16645.45</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1</v>
      </c>
      <c r="D17" s="143">
        <v>1</v>
      </c>
      <c r="E17" s="116">
        <f t="shared" si="1"/>
        <v>2</v>
      </c>
      <c r="F17" s="859">
        <f>'1461'!F17:G17</f>
        <v>1</v>
      </c>
      <c r="G17" s="859"/>
      <c r="H17" s="80">
        <f t="shared" si="2"/>
        <v>2</v>
      </c>
      <c r="I17" s="101">
        <f t="shared" si="3"/>
        <v>11096.97</v>
      </c>
      <c r="J17" s="65" t="str">
        <f>IF(ROUND(E17,2)=ROUND(SUM(E60:E62),2)," ","CHECK 4-8 LINES BELOW")</f>
        <v xml:space="preserve"> </v>
      </c>
      <c r="N17" s="818" t="s">
        <v>23</v>
      </c>
      <c r="O17" s="818"/>
      <c r="P17" s="860">
        <f t="shared" si="0"/>
        <v>2</v>
      </c>
      <c r="Q17" s="860"/>
      <c r="R17" s="864">
        <v>1</v>
      </c>
      <c r="S17" s="864"/>
      <c r="T17" s="95">
        <f t="shared" si="4"/>
        <v>2</v>
      </c>
      <c r="U17" s="523">
        <f t="shared" si="5"/>
        <v>11096.97</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13</v>
      </c>
      <c r="D20" s="143">
        <v>11.37</v>
      </c>
      <c r="E20" s="116">
        <f t="shared" si="1"/>
        <v>24.369999999999997</v>
      </c>
      <c r="F20" s="859">
        <f>'1461'!F20:G20</f>
        <v>3.6970000000000001</v>
      </c>
      <c r="G20" s="859"/>
      <c r="H20" s="80">
        <f t="shared" si="2"/>
        <v>90.0959</v>
      </c>
      <c r="I20" s="101">
        <f t="shared" si="3"/>
        <v>499895.66</v>
      </c>
      <c r="N20" s="818" t="s">
        <v>79</v>
      </c>
      <c r="O20" s="818"/>
      <c r="P20" s="860">
        <f t="shared" si="0"/>
        <v>24.369999999999997</v>
      </c>
      <c r="Q20" s="860"/>
      <c r="R20" s="864">
        <v>1</v>
      </c>
      <c r="S20" s="864"/>
      <c r="T20" s="95">
        <f t="shared" si="4"/>
        <v>24.37</v>
      </c>
      <c r="U20" s="523">
        <f t="shared" si="5"/>
        <v>135216.54999999999</v>
      </c>
    </row>
    <row r="21" spans="1:21" x14ac:dyDescent="0.3">
      <c r="A21" s="776" t="s">
        <v>80</v>
      </c>
      <c r="B21" s="776"/>
      <c r="C21" s="143">
        <v>7</v>
      </c>
      <c r="D21" s="143">
        <v>6.13</v>
      </c>
      <c r="E21" s="116">
        <f t="shared" si="1"/>
        <v>13.129999999999999</v>
      </c>
      <c r="F21" s="859">
        <f>'1461'!F21:G21</f>
        <v>3.6970000000000001</v>
      </c>
      <c r="G21" s="859"/>
      <c r="H21" s="80">
        <f t="shared" si="2"/>
        <v>48.541600000000003</v>
      </c>
      <c r="I21" s="101">
        <f t="shared" si="3"/>
        <v>269332.28999999998</v>
      </c>
      <c r="N21" s="818" t="s">
        <v>80</v>
      </c>
      <c r="O21" s="818"/>
      <c r="P21" s="860">
        <f t="shared" si="0"/>
        <v>13.129999999999999</v>
      </c>
      <c r="Q21" s="860"/>
      <c r="R21" s="864">
        <v>1</v>
      </c>
      <c r="S21" s="864"/>
      <c r="T21" s="95">
        <f t="shared" si="4"/>
        <v>13.13</v>
      </c>
      <c r="U21" s="523">
        <f t="shared" si="5"/>
        <v>72851.59</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12</v>
      </c>
      <c r="D23" s="143">
        <v>13.28</v>
      </c>
      <c r="E23" s="116">
        <f t="shared" si="1"/>
        <v>25.28</v>
      </c>
      <c r="F23" s="859">
        <f>'1461'!F23:G23</f>
        <v>5.992</v>
      </c>
      <c r="G23" s="859"/>
      <c r="H23" s="80">
        <f t="shared" si="2"/>
        <v>151.4778</v>
      </c>
      <c r="I23" s="101">
        <f t="shared" si="3"/>
        <v>840472.15</v>
      </c>
      <c r="N23" s="818" t="s">
        <v>82</v>
      </c>
      <c r="O23" s="818"/>
      <c r="P23" s="860">
        <f t="shared" si="0"/>
        <v>25.28</v>
      </c>
      <c r="Q23" s="860"/>
      <c r="R23" s="864">
        <v>1</v>
      </c>
      <c r="S23" s="864"/>
      <c r="T23" s="95">
        <f t="shared" si="4"/>
        <v>25.28</v>
      </c>
      <c r="U23" s="523">
        <f t="shared" si="5"/>
        <v>140265.68</v>
      </c>
    </row>
    <row r="24" spans="1:21" x14ac:dyDescent="0.3">
      <c r="A24" s="776" t="s">
        <v>83</v>
      </c>
      <c r="B24" s="776"/>
      <c r="C24" s="143">
        <v>11.5</v>
      </c>
      <c r="D24" s="143">
        <v>12.72</v>
      </c>
      <c r="E24" s="116">
        <f t="shared" si="1"/>
        <v>24.22</v>
      </c>
      <c r="F24" s="859">
        <f>'1461'!F24:G24</f>
        <v>5.992</v>
      </c>
      <c r="G24" s="859"/>
      <c r="H24" s="80">
        <f t="shared" si="2"/>
        <v>145.12620000000001</v>
      </c>
      <c r="I24" s="101">
        <f t="shared" si="3"/>
        <v>805230.4</v>
      </c>
      <c r="N24" s="818" t="s">
        <v>83</v>
      </c>
      <c r="O24" s="818"/>
      <c r="P24" s="860">
        <f t="shared" si="0"/>
        <v>24.22</v>
      </c>
      <c r="Q24" s="860"/>
      <c r="R24" s="864">
        <v>1</v>
      </c>
      <c r="S24" s="864"/>
      <c r="T24" s="95">
        <f t="shared" si="4"/>
        <v>24.22</v>
      </c>
      <c r="U24" s="523">
        <f t="shared" si="5"/>
        <v>134384.28</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46</v>
      </c>
      <c r="D30" s="94">
        <f>SUM(D14:D29)</f>
        <v>46</v>
      </c>
      <c r="E30" s="94">
        <f>SUM(E14:E29)</f>
        <v>92</v>
      </c>
      <c r="F30" s="795"/>
      <c r="G30" s="795"/>
      <c r="H30" s="99">
        <f>SUM(H14:H29)</f>
        <v>440.59550000000002</v>
      </c>
      <c r="I30" s="94">
        <f>SUM(I14:I29)</f>
        <v>2444637.09</v>
      </c>
      <c r="N30" s="862" t="s">
        <v>5</v>
      </c>
      <c r="O30" s="862"/>
      <c r="P30" s="863">
        <f>SUM(P14:P29)</f>
        <v>92</v>
      </c>
      <c r="Q30" s="863"/>
      <c r="R30" s="852"/>
      <c r="S30" s="852"/>
      <c r="T30" s="100">
        <f>SUM(T14:T29)</f>
        <v>92</v>
      </c>
      <c r="U30" s="523">
        <f>SUM(U14:U29)</f>
        <v>510460.52</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42">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44">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44">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44">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44">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36">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440.59550000000002</v>
      </c>
      <c r="F46" s="34"/>
      <c r="G46" s="106"/>
      <c r="H46" s="107" t="s">
        <v>98</v>
      </c>
      <c r="I46" s="94">
        <f>SUM(I44,I30)</f>
        <v>2444637.09</v>
      </c>
      <c r="N46" s="847" t="s">
        <v>44</v>
      </c>
      <c r="O46" s="847"/>
      <c r="P46" s="847"/>
      <c r="Q46" s="847"/>
      <c r="R46" s="35">
        <f>R44+T30</f>
        <v>92</v>
      </c>
      <c r="S46" s="852" t="s">
        <v>42</v>
      </c>
      <c r="T46" s="852"/>
      <c r="U46" s="108">
        <f>SUM(U44,U30)</f>
        <v>510460.52</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2329819.5099999998</v>
      </c>
      <c r="G51" s="109" t="s">
        <v>6</v>
      </c>
      <c r="H51" s="452">
        <v>5.5899999999999998E-2</v>
      </c>
      <c r="I51" s="101">
        <f>ROUND(F51*H51,2)</f>
        <v>130236.91</v>
      </c>
      <c r="N51" s="457"/>
      <c r="O51" s="458" t="s">
        <v>576</v>
      </c>
      <c r="P51" s="28"/>
      <c r="Q51" s="44" t="s">
        <v>461</v>
      </c>
      <c r="R51" s="459">
        <f>U30</f>
        <v>510460.52</v>
      </c>
      <c r="S51" s="460" t="s">
        <v>6</v>
      </c>
      <c r="T51" s="461">
        <v>5.5899999999999998E-2</v>
      </c>
      <c r="U51" s="453">
        <f>I51</f>
        <v>130236.91</v>
      </c>
    </row>
    <row r="52" spans="1:22" x14ac:dyDescent="0.3">
      <c r="A52" s="26"/>
      <c r="B52" s="617" t="s">
        <v>580</v>
      </c>
      <c r="C52" s="26"/>
      <c r="D52" s="26"/>
      <c r="E52" s="43" t="s">
        <v>461</v>
      </c>
      <c r="F52" s="451">
        <v>2329819.5099999998</v>
      </c>
      <c r="G52" s="109" t="s">
        <v>6</v>
      </c>
      <c r="H52" s="452">
        <v>1.0699999999999999E-2</v>
      </c>
      <c r="I52" s="101">
        <f>ROUND(F52*H52,2)</f>
        <v>24929.07</v>
      </c>
      <c r="N52" s="28"/>
      <c r="O52" s="618" t="s">
        <v>579</v>
      </c>
      <c r="P52" s="28"/>
      <c r="Q52" s="44" t="s">
        <v>461</v>
      </c>
      <c r="R52" s="459">
        <f>U30</f>
        <v>510460.52</v>
      </c>
      <c r="S52" s="460" t="s">
        <v>6</v>
      </c>
      <c r="T52" s="461">
        <v>1.0699999999999999E-2</v>
      </c>
      <c r="U52" s="462">
        <f>I52</f>
        <v>24929.07</v>
      </c>
    </row>
    <row r="53" spans="1:22" x14ac:dyDescent="0.3">
      <c r="A53" s="26"/>
      <c r="B53" s="81" t="s">
        <v>462</v>
      </c>
      <c r="C53" s="26"/>
      <c r="D53" s="26"/>
      <c r="E53" s="43"/>
      <c r="F53" s="451"/>
      <c r="G53" s="109"/>
      <c r="H53" s="452"/>
      <c r="I53" s="97">
        <f>SUM(I51:I52)</f>
        <v>155165.98000000001</v>
      </c>
      <c r="N53" s="28"/>
      <c r="O53" s="434" t="s">
        <v>462</v>
      </c>
      <c r="P53" s="28"/>
      <c r="Q53" s="44"/>
      <c r="R53" s="459"/>
      <c r="S53" s="460"/>
      <c r="T53" s="461"/>
      <c r="U53" s="453">
        <f>SUM(U51:U52)</f>
        <v>155165.98000000001</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1.5</v>
      </c>
      <c r="D59" s="143">
        <v>1.5</v>
      </c>
      <c r="E59" s="116">
        <f t="shared" si="10"/>
        <v>3</v>
      </c>
      <c r="F59" s="493" t="s">
        <v>498</v>
      </c>
      <c r="G59" s="493">
        <v>253</v>
      </c>
      <c r="H59" s="507">
        <f>'1461'!H59</f>
        <v>6896</v>
      </c>
      <c r="I59" s="101">
        <f t="shared" si="11"/>
        <v>20688</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1</v>
      </c>
      <c r="D62" s="143">
        <v>1</v>
      </c>
      <c r="E62" s="116">
        <f t="shared" si="10"/>
        <v>2</v>
      </c>
      <c r="F62" s="494" t="s">
        <v>13</v>
      </c>
      <c r="G62" s="493">
        <v>253</v>
      </c>
      <c r="H62" s="507">
        <f>'1461'!H62</f>
        <v>7023</v>
      </c>
      <c r="I62" s="101">
        <f t="shared" si="11"/>
        <v>14046</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2.5</v>
      </c>
      <c r="D66" s="97">
        <f>SUM(D57:D65)</f>
        <v>2.5</v>
      </c>
      <c r="E66" s="97">
        <f>SUM(E57:E65)</f>
        <v>5</v>
      </c>
      <c r="F66" s="779" t="s">
        <v>507</v>
      </c>
      <c r="G66" s="779"/>
      <c r="H66" s="779"/>
      <c r="I66" s="97">
        <f>SUM(I57:I65)</f>
        <v>34734</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92</v>
      </c>
      <c r="D69" s="789" t="s">
        <v>474</v>
      </c>
      <c r="E69" s="789"/>
      <c r="F69" s="789"/>
      <c r="G69" s="789"/>
      <c r="H69" s="299">
        <f>'1461'!H69</f>
        <v>210166.87</v>
      </c>
      <c r="I69" s="113"/>
      <c r="N69" s="817" t="s">
        <v>467</v>
      </c>
      <c r="O69" s="818"/>
      <c r="P69" s="41">
        <f>P30</f>
        <v>92</v>
      </c>
      <c r="Q69" s="842" t="s">
        <v>469</v>
      </c>
      <c r="R69" s="843"/>
      <c r="S69" s="843"/>
      <c r="T69" s="831">
        <f>H69</f>
        <v>210166.87</v>
      </c>
      <c r="U69" s="831"/>
    </row>
    <row r="70" spans="1:22" x14ac:dyDescent="0.3">
      <c r="B70" s="69"/>
      <c r="G70" s="42" t="s">
        <v>12</v>
      </c>
      <c r="H70" s="114">
        <f>ROUND(C69/H69,6)</f>
        <v>4.3800000000000002E-4</v>
      </c>
      <c r="I70" s="115"/>
      <c r="N70" s="818"/>
      <c r="O70" s="818"/>
      <c r="P70" s="818"/>
      <c r="Q70" s="818"/>
      <c r="R70" s="818"/>
      <c r="S70" s="818"/>
      <c r="T70" s="836">
        <f>ROUND(P69/T69,6)</f>
        <v>4.3800000000000002E-4</v>
      </c>
      <c r="U70" s="836"/>
    </row>
    <row r="71" spans="1:22" x14ac:dyDescent="0.3">
      <c r="A71" s="492" t="s">
        <v>510</v>
      </c>
      <c r="N71" s="503" t="s">
        <v>518</v>
      </c>
      <c r="O71" s="51"/>
      <c r="P71" s="51"/>
      <c r="Q71" s="51"/>
      <c r="R71" s="51"/>
      <c r="S71" s="51"/>
      <c r="T71" s="51"/>
      <c r="U71" s="51"/>
    </row>
    <row r="72" spans="1:22" x14ac:dyDescent="0.3">
      <c r="A72" s="775" t="s">
        <v>464</v>
      </c>
      <c r="B72" s="776"/>
      <c r="C72" s="112">
        <f>H30</f>
        <v>440.59550000000002</v>
      </c>
      <c r="D72" s="789" t="s">
        <v>475</v>
      </c>
      <c r="E72" s="789"/>
      <c r="F72" s="789"/>
      <c r="G72" s="789"/>
      <c r="H72" s="300">
        <f>'1461'!H72</f>
        <v>237198.6</v>
      </c>
      <c r="I72" s="116"/>
      <c r="N72" s="817" t="s">
        <v>468</v>
      </c>
      <c r="O72" s="818"/>
      <c r="P72" s="41">
        <f>T30</f>
        <v>92</v>
      </c>
      <c r="Q72" s="842" t="s">
        <v>470</v>
      </c>
      <c r="R72" s="843"/>
      <c r="S72" s="843"/>
      <c r="T72" s="831">
        <f>H72</f>
        <v>237198.6</v>
      </c>
      <c r="U72" s="831"/>
    </row>
    <row r="73" spans="1:22" x14ac:dyDescent="0.3">
      <c r="G73" s="42" t="s">
        <v>12</v>
      </c>
      <c r="H73" s="114">
        <f>ROUND(C72/H72,6)</f>
        <v>1.8569999999999999E-3</v>
      </c>
      <c r="I73" s="114"/>
      <c r="N73" s="818"/>
      <c r="O73" s="818"/>
      <c r="P73" s="818"/>
      <c r="Q73" s="818"/>
      <c r="R73" s="818"/>
      <c r="S73" s="818"/>
      <c r="T73" s="836">
        <f>ROUND(P72/T72,6)</f>
        <v>3.88E-4</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92</v>
      </c>
      <c r="D75" s="788" t="s">
        <v>476</v>
      </c>
      <c r="E75" s="788"/>
      <c r="F75" s="788"/>
      <c r="G75" s="788"/>
      <c r="H75" s="299">
        <f>'1461'!H75</f>
        <v>185588.37</v>
      </c>
      <c r="I75" s="113"/>
      <c r="N75" s="817" t="s">
        <v>466</v>
      </c>
      <c r="O75" s="818"/>
      <c r="P75" s="41">
        <f>P30</f>
        <v>92</v>
      </c>
      <c r="Q75" s="838" t="s">
        <v>471</v>
      </c>
      <c r="R75" s="839"/>
      <c r="S75" s="839"/>
      <c r="T75" s="831">
        <f>H75</f>
        <v>185588.37</v>
      </c>
      <c r="U75" s="831"/>
    </row>
    <row r="76" spans="1:22" x14ac:dyDescent="0.3">
      <c r="B76" s="69"/>
      <c r="G76" s="42" t="s">
        <v>12</v>
      </c>
      <c r="H76" s="114">
        <f>ROUND(C75/H75,6)</f>
        <v>4.9600000000000002E-4</v>
      </c>
      <c r="I76" s="115"/>
      <c r="N76" s="818"/>
      <c r="O76" s="818"/>
      <c r="P76" s="818"/>
      <c r="Q76" s="818"/>
      <c r="R76" s="818"/>
      <c r="S76" s="818"/>
      <c r="T76" s="836">
        <f>ROUND(P75/T75,6)</f>
        <v>4.9600000000000002E-4</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92</v>
      </c>
      <c r="D78" s="784" t="s">
        <v>477</v>
      </c>
      <c r="E78" s="784"/>
      <c r="F78" s="784"/>
      <c r="G78" s="784"/>
      <c r="H78" s="299">
        <f>'1461'!H78</f>
        <v>209834.86</v>
      </c>
      <c r="I78" s="113"/>
      <c r="N78" s="817" t="s">
        <v>466</v>
      </c>
      <c r="O78" s="818"/>
      <c r="P78" s="41">
        <f>P30</f>
        <v>92</v>
      </c>
      <c r="Q78" s="840" t="s">
        <v>472</v>
      </c>
      <c r="R78" s="841"/>
      <c r="S78" s="841"/>
      <c r="T78" s="831">
        <f>H78</f>
        <v>209834.86</v>
      </c>
      <c r="U78" s="831"/>
    </row>
    <row r="79" spans="1:22" x14ac:dyDescent="0.3">
      <c r="B79" s="69"/>
      <c r="G79" s="42" t="s">
        <v>12</v>
      </c>
      <c r="H79" s="114">
        <f>ROUND(C78/H78,6)</f>
        <v>4.3800000000000002E-4</v>
      </c>
      <c r="I79" s="115"/>
      <c r="N79" s="818"/>
      <c r="O79" s="818"/>
      <c r="P79" s="818"/>
      <c r="Q79" s="818"/>
      <c r="R79" s="818"/>
      <c r="S79" s="818"/>
      <c r="T79" s="836">
        <f>ROUND(P78/T78,6)</f>
        <v>4.3800000000000002E-4</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92</v>
      </c>
      <c r="D81" s="788" t="s">
        <v>478</v>
      </c>
      <c r="E81" s="788"/>
      <c r="F81" s="788"/>
      <c r="G81" s="788"/>
      <c r="H81" s="299">
        <f>'1461'!H81</f>
        <v>185256.36</v>
      </c>
      <c r="I81" s="113"/>
      <c r="N81" s="817" t="s">
        <v>479</v>
      </c>
      <c r="O81" s="818"/>
      <c r="P81" s="41">
        <f>P30</f>
        <v>92</v>
      </c>
      <c r="Q81" s="838" t="s">
        <v>480</v>
      </c>
      <c r="R81" s="839"/>
      <c r="S81" s="839"/>
      <c r="T81" s="831">
        <f>H81</f>
        <v>185256.36</v>
      </c>
      <c r="U81" s="831"/>
    </row>
    <row r="82" spans="1:21" x14ac:dyDescent="0.3">
      <c r="B82" s="69"/>
      <c r="G82" s="42" t="s">
        <v>12</v>
      </c>
      <c r="H82" s="114">
        <f>ROUND(C81/H81,6)</f>
        <v>4.9700000000000005E-4</v>
      </c>
      <c r="I82" s="115"/>
      <c r="N82" s="818"/>
      <c r="O82" s="818"/>
      <c r="P82" s="818"/>
      <c r="Q82" s="818"/>
      <c r="R82" s="818"/>
      <c r="S82" s="818"/>
      <c r="T82" s="836">
        <f>ROUND(P81/T81,6)</f>
        <v>4.9700000000000005E-4</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4.3800000000000002E-4</v>
      </c>
      <c r="I85" s="101">
        <f>ROUND(F85*H85,2)</f>
        <v>20214.169999999998</v>
      </c>
      <c r="N85" s="503" t="s">
        <v>514</v>
      </c>
      <c r="O85" s="51"/>
      <c r="P85" s="51"/>
      <c r="Q85" s="44"/>
      <c r="R85" s="469">
        <f>F85</f>
        <v>46151079</v>
      </c>
      <c r="S85" s="38" t="s">
        <v>6</v>
      </c>
      <c r="T85" s="471">
        <f>T79</f>
        <v>4.3800000000000002E-4</v>
      </c>
      <c r="U85" s="523">
        <f>ROUND(R85*T85,2)</f>
        <v>20214.169999999998</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53"/>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4.3800000000000002E-4</v>
      </c>
      <c r="I88" s="101">
        <f>ROUND(F88*H88,2)</f>
        <v>0</v>
      </c>
      <c r="N88" s="837" t="s">
        <v>99</v>
      </c>
      <c r="O88" s="818"/>
      <c r="P88" s="818"/>
      <c r="Q88" s="44"/>
      <c r="R88" s="469">
        <f>F88</f>
        <v>0</v>
      </c>
      <c r="S88" s="38" t="s">
        <v>6</v>
      </c>
      <c r="T88" s="471">
        <f>T70</f>
        <v>4.3800000000000002E-4</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4.9700000000000005E-4</v>
      </c>
      <c r="I90" s="101">
        <f>ROUND(F90*H90,2)</f>
        <v>9489.89</v>
      </c>
      <c r="N90" s="503" t="s">
        <v>515</v>
      </c>
      <c r="O90" s="51"/>
      <c r="P90" s="51"/>
      <c r="Q90" s="44"/>
      <c r="R90" s="469">
        <f>F90</f>
        <v>19094340</v>
      </c>
      <c r="S90" s="38" t="s">
        <v>6</v>
      </c>
      <c r="T90" s="471">
        <f>T82</f>
        <v>4.9700000000000005E-4</v>
      </c>
      <c r="U90" s="523">
        <f>ROUND(R90*T90,2)</f>
        <v>9489.89</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4.9600000000000002E-4</v>
      </c>
      <c r="I92" s="101">
        <f t="shared" ref="I92:I96" si="14">ROUND(F92*H92,2)</f>
        <v>5685.12</v>
      </c>
      <c r="N92" s="503" t="s">
        <v>516</v>
      </c>
      <c r="O92" s="51"/>
      <c r="P92" s="51"/>
      <c r="Q92" s="44"/>
      <c r="R92" s="469">
        <f t="shared" ref="R92:R96" si="15">F92</f>
        <v>11461928</v>
      </c>
      <c r="S92" s="38" t="s">
        <v>6</v>
      </c>
      <c r="T92" s="471">
        <f>T76</f>
        <v>4.9600000000000002E-4</v>
      </c>
      <c r="U92" s="523">
        <f>ROUND(R92*T92,2)</f>
        <v>5685.12</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1.8569999999999999E-3</v>
      </c>
      <c r="I94" s="101">
        <f t="shared" si="14"/>
        <v>474940.41</v>
      </c>
      <c r="N94" s="818" t="s">
        <v>482</v>
      </c>
      <c r="O94" s="818"/>
      <c r="P94" s="818"/>
      <c r="Q94" s="44"/>
      <c r="R94" s="469">
        <f t="shared" si="15"/>
        <v>255756816</v>
      </c>
      <c r="S94" s="38" t="s">
        <v>6</v>
      </c>
      <c r="T94" s="471">
        <f>T73</f>
        <v>3.88E-4</v>
      </c>
      <c r="U94" s="523">
        <f>ROUND(R94*T94,2)</f>
        <v>99233.64</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1.8569999999999999E-3</v>
      </c>
      <c r="I96" s="101">
        <f t="shared" si="14"/>
        <v>-31021.86</v>
      </c>
      <c r="N96" s="817" t="s">
        <v>483</v>
      </c>
      <c r="O96" s="818"/>
      <c r="P96" s="818"/>
      <c r="Q96" s="44"/>
      <c r="R96" s="469">
        <f t="shared" si="15"/>
        <v>-16705366</v>
      </c>
      <c r="S96" s="38" t="s">
        <v>6</v>
      </c>
      <c r="T96" s="471">
        <f>T73</f>
        <v>3.88E-4</v>
      </c>
      <c r="U96" s="523">
        <f>ROUND(R96*T96,2)</f>
        <v>-6481.68</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4.3800000000000002E-4</v>
      </c>
      <c r="I98" s="101">
        <f t="shared" ref="I98" si="16">ROUND(F98*H98,2)</f>
        <v>89.29</v>
      </c>
      <c r="N98" s="585" t="s">
        <v>556</v>
      </c>
      <c r="O98" s="585"/>
      <c r="P98" s="585"/>
      <c r="Q98" s="44"/>
      <c r="R98" s="588">
        <f>F98</f>
        <v>203862</v>
      </c>
      <c r="S98" s="586" t="s">
        <v>6</v>
      </c>
      <c r="T98" s="471">
        <f>T70</f>
        <v>4.3800000000000002E-4</v>
      </c>
      <c r="U98" s="523">
        <f>ROUND(R98*T98,2)</f>
        <v>89.29</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244.92770000000002</v>
      </c>
      <c r="D104" s="774"/>
      <c r="E104" s="46">
        <f>H8</f>
        <v>1.0407999999999999</v>
      </c>
      <c r="F104" s="302">
        <f>'1461'!F104</f>
        <v>950.92</v>
      </c>
      <c r="G104" s="39" t="s">
        <v>12</v>
      </c>
      <c r="H104" s="101">
        <f>ROUND(C104*E104*F104,2)</f>
        <v>242409.24</v>
      </c>
      <c r="I104" s="104"/>
      <c r="N104" s="28" t="s">
        <v>17</v>
      </c>
      <c r="O104" s="47">
        <f>T14+T15+T20+T23+T26</f>
        <v>52.650000000000006</v>
      </c>
      <c r="P104" s="832">
        <f>T8</f>
        <v>1.0407999999999999</v>
      </c>
      <c r="Q104" s="832"/>
      <c r="R104" s="48">
        <f>F104</f>
        <v>950.92</v>
      </c>
      <c r="S104" s="40" t="s">
        <v>12</v>
      </c>
      <c r="T104" s="529">
        <f>ROUND(O104*P104*R104,2)</f>
        <v>52108.63</v>
      </c>
      <c r="U104" s="102"/>
    </row>
    <row r="105" spans="1:21" x14ac:dyDescent="0.3">
      <c r="A105" s="49"/>
      <c r="B105" s="49" t="s">
        <v>104</v>
      </c>
      <c r="C105" s="774">
        <f>H16+H17+H21+H24+H27</f>
        <v>195.6678</v>
      </c>
      <c r="D105" s="774"/>
      <c r="E105" s="46">
        <f>H8</f>
        <v>1.0407999999999999</v>
      </c>
      <c r="F105" s="302">
        <f>'1461'!F105</f>
        <v>907.92</v>
      </c>
      <c r="G105" s="39" t="s">
        <v>12</v>
      </c>
      <c r="H105" s="101">
        <f>ROUND(C105*E105*F105,2)</f>
        <v>184898.86</v>
      </c>
      <c r="N105" s="50" t="s">
        <v>13</v>
      </c>
      <c r="O105" s="47">
        <f>T16+T17+T21+T24+T27</f>
        <v>39.35</v>
      </c>
      <c r="P105" s="832">
        <f>T8</f>
        <v>1.0407999999999999</v>
      </c>
      <c r="Q105" s="832"/>
      <c r="R105" s="48">
        <f>F105</f>
        <v>907.92</v>
      </c>
      <c r="S105" s="40" t="s">
        <v>12</v>
      </c>
      <c r="T105" s="529">
        <f>ROUND(O105*P105*R105,2)</f>
        <v>37184.300000000003</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440.59550000000002</v>
      </c>
      <c r="D107" s="787"/>
      <c r="E107" s="123"/>
      <c r="F107" s="123"/>
      <c r="G107" s="123"/>
      <c r="H107" s="124" t="s">
        <v>100</v>
      </c>
      <c r="I107" s="101">
        <f>IF(A1=75,0,H106+H105+H104)</f>
        <v>427308.1</v>
      </c>
      <c r="N107" s="56" t="s">
        <v>89</v>
      </c>
      <c r="O107" s="57">
        <f>SUM(O104:O106)</f>
        <v>92</v>
      </c>
      <c r="P107" s="827" t="s">
        <v>16</v>
      </c>
      <c r="Q107" s="828"/>
      <c r="R107" s="828"/>
      <c r="S107" s="828"/>
      <c r="T107" s="828"/>
      <c r="U107" s="523">
        <f>IF(N1=75,0,T106+T105+T104)</f>
        <v>89292.93</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41"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44">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44">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42">
        <f>IF(D30=0,C121*2,C121+D121)</f>
        <v>0</v>
      </c>
      <c r="F121" s="889">
        <v>0</v>
      </c>
      <c r="G121" s="889"/>
      <c r="H121" s="61">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44">
        <f>IF(D31=0,C122*2,C122+D122)</f>
        <v>0</v>
      </c>
      <c r="F122" s="781">
        <f>ROUND(F121/2,2)</f>
        <v>0</v>
      </c>
      <c r="G122" s="781"/>
      <c r="H122" s="61">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44">
        <f>IF(D32=0,C123*2,C123+D123)</f>
        <v>0</v>
      </c>
      <c r="F123" s="782"/>
      <c r="G123" s="782"/>
      <c r="H123" s="63">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3386076.2100000004</v>
      </c>
      <c r="N128" s="503"/>
      <c r="O128" s="502"/>
      <c r="P128" s="502"/>
      <c r="Q128" s="305"/>
      <c r="R128" s="305"/>
      <c r="S128" s="305"/>
      <c r="T128" s="305"/>
      <c r="U128" s="530">
        <f>SUM(U30,U85,U88,U90,U92,U94,U96,U107,U113,U114,U124,U126,U98)</f>
        <v>727983.88000000012</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3230910.2300000004</v>
      </c>
      <c r="N130" s="818" t="s">
        <v>494</v>
      </c>
      <c r="O130" s="818"/>
      <c r="P130" s="818"/>
      <c r="Q130" s="818"/>
      <c r="R130" s="818"/>
      <c r="S130" s="818"/>
      <c r="T130" s="818"/>
      <c r="U130" s="132">
        <f>U128-U53</f>
        <v>572817.90000000014</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f>IF(E30=0,"",IF((E15+E17+SUM(E19:E25))/E30&gt;0.75,1,""))</f>
        <v>1</v>
      </c>
      <c r="I133" s="116">
        <f>U130</f>
        <v>572817.90000000014</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572817.90000000014</v>
      </c>
      <c r="I135" s="94">
        <f>ROUND(IF(E30=0,0,IF(E30&gt;250,-(((250/E30)*H135)*IF(G135="H",0.02,0.05)),IF(G135="H",-0.02*H135,-0.05*H135))),2)</f>
        <v>-28640.9</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3357435.3100000005</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Payments'!Q114</f>
        <v>-3312194.25</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45241.060000000522</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45241.06</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T9:U9"/>
    <mergeCell ref="A75:B75"/>
    <mergeCell ref="D75:G75"/>
    <mergeCell ref="N75:O75"/>
    <mergeCell ref="Q75:S75"/>
    <mergeCell ref="T75:U75"/>
    <mergeCell ref="N76:S76"/>
    <mergeCell ref="T76:U76"/>
    <mergeCell ref="A78:B78"/>
    <mergeCell ref="D78:G78"/>
    <mergeCell ref="N78:O78"/>
    <mergeCell ref="Q78:S78"/>
    <mergeCell ref="T78:U78"/>
    <mergeCell ref="N70:S70"/>
    <mergeCell ref="T70:U70"/>
    <mergeCell ref="A72:B72"/>
    <mergeCell ref="D72:G72"/>
    <mergeCell ref="N72:O72"/>
    <mergeCell ref="Q72:S72"/>
    <mergeCell ref="T72:U72"/>
    <mergeCell ref="A69:B69"/>
    <mergeCell ref="D69:G69"/>
    <mergeCell ref="N69:O69"/>
    <mergeCell ref="Q69:S69"/>
    <mergeCell ref="N155:U155"/>
    <mergeCell ref="N130:T130"/>
    <mergeCell ref="A128:H128"/>
    <mergeCell ref="A132:G132"/>
    <mergeCell ref="N135:U135"/>
    <mergeCell ref="A133:G133"/>
    <mergeCell ref="N136:U136"/>
    <mergeCell ref="A124:B124"/>
    <mergeCell ref="N124:O124"/>
    <mergeCell ref="A126:C126"/>
    <mergeCell ref="F126:H126"/>
    <mergeCell ref="N126:P126"/>
    <mergeCell ref="N132:T132"/>
    <mergeCell ref="N133:T133"/>
    <mergeCell ref="A122:B122"/>
    <mergeCell ref="F122:G122"/>
    <mergeCell ref="N122:O122"/>
    <mergeCell ref="P122:Q122"/>
    <mergeCell ref="R122:S122"/>
    <mergeCell ref="A123:B123"/>
    <mergeCell ref="F123:G123"/>
    <mergeCell ref="N123:O123"/>
    <mergeCell ref="P123:Q123"/>
    <mergeCell ref="R123:S123"/>
    <mergeCell ref="R120:S120"/>
    <mergeCell ref="A121:B121"/>
    <mergeCell ref="F121:G121"/>
    <mergeCell ref="N121:O121"/>
    <mergeCell ref="P121:Q121"/>
    <mergeCell ref="R121:S121"/>
    <mergeCell ref="C118:E118"/>
    <mergeCell ref="F119:G119"/>
    <mergeCell ref="A120:B120"/>
    <mergeCell ref="F120:G120"/>
    <mergeCell ref="N120:O120"/>
    <mergeCell ref="P120:Q120"/>
    <mergeCell ref="A114:B114"/>
    <mergeCell ref="N114:O114"/>
    <mergeCell ref="P114:R114"/>
    <mergeCell ref="A117:C117"/>
    <mergeCell ref="F117:I117"/>
    <mergeCell ref="N117:U117"/>
    <mergeCell ref="A108:I108"/>
    <mergeCell ref="N108:U108"/>
    <mergeCell ref="F110:I110"/>
    <mergeCell ref="N110:P110"/>
    <mergeCell ref="Q110:T110"/>
    <mergeCell ref="A113:B113"/>
    <mergeCell ref="N113:O113"/>
    <mergeCell ref="P113:R113"/>
    <mergeCell ref="C105:D105"/>
    <mergeCell ref="P105:Q105"/>
    <mergeCell ref="C106:D106"/>
    <mergeCell ref="P106:Q106"/>
    <mergeCell ref="C107:D107"/>
    <mergeCell ref="P107:T107"/>
    <mergeCell ref="C102:D102"/>
    <mergeCell ref="C103:D103"/>
    <mergeCell ref="N103:O103"/>
    <mergeCell ref="P103:Q103"/>
    <mergeCell ref="R103:U103"/>
    <mergeCell ref="C104:D104"/>
    <mergeCell ref="P104:Q104"/>
    <mergeCell ref="A96:C96"/>
    <mergeCell ref="N96:P96"/>
    <mergeCell ref="A94:C94"/>
    <mergeCell ref="A88:C88"/>
    <mergeCell ref="N73:S73"/>
    <mergeCell ref="T73:U73"/>
    <mergeCell ref="A87:C87"/>
    <mergeCell ref="N87:P87"/>
    <mergeCell ref="N79:S79"/>
    <mergeCell ref="T79:U79"/>
    <mergeCell ref="A81:B81"/>
    <mergeCell ref="D81:G81"/>
    <mergeCell ref="N81:O81"/>
    <mergeCell ref="Q81:S81"/>
    <mergeCell ref="T81:U81"/>
    <mergeCell ref="N82:S82"/>
    <mergeCell ref="T82:U82"/>
    <mergeCell ref="N88:P88"/>
    <mergeCell ref="F66:H66"/>
    <mergeCell ref="N57:O65"/>
    <mergeCell ref="P57:Q57"/>
    <mergeCell ref="P58:Q58"/>
    <mergeCell ref="T69:U69"/>
    <mergeCell ref="N44:Q44"/>
    <mergeCell ref="S44:T44"/>
    <mergeCell ref="N46:Q46"/>
    <mergeCell ref="S46:T46"/>
    <mergeCell ref="P61:Q61"/>
    <mergeCell ref="P62:Q62"/>
    <mergeCell ref="P63:Q63"/>
    <mergeCell ref="P64:Q64"/>
    <mergeCell ref="P65:Q65"/>
    <mergeCell ref="P66:Q66"/>
    <mergeCell ref="R66:T66"/>
    <mergeCell ref="A42:B42"/>
    <mergeCell ref="N42:O42"/>
    <mergeCell ref="P42:T42"/>
    <mergeCell ref="A43:B43"/>
    <mergeCell ref="N43:O43"/>
    <mergeCell ref="P43:T43"/>
    <mergeCell ref="P56:Q56"/>
    <mergeCell ref="P59:Q59"/>
    <mergeCell ref="P60:Q60"/>
    <mergeCell ref="A57:B65"/>
    <mergeCell ref="A40:B40"/>
    <mergeCell ref="N40:O40"/>
    <mergeCell ref="P40:T40"/>
    <mergeCell ref="A41:B41"/>
    <mergeCell ref="N41:O41"/>
    <mergeCell ref="P41:T41"/>
    <mergeCell ref="A38:B38"/>
    <mergeCell ref="N38:O38"/>
    <mergeCell ref="P38:T38"/>
    <mergeCell ref="A39:B39"/>
    <mergeCell ref="N39:O39"/>
    <mergeCell ref="P39:T39"/>
    <mergeCell ref="A30:B30"/>
    <mergeCell ref="F30:G30"/>
    <mergeCell ref="N30:O30"/>
    <mergeCell ref="P30:Q30"/>
    <mergeCell ref="R30:S30"/>
    <mergeCell ref="F34:H37"/>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A16:B16"/>
    <mergeCell ref="F16:G16"/>
    <mergeCell ref="N16:O16"/>
    <mergeCell ref="P16:Q16"/>
    <mergeCell ref="R16:S16"/>
    <mergeCell ref="A17:B17"/>
    <mergeCell ref="F17:G17"/>
    <mergeCell ref="N17:O17"/>
    <mergeCell ref="P17:Q17"/>
    <mergeCell ref="R17:S17"/>
    <mergeCell ref="N13:O13"/>
    <mergeCell ref="P13:Q13"/>
    <mergeCell ref="R13:S13"/>
    <mergeCell ref="A14:B14"/>
    <mergeCell ref="F14:G14"/>
    <mergeCell ref="N14:O14"/>
    <mergeCell ref="P14:Q14"/>
    <mergeCell ref="R14:S14"/>
    <mergeCell ref="A15:B15"/>
    <mergeCell ref="F15:G15"/>
    <mergeCell ref="N15:O15"/>
    <mergeCell ref="P15:Q15"/>
    <mergeCell ref="R15:S15"/>
    <mergeCell ref="N7:U7"/>
    <mergeCell ref="N8:O8"/>
    <mergeCell ref="P8:Q8"/>
    <mergeCell ref="R8:S8"/>
    <mergeCell ref="T8:U8"/>
    <mergeCell ref="F11:G11"/>
    <mergeCell ref="R11:S11"/>
    <mergeCell ref="N94:P94"/>
    <mergeCell ref="B1:I1"/>
    <mergeCell ref="O1:U1"/>
    <mergeCell ref="N2:U2"/>
    <mergeCell ref="N3:U3"/>
    <mergeCell ref="A4:B4"/>
    <mergeCell ref="C4:E4"/>
    <mergeCell ref="N4:O4"/>
    <mergeCell ref="P4:Q4"/>
    <mergeCell ref="A7:I7"/>
    <mergeCell ref="A12:B12"/>
    <mergeCell ref="F12:G12"/>
    <mergeCell ref="N12:O12"/>
    <mergeCell ref="P12:Q12"/>
    <mergeCell ref="R12:S12"/>
    <mergeCell ref="A13:B13"/>
    <mergeCell ref="F13:G13"/>
  </mergeCells>
  <pageMargins left="0.1" right="0.1" top="0.5" bottom="0.5" header="0" footer="0.1"/>
  <pageSetup scale="70" fitToHeight="3" orientation="portrait" r:id="rId1"/>
  <headerFooter alignWithMargins="0">
    <oddFooter>&amp;L&amp;8&amp;Z&amp;F&amp;R&amp;P of &amp;N</oddFooter>
  </headerFooter>
  <rowBreaks count="1" manualBreakCount="1">
    <brk id="151" max="16383" man="1"/>
  </rowBreaks>
  <colBreaks count="1" manualBreakCount="1">
    <brk id="9"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6">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5546875"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283</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348">
        <v>45200</v>
      </c>
      <c r="D11" s="348" t="str">
        <f>'4100'!D11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41"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0</v>
      </c>
      <c r="D18" s="143">
        <v>0</v>
      </c>
      <c r="E18" s="116">
        <f t="shared" si="1"/>
        <v>0</v>
      </c>
      <c r="F18" s="859">
        <f>'1461'!F18:G18</f>
        <v>0.97799999999999998</v>
      </c>
      <c r="G18" s="859"/>
      <c r="H18" s="80">
        <f t="shared" si="2"/>
        <v>0</v>
      </c>
      <c r="I18" s="101">
        <f t="shared" si="3"/>
        <v>0</v>
      </c>
      <c r="N18" s="818" t="s">
        <v>24</v>
      </c>
      <c r="O18" s="818"/>
      <c r="P18" s="860">
        <f t="shared" si="0"/>
        <v>0</v>
      </c>
      <c r="Q18" s="860"/>
      <c r="R18" s="864">
        <v>1</v>
      </c>
      <c r="S18" s="864"/>
      <c r="T18" s="95">
        <f t="shared" si="4"/>
        <v>0</v>
      </c>
      <c r="U18" s="523">
        <f t="shared" si="5"/>
        <v>0</v>
      </c>
    </row>
    <row r="19" spans="1:21" x14ac:dyDescent="0.3">
      <c r="A19" s="776" t="s">
        <v>25</v>
      </c>
      <c r="B19" s="776"/>
      <c r="C19" s="143">
        <v>0</v>
      </c>
      <c r="D19" s="143">
        <v>0</v>
      </c>
      <c r="E19" s="116">
        <f t="shared" si="1"/>
        <v>0</v>
      </c>
      <c r="F19" s="859">
        <f>'1461'!F19:G19</f>
        <v>0.97799999999999998</v>
      </c>
      <c r="G19" s="859"/>
      <c r="H19" s="80">
        <f t="shared" si="2"/>
        <v>0</v>
      </c>
      <c r="I19" s="101">
        <f t="shared" si="3"/>
        <v>0</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0</v>
      </c>
      <c r="D28" s="143">
        <v>0</v>
      </c>
      <c r="E28" s="116">
        <f t="shared" si="1"/>
        <v>0</v>
      </c>
      <c r="F28" s="859">
        <f>'1461'!F28:G28</f>
        <v>1.1919999999999999</v>
      </c>
      <c r="G28" s="859"/>
      <c r="H28" s="80">
        <f t="shared" si="2"/>
        <v>0</v>
      </c>
      <c r="I28" s="101">
        <f t="shared" si="3"/>
        <v>0</v>
      </c>
      <c r="N28" s="818" t="s">
        <v>87</v>
      </c>
      <c r="O28" s="818"/>
      <c r="P28" s="860">
        <f t="shared" si="0"/>
        <v>0</v>
      </c>
      <c r="Q28" s="860"/>
      <c r="R28" s="864">
        <v>1</v>
      </c>
      <c r="S28" s="864"/>
      <c r="T28" s="95">
        <f t="shared" si="4"/>
        <v>0</v>
      </c>
      <c r="U28" s="523">
        <f t="shared" si="5"/>
        <v>0</v>
      </c>
    </row>
    <row r="29" spans="1:21" x14ac:dyDescent="0.3">
      <c r="A29" s="776" t="s">
        <v>88</v>
      </c>
      <c r="B29" s="776"/>
      <c r="C29" s="110">
        <v>0</v>
      </c>
      <c r="D29" s="110">
        <v>0</v>
      </c>
      <c r="E29" s="154">
        <f t="shared" si="1"/>
        <v>0</v>
      </c>
      <c r="F29" s="859">
        <f>'1461'!F29:G29</f>
        <v>1.079</v>
      </c>
      <c r="G29" s="859"/>
      <c r="H29" s="93">
        <f t="shared" si="2"/>
        <v>0</v>
      </c>
      <c r="I29" s="94">
        <f t="shared" si="3"/>
        <v>0</v>
      </c>
      <c r="N29" s="819" t="s">
        <v>88</v>
      </c>
      <c r="O29" s="819"/>
      <c r="P29" s="860">
        <f t="shared" si="0"/>
        <v>0</v>
      </c>
      <c r="Q29" s="860"/>
      <c r="R29" s="861">
        <v>1</v>
      </c>
      <c r="S29" s="861"/>
      <c r="T29" s="95">
        <f t="shared" si="4"/>
        <v>0</v>
      </c>
      <c r="U29" s="523">
        <f t="shared" si="5"/>
        <v>0</v>
      </c>
    </row>
    <row r="30" spans="1:21" x14ac:dyDescent="0.3">
      <c r="A30" s="779" t="s">
        <v>5</v>
      </c>
      <c r="B30" s="779"/>
      <c r="C30" s="94">
        <f>SUM(C14:C29)</f>
        <v>0</v>
      </c>
      <c r="D30" s="94">
        <f>SUM(D14:D29)</f>
        <v>0</v>
      </c>
      <c r="E30" s="94">
        <f>SUM(E14:E29)</f>
        <v>0</v>
      </c>
      <c r="F30" s="795"/>
      <c r="G30" s="795"/>
      <c r="H30" s="99">
        <f>SUM(H14:H29)</f>
        <v>0</v>
      </c>
      <c r="I30" s="94">
        <f>SUM(I14:I29)</f>
        <v>0</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42">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44">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44">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44">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44">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36">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0</v>
      </c>
      <c r="F46" s="34"/>
      <c r="G46" s="106"/>
      <c r="H46" s="107" t="s">
        <v>98</v>
      </c>
      <c r="I46" s="94">
        <f>SUM(I44,I30)</f>
        <v>0</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723460.72000000009</v>
      </c>
      <c r="G51" s="109" t="s">
        <v>6</v>
      </c>
      <c r="H51" s="452">
        <v>5.5899999999999998E-2</v>
      </c>
      <c r="I51" s="101">
        <v>0</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723460.72000000009</v>
      </c>
      <c r="G52" s="109" t="s">
        <v>6</v>
      </c>
      <c r="H52" s="452">
        <v>1.0699999999999999E-2</v>
      </c>
      <c r="I52" s="101">
        <v>0</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0</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0</v>
      </c>
      <c r="D63" s="143">
        <v>0</v>
      </c>
      <c r="E63" s="116">
        <f t="shared" si="10"/>
        <v>0</v>
      </c>
      <c r="F63" s="494" t="s">
        <v>14</v>
      </c>
      <c r="G63" s="493">
        <v>251</v>
      </c>
      <c r="H63" s="507">
        <f>'1461'!H63</f>
        <v>835</v>
      </c>
      <c r="I63" s="101">
        <f t="shared" si="11"/>
        <v>0</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0</v>
      </c>
      <c r="D66" s="97">
        <f>SUM(D57:D65)</f>
        <v>0</v>
      </c>
      <c r="E66" s="97">
        <f>SUM(E57:E65)</f>
        <v>0</v>
      </c>
      <c r="F66" s="779" t="s">
        <v>507</v>
      </c>
      <c r="G66" s="779"/>
      <c r="H66" s="779"/>
      <c r="I66" s="97">
        <f>SUM(I57:I65)</f>
        <v>0</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0</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0</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0</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0</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0</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0</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0</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0</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0</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0</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0</v>
      </c>
      <c r="I85" s="101">
        <f>ROUND(F85*H85,2)</f>
        <v>0</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53"/>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0</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0</v>
      </c>
      <c r="I90" s="101">
        <f>ROUND(F90*H90,2)</f>
        <v>0</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0</v>
      </c>
      <c r="I92" s="101">
        <f t="shared" ref="I92:I96" si="14">ROUND(F92*H92,2)</f>
        <v>0</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0</v>
      </c>
      <c r="I94" s="101">
        <f t="shared" si="14"/>
        <v>0</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0</v>
      </c>
      <c r="I96" s="101">
        <f t="shared" si="14"/>
        <v>0</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0</v>
      </c>
      <c r="I98" s="101">
        <f t="shared" ref="I98" si="16">ROUND(F98*H98,2)</f>
        <v>0</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0</v>
      </c>
      <c r="D106" s="774"/>
      <c r="E106" s="46">
        <f>H8</f>
        <v>1.0407999999999999</v>
      </c>
      <c r="F106" s="302">
        <f>'1461'!F106</f>
        <v>910.12</v>
      </c>
      <c r="G106" s="39" t="s">
        <v>12</v>
      </c>
      <c r="H106" s="94">
        <f>ROUND(C106*E106*F106,2)</f>
        <v>0</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0</v>
      </c>
      <c r="D107" s="787"/>
      <c r="E107" s="123"/>
      <c r="F107" s="123"/>
      <c r="G107" s="123"/>
      <c r="H107" s="124" t="s">
        <v>100</v>
      </c>
      <c r="I107" s="101">
        <f>IF(A1=75,0,H106+H105+H104)</f>
        <v>0</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41"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44">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44">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42">
        <f>IF(D30=0,C121*2,C121+D121)</f>
        <v>0</v>
      </c>
      <c r="F121" s="889">
        <v>0</v>
      </c>
      <c r="G121" s="889"/>
      <c r="H121" s="61">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44">
        <f>IF(D31=0,C122*2,C122+D122)</f>
        <v>0</v>
      </c>
      <c r="F122" s="781">
        <f>ROUND(F121/2,2)</f>
        <v>0</v>
      </c>
      <c r="G122" s="781"/>
      <c r="H122" s="61">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44">
        <f>IF(D32=0,C123*2,C123+D123)</f>
        <v>0</v>
      </c>
      <c r="F123" s="782"/>
      <c r="G123" s="782"/>
      <c r="H123" s="63">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0</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0</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0</v>
      </c>
      <c r="I135" s="94">
        <f>ROUND(IF(E30=0,0,IF(E30&gt;250,-(((250/E30)*H135)*IF(G135="H",0.02,0.05)),IF(G135="H",-0.02*H135,-0.05*H135))),2)</f>
        <v>0</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0</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v>0</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0</v>
      </c>
      <c r="J141" s="236"/>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v>0</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T9:U9"/>
    <mergeCell ref="A75:B75"/>
    <mergeCell ref="D75:G75"/>
    <mergeCell ref="N75:O75"/>
    <mergeCell ref="Q75:S75"/>
    <mergeCell ref="T75:U75"/>
    <mergeCell ref="N76:S76"/>
    <mergeCell ref="T76:U76"/>
    <mergeCell ref="A78:B78"/>
    <mergeCell ref="D78:G78"/>
    <mergeCell ref="N78:O78"/>
    <mergeCell ref="Q78:S78"/>
    <mergeCell ref="T78:U78"/>
    <mergeCell ref="N70:S70"/>
    <mergeCell ref="T70:U70"/>
    <mergeCell ref="A72:B72"/>
    <mergeCell ref="D72:G72"/>
    <mergeCell ref="N72:O72"/>
    <mergeCell ref="Q72:S72"/>
    <mergeCell ref="T72:U72"/>
    <mergeCell ref="A69:B69"/>
    <mergeCell ref="D69:G69"/>
    <mergeCell ref="N69:O69"/>
    <mergeCell ref="Q69:S69"/>
    <mergeCell ref="N155:U155"/>
    <mergeCell ref="N130:T130"/>
    <mergeCell ref="A128:H128"/>
    <mergeCell ref="A132:G132"/>
    <mergeCell ref="N135:U135"/>
    <mergeCell ref="A133:G133"/>
    <mergeCell ref="N136:U136"/>
    <mergeCell ref="A124:B124"/>
    <mergeCell ref="N124:O124"/>
    <mergeCell ref="A126:C126"/>
    <mergeCell ref="F126:H126"/>
    <mergeCell ref="N126:P126"/>
    <mergeCell ref="N132:T132"/>
    <mergeCell ref="N133:T133"/>
    <mergeCell ref="A122:B122"/>
    <mergeCell ref="F122:G122"/>
    <mergeCell ref="N122:O122"/>
    <mergeCell ref="P122:Q122"/>
    <mergeCell ref="R122:S122"/>
    <mergeCell ref="A123:B123"/>
    <mergeCell ref="F123:G123"/>
    <mergeCell ref="N123:O123"/>
    <mergeCell ref="P123:Q123"/>
    <mergeCell ref="R123:S123"/>
    <mergeCell ref="R120:S120"/>
    <mergeCell ref="A121:B121"/>
    <mergeCell ref="F121:G121"/>
    <mergeCell ref="N121:O121"/>
    <mergeCell ref="P121:Q121"/>
    <mergeCell ref="R121:S121"/>
    <mergeCell ref="C118:E118"/>
    <mergeCell ref="F119:G119"/>
    <mergeCell ref="A120:B120"/>
    <mergeCell ref="F120:G120"/>
    <mergeCell ref="N120:O120"/>
    <mergeCell ref="P120:Q120"/>
    <mergeCell ref="A114:B114"/>
    <mergeCell ref="N114:O114"/>
    <mergeCell ref="P114:R114"/>
    <mergeCell ref="A117:C117"/>
    <mergeCell ref="F117:I117"/>
    <mergeCell ref="N117:U117"/>
    <mergeCell ref="A108:I108"/>
    <mergeCell ref="N108:U108"/>
    <mergeCell ref="F110:I110"/>
    <mergeCell ref="N110:P110"/>
    <mergeCell ref="Q110:T110"/>
    <mergeCell ref="A113:B113"/>
    <mergeCell ref="N113:O113"/>
    <mergeCell ref="P113:R113"/>
    <mergeCell ref="C105:D105"/>
    <mergeCell ref="P105:Q105"/>
    <mergeCell ref="C106:D106"/>
    <mergeCell ref="P106:Q106"/>
    <mergeCell ref="C107:D107"/>
    <mergeCell ref="P107:T107"/>
    <mergeCell ref="C102:D102"/>
    <mergeCell ref="C103:D103"/>
    <mergeCell ref="N103:O103"/>
    <mergeCell ref="P103:Q103"/>
    <mergeCell ref="R103:U103"/>
    <mergeCell ref="C104:D104"/>
    <mergeCell ref="P104:Q104"/>
    <mergeCell ref="A96:C96"/>
    <mergeCell ref="N96:P96"/>
    <mergeCell ref="A94:C94"/>
    <mergeCell ref="A88:C88"/>
    <mergeCell ref="N73:S73"/>
    <mergeCell ref="T73:U73"/>
    <mergeCell ref="A87:C87"/>
    <mergeCell ref="N87:P87"/>
    <mergeCell ref="N79:S79"/>
    <mergeCell ref="T79:U79"/>
    <mergeCell ref="A81:B81"/>
    <mergeCell ref="D81:G81"/>
    <mergeCell ref="N81:O81"/>
    <mergeCell ref="Q81:S81"/>
    <mergeCell ref="T81:U81"/>
    <mergeCell ref="N82:S82"/>
    <mergeCell ref="T82:U82"/>
    <mergeCell ref="N88:P88"/>
    <mergeCell ref="F66:H66"/>
    <mergeCell ref="N57:O65"/>
    <mergeCell ref="P57:Q57"/>
    <mergeCell ref="P58:Q58"/>
    <mergeCell ref="T69:U69"/>
    <mergeCell ref="N44:Q44"/>
    <mergeCell ref="S44:T44"/>
    <mergeCell ref="N46:Q46"/>
    <mergeCell ref="S46:T46"/>
    <mergeCell ref="P61:Q61"/>
    <mergeCell ref="P62:Q62"/>
    <mergeCell ref="P63:Q63"/>
    <mergeCell ref="P64:Q64"/>
    <mergeCell ref="P65:Q65"/>
    <mergeCell ref="P66:Q66"/>
    <mergeCell ref="R66:T66"/>
    <mergeCell ref="A42:B42"/>
    <mergeCell ref="N42:O42"/>
    <mergeCell ref="P42:T42"/>
    <mergeCell ref="A43:B43"/>
    <mergeCell ref="N43:O43"/>
    <mergeCell ref="P43:T43"/>
    <mergeCell ref="P56:Q56"/>
    <mergeCell ref="P59:Q59"/>
    <mergeCell ref="P60:Q60"/>
    <mergeCell ref="A57:B65"/>
    <mergeCell ref="A40:B40"/>
    <mergeCell ref="N40:O40"/>
    <mergeCell ref="P40:T40"/>
    <mergeCell ref="A41:B41"/>
    <mergeCell ref="N41:O41"/>
    <mergeCell ref="P41:T41"/>
    <mergeCell ref="A38:B38"/>
    <mergeCell ref="N38:O38"/>
    <mergeCell ref="P38:T38"/>
    <mergeCell ref="A39:B39"/>
    <mergeCell ref="N39:O39"/>
    <mergeCell ref="P39:T39"/>
    <mergeCell ref="A30:B30"/>
    <mergeCell ref="F30:G30"/>
    <mergeCell ref="N30:O30"/>
    <mergeCell ref="P30:Q30"/>
    <mergeCell ref="R30:S30"/>
    <mergeCell ref="F34:H37"/>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A16:B16"/>
    <mergeCell ref="F16:G16"/>
    <mergeCell ref="N16:O16"/>
    <mergeCell ref="P16:Q16"/>
    <mergeCell ref="R16:S16"/>
    <mergeCell ref="A17:B17"/>
    <mergeCell ref="F17:G17"/>
    <mergeCell ref="N17:O17"/>
    <mergeCell ref="P17:Q17"/>
    <mergeCell ref="R17:S17"/>
    <mergeCell ref="N13:O13"/>
    <mergeCell ref="P13:Q13"/>
    <mergeCell ref="R13:S13"/>
    <mergeCell ref="A14:B14"/>
    <mergeCell ref="F14:G14"/>
    <mergeCell ref="N14:O14"/>
    <mergeCell ref="P14:Q14"/>
    <mergeCell ref="R14:S14"/>
    <mergeCell ref="A15:B15"/>
    <mergeCell ref="F15:G15"/>
    <mergeCell ref="N15:O15"/>
    <mergeCell ref="P15:Q15"/>
    <mergeCell ref="R15:S15"/>
    <mergeCell ref="N7:U7"/>
    <mergeCell ref="N8:O8"/>
    <mergeCell ref="P8:Q8"/>
    <mergeCell ref="R8:S8"/>
    <mergeCell ref="T8:U8"/>
    <mergeCell ref="F11:G11"/>
    <mergeCell ref="R11:S11"/>
    <mergeCell ref="N94:P94"/>
    <mergeCell ref="B1:I1"/>
    <mergeCell ref="O1:U1"/>
    <mergeCell ref="N2:U2"/>
    <mergeCell ref="N3:U3"/>
    <mergeCell ref="A4:B4"/>
    <mergeCell ref="C4:E4"/>
    <mergeCell ref="N4:O4"/>
    <mergeCell ref="P4:Q4"/>
    <mergeCell ref="A7:I7"/>
    <mergeCell ref="A12:B12"/>
    <mergeCell ref="F12:G12"/>
    <mergeCell ref="N12:O12"/>
    <mergeCell ref="P12:Q12"/>
    <mergeCell ref="R12:S12"/>
    <mergeCell ref="A13:B13"/>
    <mergeCell ref="F13:G1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1">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322</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41"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146.72999999999999</v>
      </c>
      <c r="D16" s="143">
        <v>146.93</v>
      </c>
      <c r="E16" s="116">
        <f t="shared" si="1"/>
        <v>293.65999999999997</v>
      </c>
      <c r="F16" s="859">
        <f>'1461'!F16:G16</f>
        <v>1</v>
      </c>
      <c r="G16" s="859"/>
      <c r="H16" s="80">
        <f t="shared" si="2"/>
        <v>293.66000000000003</v>
      </c>
      <c r="I16" s="101">
        <f t="shared" si="3"/>
        <v>1629367.81</v>
      </c>
      <c r="N16" s="818" t="s">
        <v>22</v>
      </c>
      <c r="O16" s="818"/>
      <c r="P16" s="860">
        <f t="shared" si="0"/>
        <v>0</v>
      </c>
      <c r="Q16" s="860"/>
      <c r="R16" s="864">
        <v>1</v>
      </c>
      <c r="S16" s="864"/>
      <c r="T16" s="95">
        <f t="shared" si="4"/>
        <v>0</v>
      </c>
      <c r="U16" s="523">
        <f t="shared" si="5"/>
        <v>0</v>
      </c>
    </row>
    <row r="17" spans="1:21" x14ac:dyDescent="0.3">
      <c r="A17" s="776" t="s">
        <v>23</v>
      </c>
      <c r="B17" s="776"/>
      <c r="C17" s="143">
        <v>22.48</v>
      </c>
      <c r="D17" s="143">
        <v>23.45</v>
      </c>
      <c r="E17" s="116">
        <f t="shared" si="1"/>
        <v>45.93</v>
      </c>
      <c r="F17" s="859">
        <f>'1461'!F17:G17</f>
        <v>1</v>
      </c>
      <c r="G17" s="859"/>
      <c r="H17" s="80">
        <f t="shared" si="2"/>
        <v>45.93</v>
      </c>
      <c r="I17" s="101">
        <f t="shared" si="3"/>
        <v>254841.87</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188.99</v>
      </c>
      <c r="D18" s="143">
        <v>186.62</v>
      </c>
      <c r="E18" s="116">
        <f t="shared" si="1"/>
        <v>375.61</v>
      </c>
      <c r="F18" s="859">
        <f>'1461'!F18:G18</f>
        <v>0.97799999999999998</v>
      </c>
      <c r="G18" s="859"/>
      <c r="H18" s="80">
        <f t="shared" si="2"/>
        <v>367.34660000000002</v>
      </c>
      <c r="I18" s="101">
        <f t="shared" si="3"/>
        <v>2038216.73</v>
      </c>
      <c r="N18" s="818" t="s">
        <v>24</v>
      </c>
      <c r="O18" s="818"/>
      <c r="P18" s="860">
        <f t="shared" si="0"/>
        <v>0</v>
      </c>
      <c r="Q18" s="860"/>
      <c r="R18" s="864">
        <v>1</v>
      </c>
      <c r="S18" s="864"/>
      <c r="T18" s="95">
        <f t="shared" si="4"/>
        <v>0</v>
      </c>
      <c r="U18" s="523">
        <f t="shared" si="5"/>
        <v>0</v>
      </c>
    </row>
    <row r="19" spans="1:21" x14ac:dyDescent="0.3">
      <c r="A19" s="776" t="s">
        <v>25</v>
      </c>
      <c r="B19" s="776"/>
      <c r="C19" s="143">
        <v>30.22</v>
      </c>
      <c r="D19" s="143">
        <v>29.03</v>
      </c>
      <c r="E19" s="116">
        <f t="shared" si="1"/>
        <v>59.25</v>
      </c>
      <c r="F19" s="859">
        <f>'1461'!F19:G19</f>
        <v>0.97799999999999998</v>
      </c>
      <c r="G19" s="859"/>
      <c r="H19" s="80">
        <f t="shared" si="2"/>
        <v>57.9465</v>
      </c>
      <c r="I19" s="101">
        <f t="shared" si="3"/>
        <v>321515.23</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27.82</v>
      </c>
      <c r="D27" s="143">
        <v>27.55</v>
      </c>
      <c r="E27" s="116">
        <f t="shared" si="1"/>
        <v>55.370000000000005</v>
      </c>
      <c r="F27" s="859">
        <f>'1461'!F27:G27</f>
        <v>1.1919999999999999</v>
      </c>
      <c r="G27" s="859"/>
      <c r="H27" s="80">
        <f t="shared" si="2"/>
        <v>66.001000000000005</v>
      </c>
      <c r="I27" s="101">
        <f t="shared" si="3"/>
        <v>366205.49</v>
      </c>
      <c r="N27" s="818" t="s">
        <v>86</v>
      </c>
      <c r="O27" s="818"/>
      <c r="P27" s="860">
        <f t="shared" si="0"/>
        <v>0</v>
      </c>
      <c r="Q27" s="860"/>
      <c r="R27" s="864">
        <v>1</v>
      </c>
      <c r="S27" s="864"/>
      <c r="T27" s="95">
        <f t="shared" si="4"/>
        <v>0</v>
      </c>
      <c r="U27" s="523">
        <f t="shared" si="5"/>
        <v>0</v>
      </c>
    </row>
    <row r="28" spans="1:21" x14ac:dyDescent="0.3">
      <c r="A28" s="776" t="s">
        <v>87</v>
      </c>
      <c r="B28" s="776"/>
      <c r="C28" s="143">
        <v>45.2</v>
      </c>
      <c r="D28" s="143">
        <v>44.77</v>
      </c>
      <c r="E28" s="116">
        <f t="shared" si="1"/>
        <v>89.97</v>
      </c>
      <c r="F28" s="859">
        <f>'1461'!F28:G28</f>
        <v>1.1919999999999999</v>
      </c>
      <c r="G28" s="859"/>
      <c r="H28" s="80">
        <f t="shared" si="2"/>
        <v>107.24420000000001</v>
      </c>
      <c r="I28" s="101">
        <f t="shared" si="3"/>
        <v>595042.73</v>
      </c>
      <c r="N28" s="818" t="s">
        <v>87</v>
      </c>
      <c r="O28" s="818"/>
      <c r="P28" s="860">
        <f t="shared" si="0"/>
        <v>0</v>
      </c>
      <c r="Q28" s="860"/>
      <c r="R28" s="864">
        <v>1</v>
      </c>
      <c r="S28" s="864"/>
      <c r="T28" s="95">
        <f t="shared" si="4"/>
        <v>0</v>
      </c>
      <c r="U28" s="523">
        <f t="shared" si="5"/>
        <v>0</v>
      </c>
    </row>
    <row r="29" spans="1:21" x14ac:dyDescent="0.3">
      <c r="A29" s="776" t="s">
        <v>88</v>
      </c>
      <c r="B29" s="776"/>
      <c r="C29" s="110">
        <v>24.46</v>
      </c>
      <c r="D29" s="110">
        <v>26.51</v>
      </c>
      <c r="E29" s="154">
        <f t="shared" si="1"/>
        <v>50.97</v>
      </c>
      <c r="F29" s="859">
        <f>'1461'!F29:G29</f>
        <v>1.079</v>
      </c>
      <c r="G29" s="859"/>
      <c r="H29" s="93">
        <f t="shared" si="2"/>
        <v>54.996600000000001</v>
      </c>
      <c r="I29" s="94">
        <f t="shared" si="3"/>
        <v>305147.75</v>
      </c>
      <c r="N29" s="819" t="s">
        <v>88</v>
      </c>
      <c r="O29" s="819"/>
      <c r="P29" s="860">
        <f t="shared" si="0"/>
        <v>0</v>
      </c>
      <c r="Q29" s="860"/>
      <c r="R29" s="861">
        <v>1</v>
      </c>
      <c r="S29" s="861"/>
      <c r="T29" s="95">
        <f t="shared" si="4"/>
        <v>0</v>
      </c>
      <c r="U29" s="523">
        <f t="shared" si="5"/>
        <v>0</v>
      </c>
    </row>
    <row r="30" spans="1:21" x14ac:dyDescent="0.3">
      <c r="A30" s="779" t="s">
        <v>5</v>
      </c>
      <c r="B30" s="779"/>
      <c r="C30" s="94">
        <f>SUM(C14:C29)</f>
        <v>485.89999999999992</v>
      </c>
      <c r="D30" s="94">
        <f>SUM(D14:D29)</f>
        <v>484.85999999999996</v>
      </c>
      <c r="E30" s="94">
        <f>SUM(E14:E29)</f>
        <v>970.7600000000001</v>
      </c>
      <c r="F30" s="795"/>
      <c r="G30" s="795"/>
      <c r="H30" s="99">
        <f>SUM(H14:H29)</f>
        <v>993.12490000000003</v>
      </c>
      <c r="I30" s="94">
        <f>SUM(I14:I29)</f>
        <v>5510337.6100000013</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42">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44">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44">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44">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44">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36">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993.12490000000003</v>
      </c>
      <c r="F46" s="34"/>
      <c r="G46" s="106"/>
      <c r="H46" s="107" t="s">
        <v>98</v>
      </c>
      <c r="I46" s="94">
        <f>SUM(I44,I30)</f>
        <v>5510337.6100000013</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5887722.7200000007</v>
      </c>
      <c r="G51" s="109" t="s">
        <v>6</v>
      </c>
      <c r="H51" s="452">
        <v>5.5899999999999998E-2</v>
      </c>
      <c r="I51" s="101">
        <f>ROUND(F51*H51,2)</f>
        <v>329123.7</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5887722.7200000007</v>
      </c>
      <c r="G52" s="109" t="s">
        <v>6</v>
      </c>
      <c r="H52" s="452">
        <v>1.0699999999999999E-2</v>
      </c>
      <c r="I52" s="101">
        <f>ROUND(F52*H52,2)</f>
        <v>62998.63</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392122.33</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18.98</v>
      </c>
      <c r="D60" s="143">
        <v>19.8</v>
      </c>
      <c r="E60" s="116">
        <f t="shared" si="10"/>
        <v>38.78</v>
      </c>
      <c r="F60" s="494" t="s">
        <v>13</v>
      </c>
      <c r="G60" s="493">
        <v>251</v>
      </c>
      <c r="H60" s="507">
        <f>'1461'!H60</f>
        <v>1173</v>
      </c>
      <c r="I60" s="101">
        <f t="shared" si="11"/>
        <v>45488.94</v>
      </c>
      <c r="N60" s="850"/>
      <c r="O60" s="850"/>
      <c r="P60" s="844"/>
      <c r="Q60" s="844"/>
      <c r="R60" s="40" t="s">
        <v>13</v>
      </c>
      <c r="S60" s="499">
        <v>251</v>
      </c>
      <c r="T60" s="510">
        <f t="shared" si="12"/>
        <v>1173</v>
      </c>
      <c r="U60" s="524">
        <f t="shared" si="13"/>
        <v>0</v>
      </c>
      <c r="V60" s="474"/>
    </row>
    <row r="61" spans="1:22" x14ac:dyDescent="0.3">
      <c r="A61" s="792"/>
      <c r="B61" s="792"/>
      <c r="C61" s="143">
        <v>3.5</v>
      </c>
      <c r="D61" s="143">
        <v>3.65</v>
      </c>
      <c r="E61" s="116">
        <f t="shared" si="10"/>
        <v>7.15</v>
      </c>
      <c r="F61" s="494" t="s">
        <v>13</v>
      </c>
      <c r="G61" s="493">
        <v>252</v>
      </c>
      <c r="H61" s="507">
        <f>'1461'!H61</f>
        <v>3506</v>
      </c>
      <c r="I61" s="101">
        <f t="shared" si="11"/>
        <v>25067.9</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25.27</v>
      </c>
      <c r="D63" s="143">
        <v>24.27</v>
      </c>
      <c r="E63" s="116">
        <f t="shared" si="10"/>
        <v>49.54</v>
      </c>
      <c r="F63" s="494" t="s">
        <v>14</v>
      </c>
      <c r="G63" s="493">
        <v>251</v>
      </c>
      <c r="H63" s="507">
        <f>'1461'!H63</f>
        <v>835</v>
      </c>
      <c r="I63" s="101">
        <f t="shared" si="11"/>
        <v>41365.9</v>
      </c>
      <c r="N63" s="850"/>
      <c r="O63" s="850"/>
      <c r="P63" s="844"/>
      <c r="Q63" s="844"/>
      <c r="R63" s="40" t="s">
        <v>14</v>
      </c>
      <c r="S63" s="499">
        <v>251</v>
      </c>
      <c r="T63" s="510">
        <f t="shared" si="12"/>
        <v>835</v>
      </c>
      <c r="U63" s="524">
        <f t="shared" si="13"/>
        <v>0</v>
      </c>
      <c r="V63" s="474"/>
    </row>
    <row r="64" spans="1:22" x14ac:dyDescent="0.3">
      <c r="A64" s="792"/>
      <c r="B64" s="792"/>
      <c r="C64" s="143">
        <v>4.95</v>
      </c>
      <c r="D64" s="143">
        <v>4.76</v>
      </c>
      <c r="E64" s="116">
        <f t="shared" si="10"/>
        <v>9.7100000000000009</v>
      </c>
      <c r="F64" s="494" t="s">
        <v>14</v>
      </c>
      <c r="G64" s="493">
        <v>252</v>
      </c>
      <c r="H64" s="507">
        <f>'1461'!H64</f>
        <v>3168</v>
      </c>
      <c r="I64" s="101">
        <f t="shared" si="11"/>
        <v>30761.279999999999</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52.7</v>
      </c>
      <c r="D66" s="97">
        <f>SUM(D57:D65)</f>
        <v>52.48</v>
      </c>
      <c r="E66" s="97">
        <f>SUM(E57:E65)</f>
        <v>105.18</v>
      </c>
      <c r="F66" s="779" t="s">
        <v>507</v>
      </c>
      <c r="G66" s="779"/>
      <c r="H66" s="779"/>
      <c r="I66" s="97">
        <f>SUM(I57:I65)</f>
        <v>142684.01999999999</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970.7600000000001</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4.6189999999999998E-3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993.12490000000003</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4.1869999999999997E-3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970.7600000000001</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5.2310000000000004E-3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970.7600000000001</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4.6259999999999999E-3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970.7600000000001</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5.2399999999999999E-3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4.6259999999999999E-3</v>
      </c>
      <c r="I85" s="101">
        <f>ROUND(F85*H85,2)</f>
        <v>213494.89</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53"/>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4.6189999999999998E-3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5.2399999999999999E-3</v>
      </c>
      <c r="I90" s="101">
        <f>ROUND(F90*H90,2)</f>
        <v>100054.34</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5.2310000000000004E-3</v>
      </c>
      <c r="I92" s="101">
        <f t="shared" ref="I92:I96" si="14">ROUND(F92*H92,2)</f>
        <v>59957.35</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4.1869999999999997E-3</v>
      </c>
      <c r="I94" s="101">
        <f t="shared" si="14"/>
        <v>1070853.79</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4.1869999999999997E-3</v>
      </c>
      <c r="I96" s="101">
        <f t="shared" si="14"/>
        <v>-69945.37</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4.6189999999999998E-3</v>
      </c>
      <c r="I98" s="101">
        <f t="shared" ref="I98" si="16">ROUND(F98*H98,2)</f>
        <v>941.64</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405.59100000000001</v>
      </c>
      <c r="D105" s="774"/>
      <c r="E105" s="46">
        <f>H8</f>
        <v>1.0407999999999999</v>
      </c>
      <c r="F105" s="302">
        <f>'1461'!F105</f>
        <v>907.92</v>
      </c>
      <c r="G105" s="39" t="s">
        <v>12</v>
      </c>
      <c r="H105" s="101">
        <f>ROUND(C105*E105*F105,2)</f>
        <v>383268.54</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587.53390000000013</v>
      </c>
      <c r="D106" s="774"/>
      <c r="E106" s="46">
        <f>H8</f>
        <v>1.0407999999999999</v>
      </c>
      <c r="F106" s="302">
        <f>'1461'!F106</f>
        <v>910.12</v>
      </c>
      <c r="G106" s="39" t="s">
        <v>12</v>
      </c>
      <c r="H106" s="94">
        <f>ROUND(C106*E106*F106,2)</f>
        <v>556543.18999999994</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993.12490000000014</v>
      </c>
      <c r="D107" s="787"/>
      <c r="E107" s="123"/>
      <c r="F107" s="123"/>
      <c r="G107" s="123"/>
      <c r="H107" s="124" t="s">
        <v>100</v>
      </c>
      <c r="I107" s="101">
        <f>IF(A1=75,0,H106+H105+H104)</f>
        <v>939811.73</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41"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44">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44">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42">
        <f>IF(D30=0,C121*2,C121+D121)</f>
        <v>0</v>
      </c>
      <c r="F121" s="889">
        <v>0</v>
      </c>
      <c r="G121" s="889"/>
      <c r="H121" s="61">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44">
        <f>IF(D31=0,C122*2,C122+D122)</f>
        <v>0</v>
      </c>
      <c r="F122" s="781">
        <f>ROUND(F121/2,2)</f>
        <v>0</v>
      </c>
      <c r="G122" s="781"/>
      <c r="H122" s="61">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44">
        <f>IF(D32=0,C123*2,C123+D123)</f>
        <v>0</v>
      </c>
      <c r="F123" s="782"/>
      <c r="G123" s="782"/>
      <c r="H123" s="63">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7968190</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7576067.6699999999</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7576067.6699999999</v>
      </c>
      <c r="I135" s="94">
        <f>ROUND(IF(E30=0,0,IF(E30&gt;250,-(((250/E30)*H135)*IF(G135="H",0.02,0.05)),IF(G135="H",-0.02*H135,-0.05*H135))),2)</f>
        <v>-97553.3</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7870636.7000000002</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Payments'!Q116</f>
        <v>-7927976.2700000014</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-57339.570000001229</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-57339.57</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281250.08</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2">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5.6640625"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346</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4"/>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349" t="str">
        <f>'1461'!C10</f>
        <v xml:space="preserve"> </v>
      </c>
      <c r="D10" s="349"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41"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105.81</v>
      </c>
      <c r="D18" s="143">
        <v>98.7</v>
      </c>
      <c r="E18" s="116">
        <f t="shared" si="1"/>
        <v>204.51</v>
      </c>
      <c r="F18" s="859">
        <f>'1461'!F18:G18</f>
        <v>0.97799999999999998</v>
      </c>
      <c r="G18" s="859"/>
      <c r="H18" s="80">
        <f t="shared" si="2"/>
        <v>200.01079999999999</v>
      </c>
      <c r="I18" s="101">
        <f t="shared" si="3"/>
        <v>1109756.72</v>
      </c>
      <c r="N18" s="818" t="s">
        <v>24</v>
      </c>
      <c r="O18" s="818"/>
      <c r="P18" s="860">
        <f t="shared" si="0"/>
        <v>0</v>
      </c>
      <c r="Q18" s="860"/>
      <c r="R18" s="864">
        <v>1</v>
      </c>
      <c r="S18" s="864"/>
      <c r="T18" s="95">
        <f t="shared" si="4"/>
        <v>0</v>
      </c>
      <c r="U18" s="523">
        <f t="shared" si="5"/>
        <v>0</v>
      </c>
    </row>
    <row r="19" spans="1:21" x14ac:dyDescent="0.3">
      <c r="A19" s="776" t="s">
        <v>25</v>
      </c>
      <c r="B19" s="776"/>
      <c r="C19" s="143">
        <v>18.53</v>
      </c>
      <c r="D19" s="143">
        <v>17.43</v>
      </c>
      <c r="E19" s="116">
        <f t="shared" si="1"/>
        <v>35.96</v>
      </c>
      <c r="F19" s="859">
        <f>'1461'!F19:G19</f>
        <v>0.97799999999999998</v>
      </c>
      <c r="G19" s="859"/>
      <c r="H19" s="80">
        <f t="shared" si="2"/>
        <v>35.168900000000001</v>
      </c>
      <c r="I19" s="101">
        <f t="shared" si="3"/>
        <v>195134.07999999999</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24.62</v>
      </c>
      <c r="D28" s="143">
        <v>24.44</v>
      </c>
      <c r="E28" s="116">
        <f t="shared" si="1"/>
        <v>49.06</v>
      </c>
      <c r="F28" s="859">
        <f>'1461'!F28:G28</f>
        <v>1.1919999999999999</v>
      </c>
      <c r="G28" s="859"/>
      <c r="H28" s="80">
        <f t="shared" si="2"/>
        <v>58.479500000000002</v>
      </c>
      <c r="I28" s="101">
        <f t="shared" si="3"/>
        <v>324472.57</v>
      </c>
      <c r="N28" s="818" t="s">
        <v>87</v>
      </c>
      <c r="O28" s="818"/>
      <c r="P28" s="860">
        <f t="shared" si="0"/>
        <v>0</v>
      </c>
      <c r="Q28" s="860"/>
      <c r="R28" s="864">
        <v>1</v>
      </c>
      <c r="S28" s="864"/>
      <c r="T28" s="95">
        <f t="shared" si="4"/>
        <v>0</v>
      </c>
      <c r="U28" s="523">
        <f t="shared" si="5"/>
        <v>0</v>
      </c>
    </row>
    <row r="29" spans="1:21" x14ac:dyDescent="0.3">
      <c r="A29" s="776" t="s">
        <v>88</v>
      </c>
      <c r="B29" s="776"/>
      <c r="C29" s="110">
        <v>8.81</v>
      </c>
      <c r="D29" s="110">
        <v>8.7899999999999991</v>
      </c>
      <c r="E29" s="116">
        <f t="shared" si="1"/>
        <v>17.600000000000001</v>
      </c>
      <c r="F29" s="859">
        <f>'1461'!F29:G29</f>
        <v>1.079</v>
      </c>
      <c r="G29" s="859"/>
      <c r="H29" s="93">
        <f t="shared" si="2"/>
        <v>18.990400000000001</v>
      </c>
      <c r="I29" s="94">
        <f t="shared" si="3"/>
        <v>105367.93</v>
      </c>
      <c r="N29" s="819" t="s">
        <v>88</v>
      </c>
      <c r="O29" s="819"/>
      <c r="P29" s="860">
        <f t="shared" si="0"/>
        <v>0</v>
      </c>
      <c r="Q29" s="860"/>
      <c r="R29" s="861">
        <v>1</v>
      </c>
      <c r="S29" s="861"/>
      <c r="T29" s="95">
        <f t="shared" si="4"/>
        <v>0</v>
      </c>
      <c r="U29" s="523">
        <f t="shared" si="5"/>
        <v>0</v>
      </c>
    </row>
    <row r="30" spans="1:21" x14ac:dyDescent="0.3">
      <c r="A30" s="779" t="s">
        <v>5</v>
      </c>
      <c r="B30" s="779"/>
      <c r="C30" s="94">
        <f>SUM(C14:C29)</f>
        <v>157.77000000000001</v>
      </c>
      <c r="D30" s="94">
        <f>SUM(D14:D29)</f>
        <v>149.35999999999999</v>
      </c>
      <c r="E30" s="97">
        <f>SUM(E14:E29)</f>
        <v>307.13</v>
      </c>
      <c r="F30" s="795"/>
      <c r="G30" s="795"/>
      <c r="H30" s="99">
        <f>SUM(H14:H29)</f>
        <v>312.64960000000002</v>
      </c>
      <c r="I30" s="94">
        <f>SUM(I14:I29)</f>
        <v>1734731.3</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42">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44">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44">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44">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44">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36">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312.64960000000002</v>
      </c>
      <c r="F46" s="34"/>
      <c r="G46" s="106"/>
      <c r="H46" s="107" t="s">
        <v>98</v>
      </c>
      <c r="I46" s="94">
        <f>SUM(I44,I30)</f>
        <v>1734731.3</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1737693.6400000001</v>
      </c>
      <c r="G51" s="109" t="s">
        <v>6</v>
      </c>
      <c r="H51" s="452">
        <v>5.5899999999999998E-2</v>
      </c>
      <c r="I51" s="101">
        <f>ROUND(F51*H51,2)</f>
        <v>97137.07</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1737693.6400000001</v>
      </c>
      <c r="G52" s="109" t="s">
        <v>6</v>
      </c>
      <c r="H52" s="452">
        <v>1.0699999999999999E-2</v>
      </c>
      <c r="I52" s="101">
        <f>ROUND(F52*H52,2)</f>
        <v>18593.32</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115730.39000000001</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18.53</v>
      </c>
      <c r="D63" s="143">
        <v>17.43</v>
      </c>
      <c r="E63" s="116">
        <f t="shared" si="10"/>
        <v>35.96</v>
      </c>
      <c r="F63" s="494" t="s">
        <v>14</v>
      </c>
      <c r="G63" s="493">
        <v>251</v>
      </c>
      <c r="H63" s="507">
        <f>'1461'!H63</f>
        <v>835</v>
      </c>
      <c r="I63" s="101">
        <f t="shared" si="11"/>
        <v>30026.6</v>
      </c>
      <c r="N63" s="850"/>
      <c r="O63" s="850"/>
      <c r="P63" s="844"/>
      <c r="Q63" s="844"/>
      <c r="R63" s="40" t="s">
        <v>14</v>
      </c>
      <c r="S63" s="499">
        <v>251</v>
      </c>
      <c r="T63" s="510">
        <f t="shared" si="12"/>
        <v>835</v>
      </c>
      <c r="U63" s="524">
        <f t="shared" si="13"/>
        <v>0</v>
      </c>
      <c r="V63" s="474"/>
    </row>
    <row r="64" spans="1:22" x14ac:dyDescent="0.3">
      <c r="A64" s="792"/>
      <c r="B64" s="792"/>
      <c r="C64" s="143">
        <v>0</v>
      </c>
      <c r="D64" s="143">
        <v>0</v>
      </c>
      <c r="E64" s="116">
        <f t="shared" si="10"/>
        <v>0</v>
      </c>
      <c r="F64" s="494" t="s">
        <v>14</v>
      </c>
      <c r="G64" s="493">
        <v>252</v>
      </c>
      <c r="H64" s="507">
        <f>'1461'!H64</f>
        <v>3168</v>
      </c>
      <c r="I64" s="101">
        <f t="shared" si="11"/>
        <v>0</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18.53</v>
      </c>
      <c r="D66" s="97">
        <f>SUM(D57:D65)</f>
        <v>17.43</v>
      </c>
      <c r="E66" s="97">
        <f>SUM(E57:E65)</f>
        <v>35.96</v>
      </c>
      <c r="F66" s="779" t="s">
        <v>507</v>
      </c>
      <c r="G66" s="779"/>
      <c r="H66" s="779"/>
      <c r="I66" s="97">
        <f>SUM(I57:I65)</f>
        <v>30026.6</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307.13</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1.4610000000000001E-3</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312.64960000000002</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1.3179999999999999E-3</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307.13</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1.655E-3</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307.13</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1.464E-3</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307.13</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1.658E-3</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1.464E-3</v>
      </c>
      <c r="I85" s="101">
        <f>ROUND(F85*H85,2)</f>
        <v>67565.179999999993</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53"/>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1.4610000000000001E-3</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1.658E-3</v>
      </c>
      <c r="I90" s="101">
        <f>ROUND(F90*H90,2)</f>
        <v>31658.42</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1.655E-3</v>
      </c>
      <c r="I92" s="101">
        <f t="shared" ref="I92:I96" si="14">ROUND(F92*H92,2)</f>
        <v>18969.490000000002</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1.3179999999999999E-3</v>
      </c>
      <c r="I94" s="101">
        <f t="shared" si="14"/>
        <v>337087.48</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1.3179999999999999E-3</v>
      </c>
      <c r="I96" s="101">
        <f t="shared" si="14"/>
        <v>-22017.67</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1.4610000000000001E-3</v>
      </c>
      <c r="I98" s="101">
        <f t="shared" ref="I98" si="16">ROUND(F98*H98,2)</f>
        <v>297.83999999999997</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312.64960000000002</v>
      </c>
      <c r="D106" s="774"/>
      <c r="E106" s="46">
        <f>H8</f>
        <v>1.0407999999999999</v>
      </c>
      <c r="F106" s="302">
        <f>'1461'!F106</f>
        <v>910.12</v>
      </c>
      <c r="G106" s="39" t="s">
        <v>12</v>
      </c>
      <c r="H106" s="94">
        <f>ROUND(C106*E106*F106,2)</f>
        <v>296158.24</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312.64960000000002</v>
      </c>
      <c r="D107" s="787"/>
      <c r="E107" s="123"/>
      <c r="F107" s="123"/>
      <c r="G107" s="123"/>
      <c r="H107" s="124" t="s">
        <v>100</v>
      </c>
      <c r="I107" s="101">
        <f>IF(A1=75,0,H106+H105+H104)</f>
        <v>296158.24</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41" t="s">
        <v>2</v>
      </c>
      <c r="D112" s="339" t="s">
        <v>2</v>
      </c>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44">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44">
        <f>C114</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42">
        <f>IF(D30=0,C121*2,C121+D121)</f>
        <v>0</v>
      </c>
      <c r="F121" s="889">
        <v>0</v>
      </c>
      <c r="G121" s="889"/>
      <c r="H121" s="61">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44">
        <f>IF(D31=0,C122*2,C122+D122)</f>
        <v>0</v>
      </c>
      <c r="F122" s="781">
        <f>ROUND(F121/2,2)</f>
        <v>0</v>
      </c>
      <c r="G122" s="781"/>
      <c r="H122" s="61">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44">
        <f>IF(D32=0,C123*2,C123+D123)</f>
        <v>0</v>
      </c>
      <c r="F123" s="782"/>
      <c r="G123" s="782"/>
      <c r="H123" s="63">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2494476.88</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2378746.4899999998</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2378746.4899999998</v>
      </c>
      <c r="I135" s="94">
        <f>ROUND(IF(E30=0,0,IF(E30&gt;250,-(((250/E30)*H135)*IF(G135="H",0.02,0.05)),IF(G135="H",-0.02*H135,-0.05*H135))),2)</f>
        <v>-96813.5</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2397663.38</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Payments'!Q117</f>
        <v>-2402747.8899999997</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-5084.5099999997765</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-5084.51</v>
      </c>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22123.82</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411"/>
      <c r="Q149" s="73"/>
      <c r="R149" s="73"/>
      <c r="S149" s="73"/>
      <c r="T149" s="73"/>
      <c r="U149" s="73"/>
    </row>
    <row r="150" spans="1:21" x14ac:dyDescent="0.3">
      <c r="B150" s="69"/>
      <c r="C150" s="69"/>
      <c r="D150" s="69"/>
      <c r="E150" s="69"/>
      <c r="F150" s="69"/>
      <c r="G150" s="69"/>
      <c r="H150" s="65"/>
      <c r="I150" s="134"/>
      <c r="N150" s="73"/>
      <c r="O150" s="73"/>
      <c r="P150" s="411"/>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N8:O8"/>
    <mergeCell ref="P8:Q8"/>
    <mergeCell ref="R8:S8"/>
    <mergeCell ref="T8:U8"/>
    <mergeCell ref="F11:G11"/>
    <mergeCell ref="R11:S11"/>
    <mergeCell ref="A12:B12"/>
    <mergeCell ref="F12:G12"/>
    <mergeCell ref="N12:O12"/>
    <mergeCell ref="P12:Q12"/>
    <mergeCell ref="R12:S12"/>
    <mergeCell ref="T9:U9"/>
    <mergeCell ref="B1:I1"/>
    <mergeCell ref="O1:U1"/>
    <mergeCell ref="N2:U2"/>
    <mergeCell ref="N3:U3"/>
    <mergeCell ref="A4:B4"/>
    <mergeCell ref="C4:E4"/>
    <mergeCell ref="N4:O4"/>
    <mergeCell ref="P4:Q4"/>
    <mergeCell ref="A7:I7"/>
    <mergeCell ref="N7:U7"/>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T78:U78"/>
    <mergeCell ref="A96:C96"/>
    <mergeCell ref="N96:P96"/>
    <mergeCell ref="C102:D102"/>
    <mergeCell ref="C103:D103"/>
    <mergeCell ref="N103:O103"/>
    <mergeCell ref="P103:Q103"/>
    <mergeCell ref="N88:P88"/>
    <mergeCell ref="R103:U103"/>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R120:S120"/>
    <mergeCell ref="A121:B121"/>
    <mergeCell ref="F121:G121"/>
    <mergeCell ref="N121:O121"/>
    <mergeCell ref="P121:Q121"/>
    <mergeCell ref="R121:S121"/>
    <mergeCell ref="A122:B122"/>
    <mergeCell ref="F122:G122"/>
    <mergeCell ref="N122:O122"/>
    <mergeCell ref="P122:Q122"/>
    <mergeCell ref="R122:S122"/>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21">
    <tabColor rgb="FFFFCCCC"/>
  </sheetPr>
  <dimension ref="A1:V221"/>
  <sheetViews>
    <sheetView workbookViewId="0"/>
  </sheetViews>
  <sheetFormatPr defaultColWidth="9.109375" defaultRowHeight="15.6" x14ac:dyDescent="0.3"/>
  <cols>
    <col min="1" max="1" width="10.33203125" style="69" customWidth="1"/>
    <col min="2" max="2" width="30.33203125" style="3" bestFit="1" customWidth="1"/>
    <col min="3" max="4" width="10.6640625" style="3" customWidth="1"/>
    <col min="5" max="5" width="11.6640625" style="3" customWidth="1"/>
    <col min="6" max="6" width="14" style="3" customWidth="1"/>
    <col min="7" max="7" width="7.44140625" style="3" customWidth="1"/>
    <col min="8" max="8" width="14.5546875" style="3" customWidth="1"/>
    <col min="9" max="9" width="23.6640625" style="3" bestFit="1" customWidth="1"/>
    <col min="10" max="10" width="11" style="3" bestFit="1" customWidth="1"/>
    <col min="11" max="12" width="10.33203125" style="3" bestFit="1" customWidth="1"/>
    <col min="13" max="13" width="9.109375" style="3"/>
    <col min="14" max="14" width="10.33203125" style="69" customWidth="1"/>
    <col min="15" max="15" width="34.33203125" style="3" customWidth="1"/>
    <col min="16" max="16" width="16.44140625" style="3" customWidth="1"/>
    <col min="17" max="17" width="6.6640625" style="3" customWidth="1"/>
    <col min="18" max="18" width="14.5546875" style="3" customWidth="1"/>
    <col min="19" max="19" width="8" style="3" customWidth="1"/>
    <col min="20" max="20" width="15.44140625" style="3" customWidth="1"/>
    <col min="21" max="21" width="21.44140625" style="3" customWidth="1"/>
    <col min="22" max="16384" width="9.109375" style="3"/>
  </cols>
  <sheetData>
    <row r="1" spans="1:21" ht="16.2" thickBot="1" x14ac:dyDescent="0.35">
      <c r="A1" s="82"/>
      <c r="B1" s="799" t="s">
        <v>15</v>
      </c>
      <c r="C1" s="800"/>
      <c r="D1" s="800"/>
      <c r="E1" s="800"/>
      <c r="F1" s="800"/>
      <c r="G1" s="800"/>
      <c r="H1" s="800"/>
      <c r="I1" s="800"/>
      <c r="J1" s="135"/>
      <c r="K1" s="135"/>
      <c r="L1" s="135"/>
      <c r="N1" s="82">
        <f>A1</f>
        <v>0</v>
      </c>
      <c r="O1" s="880" t="s">
        <v>15</v>
      </c>
      <c r="P1" s="881"/>
      <c r="Q1" s="881"/>
      <c r="R1" s="881"/>
      <c r="S1" s="881"/>
      <c r="T1" s="881"/>
      <c r="U1" s="881"/>
    </row>
    <row r="2" spans="1:21" ht="21" x14ac:dyDescent="0.4">
      <c r="A2" s="1" t="s">
        <v>410</v>
      </c>
      <c r="B2" s="2"/>
      <c r="C2" s="2"/>
      <c r="D2" s="2"/>
      <c r="E2" s="2"/>
      <c r="F2" s="2"/>
      <c r="G2" s="2"/>
      <c r="H2" s="2"/>
      <c r="I2" s="2"/>
      <c r="N2" s="882" t="s">
        <v>18</v>
      </c>
      <c r="O2" s="882"/>
      <c r="P2" s="882"/>
      <c r="Q2" s="882"/>
      <c r="R2" s="882"/>
      <c r="S2" s="882"/>
      <c r="T2" s="882"/>
      <c r="U2" s="882"/>
    </row>
    <row r="3" spans="1:21" x14ac:dyDescent="0.3">
      <c r="A3" s="253" t="str">
        <f>'1461'!A3</f>
        <v>Based on the FLDOE 2024-25 Final Revenue Calculation Worksheet</v>
      </c>
      <c r="N3" s="822" t="str">
        <f>A3</f>
        <v>Based on the FLDOE 2024-25 Final Revenue Calculation Worksheet</v>
      </c>
      <c r="O3" s="822"/>
      <c r="P3" s="822"/>
      <c r="Q3" s="822"/>
      <c r="R3" s="822"/>
      <c r="S3" s="822"/>
      <c r="T3" s="822"/>
      <c r="U3" s="822"/>
    </row>
    <row r="4" spans="1:21" x14ac:dyDescent="0.3">
      <c r="A4" s="801" t="s">
        <v>0</v>
      </c>
      <c r="B4" s="801"/>
      <c r="C4" s="802" t="s">
        <v>9</v>
      </c>
      <c r="D4" s="802"/>
      <c r="E4" s="802"/>
      <c r="F4" s="4" t="str">
        <f>'1461'!F4</f>
        <v>FY 25 Final Payment</v>
      </c>
      <c r="G4" s="4"/>
      <c r="H4" s="151"/>
      <c r="I4" s="4"/>
      <c r="N4" s="874" t="s">
        <v>0</v>
      </c>
      <c r="O4" s="874"/>
      <c r="P4" s="883" t="str">
        <f>C4</f>
        <v>Palm Beach</v>
      </c>
      <c r="Q4" s="883"/>
      <c r="R4" s="5"/>
      <c r="S4" s="5"/>
      <c r="T4" s="5"/>
      <c r="U4" s="5"/>
    </row>
    <row r="5" spans="1:21" ht="12" customHeight="1" thickBot="1" x14ac:dyDescent="0.35">
      <c r="A5" s="235"/>
      <c r="B5" s="235"/>
      <c r="C5" s="226"/>
      <c r="D5" s="226"/>
      <c r="E5" s="226"/>
      <c r="F5" s="227"/>
      <c r="G5" s="227"/>
      <c r="H5" s="227"/>
      <c r="I5" s="227"/>
      <c r="N5" s="83"/>
      <c r="O5" s="83"/>
      <c r="P5" s="6"/>
      <c r="Q5" s="6"/>
      <c r="R5" s="5"/>
      <c r="S5" s="5"/>
      <c r="T5" s="5"/>
      <c r="U5" s="5"/>
    </row>
    <row r="6" spans="1:21" ht="12" customHeight="1" x14ac:dyDescent="0.3">
      <c r="A6" s="128"/>
      <c r="B6" s="128"/>
      <c r="C6" s="234"/>
      <c r="D6" s="234"/>
      <c r="E6" s="234"/>
      <c r="F6" s="4"/>
      <c r="G6" s="4"/>
      <c r="H6" s="4"/>
      <c r="I6" s="4"/>
      <c r="N6" s="83"/>
      <c r="O6" s="83"/>
      <c r="P6" s="6"/>
      <c r="Q6" s="6"/>
      <c r="R6" s="5"/>
      <c r="S6" s="5"/>
      <c r="T6" s="5"/>
      <c r="U6" s="5"/>
    </row>
    <row r="7" spans="1:21" x14ac:dyDescent="0.3">
      <c r="A7" s="803" t="s">
        <v>493</v>
      </c>
      <c r="B7" s="873"/>
      <c r="C7" s="873"/>
      <c r="D7" s="873"/>
      <c r="E7" s="873"/>
      <c r="F7" s="873"/>
      <c r="G7" s="873"/>
      <c r="H7" s="873"/>
      <c r="I7" s="873"/>
      <c r="N7" s="874" t="str">
        <f>A7</f>
        <v>1A.   2023-24 FEFP State and Local Funding</v>
      </c>
      <c r="O7" s="874"/>
      <c r="P7" s="874"/>
      <c r="Q7" s="874"/>
      <c r="R7" s="874"/>
      <c r="S7" s="874"/>
      <c r="T7" s="874"/>
      <c r="U7" s="874"/>
    </row>
    <row r="8" spans="1:21" x14ac:dyDescent="0.3">
      <c r="A8" s="84"/>
      <c r="B8" s="85" t="s">
        <v>92</v>
      </c>
      <c r="C8" s="298">
        <f>'1461'!C8</f>
        <v>5330.98</v>
      </c>
      <c r="D8" s="86"/>
      <c r="E8" s="87"/>
      <c r="F8" s="84"/>
      <c r="G8" s="85" t="s">
        <v>455</v>
      </c>
      <c r="H8" s="286">
        <f>'1461'!H8</f>
        <v>1.0407999999999999</v>
      </c>
      <c r="I8" s="75"/>
      <c r="N8" s="875" t="s">
        <v>10</v>
      </c>
      <c r="O8" s="875"/>
      <c r="P8" s="876">
        <f>C8</f>
        <v>5330.98</v>
      </c>
      <c r="Q8" s="876"/>
      <c r="R8" s="877" t="s">
        <v>456</v>
      </c>
      <c r="S8" s="878"/>
      <c r="T8" s="879">
        <f>H8</f>
        <v>1.0407999999999999</v>
      </c>
      <c r="U8" s="879"/>
    </row>
    <row r="9" spans="1:21" x14ac:dyDescent="0.3">
      <c r="A9" s="84"/>
      <c r="B9" s="85"/>
      <c r="C9" s="221"/>
      <c r="D9" s="86"/>
      <c r="E9" s="87"/>
      <c r="F9" s="84"/>
      <c r="G9" s="85" t="s">
        <v>453</v>
      </c>
      <c r="H9" s="286">
        <f>'1461'!H9</f>
        <v>1</v>
      </c>
      <c r="I9" s="75"/>
      <c r="N9" s="12"/>
      <c r="O9" s="12"/>
      <c r="P9" s="13"/>
      <c r="Q9" s="13"/>
      <c r="R9" s="438" t="s">
        <v>454</v>
      </c>
      <c r="S9" s="435"/>
      <c r="T9" s="879">
        <f>H9</f>
        <v>1</v>
      </c>
      <c r="U9" s="879"/>
    </row>
    <row r="10" spans="1:21" x14ac:dyDescent="0.3">
      <c r="A10" s="7"/>
      <c r="B10" s="42" t="s">
        <v>328</v>
      </c>
      <c r="C10" s="506" t="str">
        <f>'1461'!C10</f>
        <v xml:space="preserve"> </v>
      </c>
      <c r="D10" s="88" t="str">
        <f>'1461'!D10</f>
        <v xml:space="preserve"> </v>
      </c>
      <c r="E10" s="8"/>
      <c r="F10" s="9"/>
      <c r="G10" s="9"/>
      <c r="H10" s="10"/>
      <c r="I10" s="304" t="str">
        <f>'1461'!I10</f>
        <v>2024-25</v>
      </c>
      <c r="N10" s="12"/>
      <c r="O10" s="12"/>
      <c r="P10" s="13"/>
      <c r="Q10" s="13"/>
      <c r="R10" s="14"/>
      <c r="S10" s="14"/>
      <c r="T10" s="15"/>
      <c r="U10" s="409" t="str">
        <f>I10</f>
        <v>2024-25</v>
      </c>
    </row>
    <row r="11" spans="1:21" x14ac:dyDescent="0.3">
      <c r="A11" s="7"/>
      <c r="B11" s="7"/>
      <c r="C11" s="88" t="str">
        <f>'1461'!C11</f>
        <v>Oct 2024</v>
      </c>
      <c r="D11" s="348" t="str">
        <f>'1461'!D11</f>
        <v>Feb 2025</v>
      </c>
      <c r="E11" s="89" t="s">
        <v>8</v>
      </c>
      <c r="F11" s="804" t="s">
        <v>1</v>
      </c>
      <c r="G11" s="804"/>
      <c r="H11" s="10" t="s">
        <v>60</v>
      </c>
      <c r="I11" s="11" t="s">
        <v>27</v>
      </c>
      <c r="N11" s="12"/>
      <c r="O11" s="12"/>
      <c r="P11" s="13"/>
      <c r="Q11" s="13"/>
      <c r="R11" s="870" t="s">
        <v>1</v>
      </c>
      <c r="S11" s="870"/>
      <c r="T11" s="15" t="s">
        <v>60</v>
      </c>
      <c r="U11" s="16" t="s">
        <v>27</v>
      </c>
    </row>
    <row r="12" spans="1:21" ht="15.75" customHeight="1" x14ac:dyDescent="0.3">
      <c r="A12" s="796" t="s">
        <v>1</v>
      </c>
      <c r="B12" s="796"/>
      <c r="C12" s="341" t="str">
        <f>'1461'!C12</f>
        <v>FTE</v>
      </c>
      <c r="D12" s="339" t="str">
        <f>'1461'!D12</f>
        <v>FTE</v>
      </c>
      <c r="E12" s="339" t="s">
        <v>2</v>
      </c>
      <c r="F12" s="805" t="s">
        <v>63</v>
      </c>
      <c r="G12" s="805"/>
      <c r="H12" s="17" t="s">
        <v>59</v>
      </c>
      <c r="I12" s="439" t="s">
        <v>457</v>
      </c>
      <c r="N12" s="856" t="s">
        <v>1</v>
      </c>
      <c r="O12" s="856"/>
      <c r="P12" s="871" t="s">
        <v>19</v>
      </c>
      <c r="Q12" s="871"/>
      <c r="R12" s="872" t="s">
        <v>63</v>
      </c>
      <c r="S12" s="872"/>
      <c r="T12" s="18" t="s">
        <v>59</v>
      </c>
      <c r="U12" s="19" t="str">
        <f>I12</f>
        <v>(WFTE x BSA x CWF x SDF)</v>
      </c>
    </row>
    <row r="13" spans="1:21" x14ac:dyDescent="0.3">
      <c r="A13" s="806" t="s">
        <v>36</v>
      </c>
      <c r="B13" s="806"/>
      <c r="C13" s="91"/>
      <c r="D13" s="91"/>
      <c r="E13" s="92" t="s">
        <v>37</v>
      </c>
      <c r="F13" s="807" t="s">
        <v>38</v>
      </c>
      <c r="G13" s="807"/>
      <c r="H13" s="20" t="s">
        <v>39</v>
      </c>
      <c r="I13" s="21" t="s">
        <v>40</v>
      </c>
      <c r="N13" s="865" t="s">
        <v>36</v>
      </c>
      <c r="O13" s="865"/>
      <c r="P13" s="866" t="s">
        <v>37</v>
      </c>
      <c r="Q13" s="866"/>
      <c r="R13" s="867" t="s">
        <v>38</v>
      </c>
      <c r="S13" s="867"/>
      <c r="T13" s="22" t="s">
        <v>39</v>
      </c>
      <c r="U13" s="23" t="s">
        <v>40</v>
      </c>
    </row>
    <row r="14" spans="1:21" x14ac:dyDescent="0.3">
      <c r="A14" s="797" t="s">
        <v>20</v>
      </c>
      <c r="B14" s="797"/>
      <c r="C14" s="143">
        <v>0</v>
      </c>
      <c r="D14" s="141">
        <v>0</v>
      </c>
      <c r="E14" s="187">
        <f>IF(D$30=0,C14*2,C14+D14)</f>
        <v>0</v>
      </c>
      <c r="F14" s="868">
        <f>'1461'!F14:G14</f>
        <v>1.1180000000000001</v>
      </c>
      <c r="G14" s="868"/>
      <c r="H14" s="145">
        <f>ROUND(E14*F14,4)</f>
        <v>0</v>
      </c>
      <c r="I14" s="111">
        <f>ROUND(ROUND(ROUND(H14*$C$8,4)*($H$8),2)*(MAX($H$9,1)),2)</f>
        <v>0</v>
      </c>
      <c r="N14" s="858" t="s">
        <v>20</v>
      </c>
      <c r="O14" s="858"/>
      <c r="P14" s="860">
        <f t="shared" ref="P14:P29" si="0">IF($H$133=1,E14,0)</f>
        <v>0</v>
      </c>
      <c r="Q14" s="860"/>
      <c r="R14" s="869">
        <v>1</v>
      </c>
      <c r="S14" s="869"/>
      <c r="T14" s="95">
        <f>ROUND(P14*R14,4)</f>
        <v>0</v>
      </c>
      <c r="U14" s="523">
        <f>ROUND(ROUND(ROUND(T14*$C$8,4)*($H$8),2)*(MAX($H$9,1)),2)</f>
        <v>0</v>
      </c>
    </row>
    <row r="15" spans="1:21" x14ac:dyDescent="0.3">
      <c r="A15" s="776" t="s">
        <v>21</v>
      </c>
      <c r="B15" s="776"/>
      <c r="C15" s="143">
        <v>0</v>
      </c>
      <c r="D15" s="143">
        <v>0</v>
      </c>
      <c r="E15" s="116">
        <f t="shared" ref="E15:E29" si="1">IF(D$30=0,C15*2,C15+D15)</f>
        <v>0</v>
      </c>
      <c r="F15" s="859">
        <f>'1461'!F15:G15</f>
        <v>1.1180000000000001</v>
      </c>
      <c r="G15" s="859"/>
      <c r="H15" s="80">
        <f t="shared" ref="H15:H29" si="2">ROUND(E15*F15,4)</f>
        <v>0</v>
      </c>
      <c r="I15" s="101">
        <f t="shared" ref="I15:I29" si="3">ROUND(ROUND(ROUND(H15*$C$8,4)*($H$8),2)*(MAX($H$9,1)),2)</f>
        <v>0</v>
      </c>
      <c r="J15" s="65" t="str">
        <f>IF(ROUND(E15,2)=ROUND(SUM(E57:E59),2)," ","CHECK PK-3 LINES BELOW")</f>
        <v xml:space="preserve"> </v>
      </c>
      <c r="N15" s="818" t="s">
        <v>21</v>
      </c>
      <c r="O15" s="818"/>
      <c r="P15" s="860">
        <f t="shared" si="0"/>
        <v>0</v>
      </c>
      <c r="Q15" s="860"/>
      <c r="R15" s="864">
        <v>1</v>
      </c>
      <c r="S15" s="864"/>
      <c r="T15" s="95">
        <f t="shared" ref="T15:T29" si="4">ROUND(P15*R15,4)</f>
        <v>0</v>
      </c>
      <c r="U15" s="523">
        <f t="shared" ref="U15:U29" si="5">ROUND(ROUND(ROUND(T15*$C$8,4)*($H$8),2)*(MAX($H$9,1)),2)</f>
        <v>0</v>
      </c>
    </row>
    <row r="16" spans="1:21" x14ac:dyDescent="0.3">
      <c r="A16" s="776" t="s">
        <v>22</v>
      </c>
      <c r="B16" s="776"/>
      <c r="C16" s="143">
        <v>0</v>
      </c>
      <c r="D16" s="143">
        <v>0</v>
      </c>
      <c r="E16" s="116">
        <f t="shared" si="1"/>
        <v>0</v>
      </c>
      <c r="F16" s="859">
        <f>'1461'!F16:G16</f>
        <v>1</v>
      </c>
      <c r="G16" s="859"/>
      <c r="H16" s="80">
        <f t="shared" si="2"/>
        <v>0</v>
      </c>
      <c r="I16" s="101">
        <f t="shared" si="3"/>
        <v>0</v>
      </c>
      <c r="N16" s="818" t="s">
        <v>22</v>
      </c>
      <c r="O16" s="818"/>
      <c r="P16" s="860">
        <f t="shared" si="0"/>
        <v>0</v>
      </c>
      <c r="Q16" s="860"/>
      <c r="R16" s="864">
        <v>1</v>
      </c>
      <c r="S16" s="864"/>
      <c r="T16" s="95">
        <f t="shared" si="4"/>
        <v>0</v>
      </c>
      <c r="U16" s="523">
        <f t="shared" si="5"/>
        <v>0</v>
      </c>
    </row>
    <row r="17" spans="1:21" x14ac:dyDescent="0.3">
      <c r="A17" s="776" t="s">
        <v>23</v>
      </c>
      <c r="B17" s="776"/>
      <c r="C17" s="143">
        <v>0</v>
      </c>
      <c r="D17" s="143">
        <v>0</v>
      </c>
      <c r="E17" s="116">
        <f t="shared" si="1"/>
        <v>0</v>
      </c>
      <c r="F17" s="859">
        <f>'1461'!F17:G17</f>
        <v>1</v>
      </c>
      <c r="G17" s="859"/>
      <c r="H17" s="80">
        <f t="shared" si="2"/>
        <v>0</v>
      </c>
      <c r="I17" s="101">
        <f t="shared" si="3"/>
        <v>0</v>
      </c>
      <c r="J17" s="65" t="str">
        <f>IF(ROUND(E17,2)=ROUND(SUM(E60:E62),2)," ","CHECK 4-8 LINES BELOW")</f>
        <v xml:space="preserve"> </v>
      </c>
      <c r="N17" s="818" t="s">
        <v>23</v>
      </c>
      <c r="O17" s="818"/>
      <c r="P17" s="860">
        <f t="shared" si="0"/>
        <v>0</v>
      </c>
      <c r="Q17" s="860"/>
      <c r="R17" s="864">
        <v>1</v>
      </c>
      <c r="S17" s="864"/>
      <c r="T17" s="95">
        <f t="shared" si="4"/>
        <v>0</v>
      </c>
      <c r="U17" s="523">
        <f t="shared" si="5"/>
        <v>0</v>
      </c>
    </row>
    <row r="18" spans="1:21" x14ac:dyDescent="0.3">
      <c r="A18" s="776" t="s">
        <v>24</v>
      </c>
      <c r="B18" s="776"/>
      <c r="C18" s="143">
        <v>35.5</v>
      </c>
      <c r="D18" s="143">
        <v>35.43</v>
      </c>
      <c r="E18" s="116">
        <f t="shared" si="1"/>
        <v>70.930000000000007</v>
      </c>
      <c r="F18" s="859">
        <f>'1461'!F18:G18</f>
        <v>0.97799999999999998</v>
      </c>
      <c r="G18" s="859"/>
      <c r="H18" s="80">
        <f t="shared" si="2"/>
        <v>69.369500000000002</v>
      </c>
      <c r="I18" s="101">
        <f t="shared" si="3"/>
        <v>384895.56</v>
      </c>
      <c r="N18" s="818" t="s">
        <v>24</v>
      </c>
      <c r="O18" s="818"/>
      <c r="P18" s="860">
        <f t="shared" si="0"/>
        <v>0</v>
      </c>
      <c r="Q18" s="860"/>
      <c r="R18" s="864">
        <v>1</v>
      </c>
      <c r="S18" s="864"/>
      <c r="T18" s="95">
        <f t="shared" si="4"/>
        <v>0</v>
      </c>
      <c r="U18" s="523">
        <f t="shared" si="5"/>
        <v>0</v>
      </c>
    </row>
    <row r="19" spans="1:21" x14ac:dyDescent="0.3">
      <c r="A19" s="776" t="s">
        <v>25</v>
      </c>
      <c r="B19" s="776"/>
      <c r="C19" s="143">
        <v>8.1999999999999993</v>
      </c>
      <c r="D19" s="143">
        <v>8.1</v>
      </c>
      <c r="E19" s="116">
        <f t="shared" si="1"/>
        <v>16.299999999999997</v>
      </c>
      <c r="F19" s="859">
        <f>'1461'!F19:G19</f>
        <v>0.97799999999999998</v>
      </c>
      <c r="G19" s="859"/>
      <c r="H19" s="80">
        <f t="shared" si="2"/>
        <v>15.9414</v>
      </c>
      <c r="I19" s="101">
        <f t="shared" si="3"/>
        <v>88450.6</v>
      </c>
      <c r="J19" s="65" t="str">
        <f>IF(ROUND(E19,2)=ROUND(SUM(E63:E65),2)," ","CHECK 4-8 LINES BELOW")</f>
        <v xml:space="preserve"> </v>
      </c>
      <c r="N19" s="818" t="s">
        <v>25</v>
      </c>
      <c r="O19" s="818"/>
      <c r="P19" s="860">
        <f t="shared" si="0"/>
        <v>0</v>
      </c>
      <c r="Q19" s="860"/>
      <c r="R19" s="864">
        <v>1</v>
      </c>
      <c r="S19" s="864"/>
      <c r="T19" s="95">
        <f t="shared" si="4"/>
        <v>0</v>
      </c>
      <c r="U19" s="522">
        <f t="shared" si="5"/>
        <v>0</v>
      </c>
    </row>
    <row r="20" spans="1:21" x14ac:dyDescent="0.3">
      <c r="A20" s="776" t="s">
        <v>79</v>
      </c>
      <c r="B20" s="776"/>
      <c r="C20" s="143">
        <v>0</v>
      </c>
      <c r="D20" s="143">
        <v>0</v>
      </c>
      <c r="E20" s="116">
        <f t="shared" si="1"/>
        <v>0</v>
      </c>
      <c r="F20" s="859">
        <f>'1461'!F20:G20</f>
        <v>3.6970000000000001</v>
      </c>
      <c r="G20" s="859"/>
      <c r="H20" s="80">
        <f t="shared" si="2"/>
        <v>0</v>
      </c>
      <c r="I20" s="101">
        <f t="shared" si="3"/>
        <v>0</v>
      </c>
      <c r="N20" s="818" t="s">
        <v>79</v>
      </c>
      <c r="O20" s="818"/>
      <c r="P20" s="860">
        <f t="shared" si="0"/>
        <v>0</v>
      </c>
      <c r="Q20" s="860"/>
      <c r="R20" s="864">
        <v>1</v>
      </c>
      <c r="S20" s="864"/>
      <c r="T20" s="95">
        <f t="shared" si="4"/>
        <v>0</v>
      </c>
      <c r="U20" s="523">
        <f t="shared" si="5"/>
        <v>0</v>
      </c>
    </row>
    <row r="21" spans="1:21" x14ac:dyDescent="0.3">
      <c r="A21" s="776" t="s">
        <v>80</v>
      </c>
      <c r="B21" s="776"/>
      <c r="C21" s="143">
        <v>0</v>
      </c>
      <c r="D21" s="143">
        <v>0</v>
      </c>
      <c r="E21" s="116">
        <f t="shared" si="1"/>
        <v>0</v>
      </c>
      <c r="F21" s="859">
        <f>'1461'!F21:G21</f>
        <v>3.6970000000000001</v>
      </c>
      <c r="G21" s="859"/>
      <c r="H21" s="80">
        <f t="shared" si="2"/>
        <v>0</v>
      </c>
      <c r="I21" s="101">
        <f t="shared" si="3"/>
        <v>0</v>
      </c>
      <c r="N21" s="818" t="s">
        <v>80</v>
      </c>
      <c r="O21" s="818"/>
      <c r="P21" s="860">
        <f t="shared" si="0"/>
        <v>0</v>
      </c>
      <c r="Q21" s="860"/>
      <c r="R21" s="864">
        <v>1</v>
      </c>
      <c r="S21" s="864"/>
      <c r="T21" s="95">
        <f t="shared" si="4"/>
        <v>0</v>
      </c>
      <c r="U21" s="523">
        <f t="shared" si="5"/>
        <v>0</v>
      </c>
    </row>
    <row r="22" spans="1:21" x14ac:dyDescent="0.3">
      <c r="A22" s="776" t="s">
        <v>81</v>
      </c>
      <c r="B22" s="776"/>
      <c r="C22" s="143">
        <v>0</v>
      </c>
      <c r="D22" s="143">
        <v>0</v>
      </c>
      <c r="E22" s="116">
        <f t="shared" si="1"/>
        <v>0</v>
      </c>
      <c r="F22" s="859">
        <f>'1461'!F22:G22</f>
        <v>3.6970000000000001</v>
      </c>
      <c r="G22" s="859"/>
      <c r="H22" s="80">
        <f t="shared" si="2"/>
        <v>0</v>
      </c>
      <c r="I22" s="101">
        <f t="shared" si="3"/>
        <v>0</v>
      </c>
      <c r="N22" s="818" t="s">
        <v>81</v>
      </c>
      <c r="O22" s="818"/>
      <c r="P22" s="860">
        <f t="shared" si="0"/>
        <v>0</v>
      </c>
      <c r="Q22" s="860"/>
      <c r="R22" s="864">
        <v>1</v>
      </c>
      <c r="S22" s="864"/>
      <c r="T22" s="95">
        <f t="shared" si="4"/>
        <v>0</v>
      </c>
      <c r="U22" s="523">
        <f t="shared" si="5"/>
        <v>0</v>
      </c>
    </row>
    <row r="23" spans="1:21" x14ac:dyDescent="0.3">
      <c r="A23" s="776" t="s">
        <v>82</v>
      </c>
      <c r="B23" s="776"/>
      <c r="C23" s="143">
        <v>0</v>
      </c>
      <c r="D23" s="143">
        <v>0</v>
      </c>
      <c r="E23" s="116">
        <f t="shared" si="1"/>
        <v>0</v>
      </c>
      <c r="F23" s="859">
        <f>'1461'!F23:G23</f>
        <v>5.992</v>
      </c>
      <c r="G23" s="859"/>
      <c r="H23" s="80">
        <f t="shared" si="2"/>
        <v>0</v>
      </c>
      <c r="I23" s="101">
        <f t="shared" si="3"/>
        <v>0</v>
      </c>
      <c r="N23" s="818" t="s">
        <v>82</v>
      </c>
      <c r="O23" s="818"/>
      <c r="P23" s="860">
        <f t="shared" si="0"/>
        <v>0</v>
      </c>
      <c r="Q23" s="860"/>
      <c r="R23" s="864">
        <v>1</v>
      </c>
      <c r="S23" s="864"/>
      <c r="T23" s="95">
        <f t="shared" si="4"/>
        <v>0</v>
      </c>
      <c r="U23" s="523">
        <f t="shared" si="5"/>
        <v>0</v>
      </c>
    </row>
    <row r="24" spans="1:21" x14ac:dyDescent="0.3">
      <c r="A24" s="776" t="s">
        <v>83</v>
      </c>
      <c r="B24" s="776"/>
      <c r="C24" s="143">
        <v>0</v>
      </c>
      <c r="D24" s="143">
        <v>0</v>
      </c>
      <c r="E24" s="116">
        <f t="shared" si="1"/>
        <v>0</v>
      </c>
      <c r="F24" s="859">
        <f>'1461'!F24:G24</f>
        <v>5.992</v>
      </c>
      <c r="G24" s="859"/>
      <c r="H24" s="80">
        <f t="shared" si="2"/>
        <v>0</v>
      </c>
      <c r="I24" s="101">
        <f t="shared" si="3"/>
        <v>0</v>
      </c>
      <c r="N24" s="818" t="s">
        <v>83</v>
      </c>
      <c r="O24" s="818"/>
      <c r="P24" s="860">
        <f t="shared" si="0"/>
        <v>0</v>
      </c>
      <c r="Q24" s="860"/>
      <c r="R24" s="864">
        <v>1</v>
      </c>
      <c r="S24" s="864"/>
      <c r="T24" s="95">
        <f t="shared" si="4"/>
        <v>0</v>
      </c>
      <c r="U24" s="523">
        <f t="shared" si="5"/>
        <v>0</v>
      </c>
    </row>
    <row r="25" spans="1:21" x14ac:dyDescent="0.3">
      <c r="A25" s="776" t="s">
        <v>84</v>
      </c>
      <c r="B25" s="776"/>
      <c r="C25" s="143">
        <v>0</v>
      </c>
      <c r="D25" s="143">
        <v>0</v>
      </c>
      <c r="E25" s="116">
        <f t="shared" si="1"/>
        <v>0</v>
      </c>
      <c r="F25" s="859">
        <f>'1461'!F25:G25</f>
        <v>5.992</v>
      </c>
      <c r="G25" s="859"/>
      <c r="H25" s="80">
        <f t="shared" si="2"/>
        <v>0</v>
      </c>
      <c r="I25" s="101">
        <f t="shared" si="3"/>
        <v>0</v>
      </c>
      <c r="N25" s="818" t="s">
        <v>84</v>
      </c>
      <c r="O25" s="818"/>
      <c r="P25" s="860">
        <f t="shared" si="0"/>
        <v>0</v>
      </c>
      <c r="Q25" s="860"/>
      <c r="R25" s="864">
        <v>1</v>
      </c>
      <c r="S25" s="864"/>
      <c r="T25" s="95">
        <f t="shared" si="4"/>
        <v>0</v>
      </c>
      <c r="U25" s="523">
        <f t="shared" si="5"/>
        <v>0</v>
      </c>
    </row>
    <row r="26" spans="1:21" x14ac:dyDescent="0.3">
      <c r="A26" s="776" t="s">
        <v>85</v>
      </c>
      <c r="B26" s="776"/>
      <c r="C26" s="143">
        <v>0</v>
      </c>
      <c r="D26" s="143">
        <v>0</v>
      </c>
      <c r="E26" s="116">
        <f t="shared" si="1"/>
        <v>0</v>
      </c>
      <c r="F26" s="859">
        <f>'1461'!F26:G26</f>
        <v>1.1919999999999999</v>
      </c>
      <c r="G26" s="859"/>
      <c r="H26" s="80">
        <f t="shared" si="2"/>
        <v>0</v>
      </c>
      <c r="I26" s="101">
        <f t="shared" si="3"/>
        <v>0</v>
      </c>
      <c r="N26" s="818" t="s">
        <v>85</v>
      </c>
      <c r="O26" s="818"/>
      <c r="P26" s="860">
        <f t="shared" si="0"/>
        <v>0</v>
      </c>
      <c r="Q26" s="860"/>
      <c r="R26" s="864">
        <v>1</v>
      </c>
      <c r="S26" s="864"/>
      <c r="T26" s="95">
        <f t="shared" si="4"/>
        <v>0</v>
      </c>
      <c r="U26" s="523">
        <f t="shared" si="5"/>
        <v>0</v>
      </c>
    </row>
    <row r="27" spans="1:21" x14ac:dyDescent="0.3">
      <c r="A27" s="776" t="s">
        <v>86</v>
      </c>
      <c r="B27" s="776"/>
      <c r="C27" s="143">
        <v>0</v>
      </c>
      <c r="D27" s="143">
        <v>0</v>
      </c>
      <c r="E27" s="116">
        <f t="shared" si="1"/>
        <v>0</v>
      </c>
      <c r="F27" s="859">
        <f>'1461'!F27:G27</f>
        <v>1.1919999999999999</v>
      </c>
      <c r="G27" s="859"/>
      <c r="H27" s="80">
        <f t="shared" si="2"/>
        <v>0</v>
      </c>
      <c r="I27" s="101">
        <f t="shared" si="3"/>
        <v>0</v>
      </c>
      <c r="N27" s="818" t="s">
        <v>86</v>
      </c>
      <c r="O27" s="818"/>
      <c r="P27" s="860">
        <f t="shared" si="0"/>
        <v>0</v>
      </c>
      <c r="Q27" s="860"/>
      <c r="R27" s="864">
        <v>1</v>
      </c>
      <c r="S27" s="864"/>
      <c r="T27" s="95">
        <f t="shared" si="4"/>
        <v>0</v>
      </c>
      <c r="U27" s="523">
        <f t="shared" si="5"/>
        <v>0</v>
      </c>
    </row>
    <row r="28" spans="1:21" x14ac:dyDescent="0.3">
      <c r="A28" s="776" t="s">
        <v>87</v>
      </c>
      <c r="B28" s="776"/>
      <c r="C28" s="143">
        <v>4.28</v>
      </c>
      <c r="D28" s="143">
        <v>4.45</v>
      </c>
      <c r="E28" s="116">
        <f t="shared" si="1"/>
        <v>8.73</v>
      </c>
      <c r="F28" s="859">
        <f>'1461'!F28:G28</f>
        <v>1.1919999999999999</v>
      </c>
      <c r="G28" s="859"/>
      <c r="H28" s="80">
        <f t="shared" si="2"/>
        <v>10.4062</v>
      </c>
      <c r="I28" s="101">
        <f t="shared" si="3"/>
        <v>57738.63</v>
      </c>
      <c r="N28" s="818" t="s">
        <v>87</v>
      </c>
      <c r="O28" s="818"/>
      <c r="P28" s="860">
        <f t="shared" si="0"/>
        <v>0</v>
      </c>
      <c r="Q28" s="860"/>
      <c r="R28" s="864">
        <v>1</v>
      </c>
      <c r="S28" s="864"/>
      <c r="T28" s="95">
        <f t="shared" si="4"/>
        <v>0</v>
      </c>
      <c r="U28" s="523">
        <f t="shared" si="5"/>
        <v>0</v>
      </c>
    </row>
    <row r="29" spans="1:21" x14ac:dyDescent="0.3">
      <c r="A29" s="776" t="s">
        <v>88</v>
      </c>
      <c r="B29" s="776"/>
      <c r="C29" s="110">
        <v>3.37</v>
      </c>
      <c r="D29" s="110">
        <v>3.45</v>
      </c>
      <c r="E29" s="154">
        <f t="shared" si="1"/>
        <v>6.82</v>
      </c>
      <c r="F29" s="859">
        <f>'1461'!F29:G29</f>
        <v>1.079</v>
      </c>
      <c r="G29" s="859"/>
      <c r="H29" s="93">
        <f t="shared" si="2"/>
        <v>7.3587999999999996</v>
      </c>
      <c r="I29" s="94">
        <f t="shared" si="3"/>
        <v>40830.18</v>
      </c>
      <c r="N29" s="819" t="s">
        <v>88</v>
      </c>
      <c r="O29" s="819"/>
      <c r="P29" s="860">
        <f t="shared" si="0"/>
        <v>0</v>
      </c>
      <c r="Q29" s="860"/>
      <c r="R29" s="861">
        <v>1</v>
      </c>
      <c r="S29" s="861"/>
      <c r="T29" s="95">
        <f t="shared" si="4"/>
        <v>0</v>
      </c>
      <c r="U29" s="523">
        <f t="shared" si="5"/>
        <v>0</v>
      </c>
    </row>
    <row r="30" spans="1:21" x14ac:dyDescent="0.3">
      <c r="A30" s="779" t="s">
        <v>5</v>
      </c>
      <c r="B30" s="779"/>
      <c r="C30" s="94">
        <f>SUM(C14:C29)</f>
        <v>51.35</v>
      </c>
      <c r="D30" s="94">
        <f>SUM(D14:D29)</f>
        <v>51.430000000000007</v>
      </c>
      <c r="E30" s="94">
        <f>SUM(E14:E29)</f>
        <v>102.78</v>
      </c>
      <c r="F30" s="795"/>
      <c r="G30" s="795"/>
      <c r="H30" s="99">
        <f>SUM(H14:H29)</f>
        <v>103.0759</v>
      </c>
      <c r="I30" s="94">
        <f>SUM(I14:I29)</f>
        <v>571914.97000000009</v>
      </c>
      <c r="N30" s="862" t="s">
        <v>5</v>
      </c>
      <c r="O30" s="862"/>
      <c r="P30" s="863">
        <f>SUM(P14:P29)</f>
        <v>0</v>
      </c>
      <c r="Q30" s="863"/>
      <c r="R30" s="852"/>
      <c r="S30" s="852"/>
      <c r="T30" s="100">
        <f>SUM(T14:T29)</f>
        <v>0</v>
      </c>
      <c r="U30" s="523">
        <f>SUM(U14:U29)</f>
        <v>0</v>
      </c>
    </row>
    <row r="31" spans="1:21" x14ac:dyDescent="0.3">
      <c r="A31" s="26"/>
      <c r="B31" s="26"/>
      <c r="C31" s="101"/>
      <c r="D31" s="101"/>
      <c r="E31" s="101"/>
      <c r="F31" s="27"/>
      <c r="G31" s="27"/>
      <c r="H31" s="80"/>
      <c r="I31" s="101"/>
      <c r="N31" s="28"/>
      <c r="O31" s="28"/>
      <c r="P31" s="29"/>
      <c r="Q31" s="29"/>
      <c r="R31" s="30"/>
      <c r="S31" s="30"/>
      <c r="T31" s="102"/>
      <c r="U31" s="103"/>
    </row>
    <row r="32" spans="1:21" x14ac:dyDescent="0.3">
      <c r="A32" s="146" t="s">
        <v>72</v>
      </c>
      <c r="B32" s="26"/>
      <c r="C32" s="101"/>
      <c r="D32" s="101"/>
      <c r="E32" s="101"/>
      <c r="F32" s="27"/>
      <c r="G32" s="27"/>
      <c r="H32" s="80"/>
      <c r="I32" s="101"/>
      <c r="N32" s="28"/>
      <c r="O32" s="28"/>
      <c r="P32" s="29"/>
      <c r="Q32" s="29"/>
      <c r="R32" s="30"/>
      <c r="S32" s="30"/>
      <c r="T32" s="102"/>
      <c r="U32" s="103"/>
    </row>
    <row r="33" spans="1:21" x14ac:dyDescent="0.3">
      <c r="A33" s="146"/>
      <c r="B33" s="26"/>
      <c r="C33" s="101"/>
      <c r="D33" s="101"/>
      <c r="E33" s="101"/>
      <c r="F33" s="27"/>
      <c r="G33" s="27"/>
      <c r="H33" s="80"/>
      <c r="I33" s="101"/>
      <c r="N33" s="28"/>
      <c r="O33" s="28"/>
      <c r="P33" s="29"/>
      <c r="Q33" s="29"/>
      <c r="R33" s="30"/>
      <c r="S33" s="30"/>
      <c r="T33" s="102"/>
      <c r="U33" s="103"/>
    </row>
    <row r="34" spans="1:21" hidden="1" x14ac:dyDescent="0.3">
      <c r="A34" s="146"/>
      <c r="B34" s="26"/>
      <c r="C34" s="101"/>
      <c r="D34" s="101"/>
      <c r="E34" s="101"/>
      <c r="F34" s="885" t="s">
        <v>232</v>
      </c>
      <c r="G34" s="885"/>
      <c r="H34" s="885"/>
      <c r="I34" s="101"/>
      <c r="N34" s="28"/>
      <c r="O34" s="28"/>
      <c r="P34" s="29"/>
      <c r="Q34" s="29"/>
      <c r="R34" s="30"/>
      <c r="S34" s="30"/>
      <c r="T34" s="102"/>
      <c r="U34" s="103"/>
    </row>
    <row r="35" spans="1:21" hidden="1" x14ac:dyDescent="0.3">
      <c r="A35" s="3"/>
      <c r="B35" s="69"/>
      <c r="C35" s="69"/>
      <c r="D35" s="69"/>
      <c r="E35" s="69"/>
      <c r="F35" s="885"/>
      <c r="G35" s="885"/>
      <c r="H35" s="885"/>
      <c r="I35" s="24" t="s">
        <v>61</v>
      </c>
      <c r="N35" s="822" t="s">
        <v>26</v>
      </c>
      <c r="O35" s="822"/>
      <c r="P35" s="822"/>
      <c r="Q35" s="822"/>
      <c r="R35" s="822"/>
      <c r="S35" s="822"/>
      <c r="T35" s="822"/>
      <c r="U35" s="25" t="str">
        <f>I35</f>
        <v>2015-16</v>
      </c>
    </row>
    <row r="36" spans="1:21" hidden="1" x14ac:dyDescent="0.3">
      <c r="A36" s="26"/>
      <c r="B36" s="26"/>
      <c r="C36" s="88" t="s">
        <v>93</v>
      </c>
      <c r="D36" s="88" t="s">
        <v>94</v>
      </c>
      <c r="E36" s="89" t="s">
        <v>8</v>
      </c>
      <c r="F36" s="885"/>
      <c r="G36" s="885"/>
      <c r="H36" s="885"/>
      <c r="I36" s="24" t="s">
        <v>27</v>
      </c>
      <c r="N36" s="28"/>
      <c r="O36" s="28"/>
      <c r="P36" s="29"/>
      <c r="Q36" s="29"/>
      <c r="R36" s="30"/>
      <c r="S36" s="30"/>
      <c r="T36" s="102"/>
      <c r="U36" s="25" t="s">
        <v>27</v>
      </c>
    </row>
    <row r="37" spans="1:21" ht="27.6" hidden="1" x14ac:dyDescent="0.3">
      <c r="A37" s="796" t="s">
        <v>50</v>
      </c>
      <c r="B37" s="796"/>
      <c r="C37" s="90" t="s">
        <v>2</v>
      </c>
      <c r="D37" s="90" t="s">
        <v>2</v>
      </c>
      <c r="E37" s="90" t="s">
        <v>2</v>
      </c>
      <c r="F37" s="886"/>
      <c r="G37" s="886"/>
      <c r="H37" s="886"/>
      <c r="I37" s="31" t="s">
        <v>457</v>
      </c>
      <c r="N37" s="856" t="s">
        <v>50</v>
      </c>
      <c r="O37" s="856"/>
      <c r="P37" s="857" t="s">
        <v>19</v>
      </c>
      <c r="Q37" s="857"/>
      <c r="R37" s="857"/>
      <c r="S37" s="857"/>
      <c r="T37" s="857"/>
      <c r="U37" s="19" t="str">
        <f>I37</f>
        <v>(WFTE x BSA x CWF x SDF)</v>
      </c>
    </row>
    <row r="38" spans="1:21" hidden="1" x14ac:dyDescent="0.3">
      <c r="A38" s="797" t="s">
        <v>45</v>
      </c>
      <c r="B38" s="797"/>
      <c r="C38" s="147">
        <v>0</v>
      </c>
      <c r="D38" s="147">
        <v>0</v>
      </c>
      <c r="E38" s="187">
        <f t="shared" ref="E38:E43" si="6">IF(D$44=0,C38*2,C38+D38)</f>
        <v>0</v>
      </c>
      <c r="F38" s="148"/>
      <c r="G38" s="148"/>
      <c r="H38" s="148"/>
      <c r="I38" s="111">
        <f>ROUND(ROUND(ROUND(E38*$C$8,4)*($H$8),2)*(MAX($H$9,1)),2)</f>
        <v>0</v>
      </c>
      <c r="N38" s="858" t="s">
        <v>45</v>
      </c>
      <c r="O38" s="858"/>
      <c r="P38" s="820">
        <f t="shared" ref="P38:P43" si="7">IF($H$133=1,E38,0)</f>
        <v>0</v>
      </c>
      <c r="Q38" s="820"/>
      <c r="R38" s="820"/>
      <c r="S38" s="820"/>
      <c r="T38" s="820"/>
      <c r="U38" s="98">
        <f>ROUND(ROUND(ROUND(P38*$C$8,4)*($H$8),2)*(MAX($H$9,1)),2)</f>
        <v>0</v>
      </c>
    </row>
    <row r="39" spans="1:21" hidden="1" x14ac:dyDescent="0.3">
      <c r="A39" s="776" t="s">
        <v>46</v>
      </c>
      <c r="B39" s="776"/>
      <c r="C39" s="150">
        <v>0</v>
      </c>
      <c r="D39" s="150">
        <v>0</v>
      </c>
      <c r="E39" s="116">
        <f t="shared" si="6"/>
        <v>0</v>
      </c>
      <c r="F39" s="151"/>
      <c r="G39" s="151"/>
      <c r="H39" s="151"/>
      <c r="I39" s="101">
        <f t="shared" ref="I39:I43" si="8">ROUND(ROUND(ROUND(E39*$C$8,4)*($H$8),2)*(MAX($H$9,1)),2)</f>
        <v>0</v>
      </c>
      <c r="N39" s="818" t="s">
        <v>46</v>
      </c>
      <c r="O39" s="818"/>
      <c r="P39" s="820">
        <f t="shared" si="7"/>
        <v>0</v>
      </c>
      <c r="Q39" s="820"/>
      <c r="R39" s="820"/>
      <c r="S39" s="820"/>
      <c r="T39" s="820"/>
      <c r="U39" s="98">
        <f t="shared" ref="U39:U43" si="9">ROUND(ROUND(ROUND(P39*$C$8,4)*($H$8),2)*(MAX($H$9,1)),2)</f>
        <v>0</v>
      </c>
    </row>
    <row r="40" spans="1:21" hidden="1" x14ac:dyDescent="0.3">
      <c r="A40" s="783" t="s">
        <v>47</v>
      </c>
      <c r="B40" s="783"/>
      <c r="C40" s="150">
        <v>0</v>
      </c>
      <c r="D40" s="150">
        <v>0</v>
      </c>
      <c r="E40" s="116">
        <f t="shared" si="6"/>
        <v>0</v>
      </c>
      <c r="F40" s="151"/>
      <c r="G40" s="151"/>
      <c r="H40" s="151"/>
      <c r="I40" s="101">
        <f t="shared" si="8"/>
        <v>0</v>
      </c>
      <c r="N40" s="853" t="s">
        <v>47</v>
      </c>
      <c r="O40" s="853"/>
      <c r="P40" s="820">
        <f t="shared" si="7"/>
        <v>0</v>
      </c>
      <c r="Q40" s="820"/>
      <c r="R40" s="820"/>
      <c r="S40" s="820"/>
      <c r="T40" s="820"/>
      <c r="U40" s="98">
        <f t="shared" si="9"/>
        <v>0</v>
      </c>
    </row>
    <row r="41" spans="1:21" hidden="1" x14ac:dyDescent="0.3">
      <c r="A41" s="776" t="s">
        <v>48</v>
      </c>
      <c r="B41" s="776"/>
      <c r="C41" s="150">
        <v>0</v>
      </c>
      <c r="D41" s="150">
        <v>0</v>
      </c>
      <c r="E41" s="116">
        <f t="shared" si="6"/>
        <v>0</v>
      </c>
      <c r="F41" s="151"/>
      <c r="G41" s="151"/>
      <c r="H41" s="151"/>
      <c r="I41" s="101">
        <f t="shared" si="8"/>
        <v>0</v>
      </c>
      <c r="N41" s="818" t="s">
        <v>48</v>
      </c>
      <c r="O41" s="818"/>
      <c r="P41" s="820">
        <f t="shared" si="7"/>
        <v>0</v>
      </c>
      <c r="Q41" s="820"/>
      <c r="R41" s="820"/>
      <c r="S41" s="820"/>
      <c r="T41" s="820"/>
      <c r="U41" s="98">
        <f t="shared" si="9"/>
        <v>0</v>
      </c>
    </row>
    <row r="42" spans="1:21" hidden="1" x14ac:dyDescent="0.3">
      <c r="A42" s="776" t="s">
        <v>49</v>
      </c>
      <c r="B42" s="776"/>
      <c r="C42" s="150">
        <v>0</v>
      </c>
      <c r="D42" s="150">
        <v>0</v>
      </c>
      <c r="E42" s="116">
        <f t="shared" si="6"/>
        <v>0</v>
      </c>
      <c r="F42" s="151"/>
      <c r="G42" s="151"/>
      <c r="H42" s="151"/>
      <c r="I42" s="101">
        <f t="shared" si="8"/>
        <v>0</v>
      </c>
      <c r="N42" s="818" t="s">
        <v>49</v>
      </c>
      <c r="O42" s="818"/>
      <c r="P42" s="820">
        <f t="shared" si="7"/>
        <v>0</v>
      </c>
      <c r="Q42" s="820"/>
      <c r="R42" s="820"/>
      <c r="S42" s="820"/>
      <c r="T42" s="820"/>
      <c r="U42" s="98">
        <f t="shared" si="9"/>
        <v>0</v>
      </c>
    </row>
    <row r="43" spans="1:21" hidden="1" x14ac:dyDescent="0.3">
      <c r="A43" s="776" t="s">
        <v>41</v>
      </c>
      <c r="B43" s="776"/>
      <c r="C43" s="149">
        <v>0</v>
      </c>
      <c r="D43" s="149">
        <v>0</v>
      </c>
      <c r="E43" s="154">
        <f t="shared" si="6"/>
        <v>0</v>
      </c>
      <c r="F43" s="151"/>
      <c r="G43" s="151"/>
      <c r="H43" s="151"/>
      <c r="I43" s="94">
        <f t="shared" si="8"/>
        <v>0</v>
      </c>
      <c r="N43" s="819" t="s">
        <v>41</v>
      </c>
      <c r="O43" s="819"/>
      <c r="P43" s="820">
        <f t="shared" si="7"/>
        <v>0</v>
      </c>
      <c r="Q43" s="820"/>
      <c r="R43" s="820"/>
      <c r="S43" s="820"/>
      <c r="T43" s="820"/>
      <c r="U43" s="98">
        <f t="shared" si="9"/>
        <v>0</v>
      </c>
    </row>
    <row r="44" spans="1:21" hidden="1" x14ac:dyDescent="0.3">
      <c r="A44" s="3"/>
      <c r="B44" s="52" t="s">
        <v>95</v>
      </c>
      <c r="C44" s="97">
        <f>SUM(C38:C43)</f>
        <v>0</v>
      </c>
      <c r="D44" s="97">
        <f>SUM(D38:D43)</f>
        <v>0</v>
      </c>
      <c r="E44" s="97">
        <f>SUM(E38:E43)</f>
        <v>0</v>
      </c>
      <c r="F44" s="32"/>
      <c r="G44" s="106"/>
      <c r="H44" s="107" t="s">
        <v>97</v>
      </c>
      <c r="I44" s="97">
        <f>SUM(I38:I43)</f>
        <v>0</v>
      </c>
      <c r="N44" s="847" t="s">
        <v>43</v>
      </c>
      <c r="O44" s="847"/>
      <c r="P44" s="847"/>
      <c r="Q44" s="847"/>
      <c r="R44" s="33">
        <f>SUM(P38:R43)</f>
        <v>0</v>
      </c>
      <c r="S44" s="852" t="s">
        <v>51</v>
      </c>
      <c r="T44" s="852"/>
      <c r="U44" s="103">
        <f>SUM(U38:U43)</f>
        <v>0</v>
      </c>
    </row>
    <row r="45" spans="1:21" ht="16.2" hidden="1" thickBot="1" x14ac:dyDescent="0.35">
      <c r="A45" s="3"/>
      <c r="B45" s="52"/>
      <c r="C45" s="101"/>
      <c r="D45" s="101"/>
      <c r="E45" s="111"/>
      <c r="F45" s="32"/>
      <c r="G45" s="106"/>
      <c r="H45" s="107"/>
      <c r="I45" s="101"/>
      <c r="N45" s="28"/>
      <c r="O45" s="28"/>
      <c r="P45" s="28"/>
      <c r="Q45" s="28"/>
      <c r="R45" s="33"/>
      <c r="S45" s="30"/>
      <c r="T45" s="30"/>
      <c r="U45" s="103"/>
    </row>
    <row r="46" spans="1:21" ht="16.2" hidden="1" thickBot="1" x14ac:dyDescent="0.35">
      <c r="A46" s="3"/>
      <c r="B46" s="52" t="s">
        <v>96</v>
      </c>
      <c r="E46" s="152">
        <f>H30+E44</f>
        <v>103.0759</v>
      </c>
      <c r="F46" s="34"/>
      <c r="G46" s="106"/>
      <c r="H46" s="107" t="s">
        <v>98</v>
      </c>
      <c r="I46" s="94">
        <f>SUM(I44,I30)</f>
        <v>571914.97000000009</v>
      </c>
      <c r="N46" s="847" t="s">
        <v>44</v>
      </c>
      <c r="O46" s="847"/>
      <c r="P46" s="847"/>
      <c r="Q46" s="847"/>
      <c r="R46" s="35">
        <f>R44+T30</f>
        <v>0</v>
      </c>
      <c r="S46" s="852" t="s">
        <v>42</v>
      </c>
      <c r="T46" s="852"/>
      <c r="U46" s="108">
        <f>SUM(U44,U30)</f>
        <v>0</v>
      </c>
    </row>
    <row r="47" spans="1:21" ht="16.2" hidden="1" thickTop="1" x14ac:dyDescent="0.3">
      <c r="A47" s="26"/>
      <c r="B47" s="26"/>
      <c r="C47" s="26"/>
      <c r="D47" s="26"/>
      <c r="E47" s="26"/>
      <c r="F47" s="34"/>
      <c r="G47" s="27"/>
      <c r="H47" s="27"/>
      <c r="I47" s="101"/>
      <c r="N47" s="28"/>
      <c r="O47" s="28"/>
      <c r="P47" s="28"/>
      <c r="Q47" s="28"/>
      <c r="R47" s="35"/>
      <c r="S47" s="30"/>
      <c r="T47" s="30"/>
      <c r="U47" s="103"/>
    </row>
    <row r="48" spans="1:21" x14ac:dyDescent="0.3">
      <c r="A48" s="81" t="s">
        <v>458</v>
      </c>
      <c r="B48" s="26"/>
      <c r="C48" s="26"/>
      <c r="D48" s="26"/>
      <c r="E48" s="26"/>
      <c r="F48" s="34"/>
      <c r="G48" s="27"/>
      <c r="H48" s="27"/>
      <c r="I48" s="101"/>
      <c r="N48" s="434" t="s">
        <v>458</v>
      </c>
      <c r="O48" s="28"/>
      <c r="P48" s="28"/>
      <c r="Q48" s="28"/>
      <c r="R48" s="35"/>
      <c r="S48" s="30"/>
      <c r="T48" s="30"/>
      <c r="U48" s="453"/>
    </row>
    <row r="49" spans="1:22" s="442" customFormat="1" ht="9" customHeight="1" x14ac:dyDescent="0.25">
      <c r="A49" s="531" t="s">
        <v>459</v>
      </c>
      <c r="F49" s="443"/>
      <c r="G49" s="444"/>
      <c r="H49" s="444"/>
      <c r="I49" s="445"/>
      <c r="N49" s="454" t="s">
        <v>459</v>
      </c>
      <c r="O49" s="446"/>
      <c r="P49" s="446"/>
      <c r="Q49" s="446"/>
      <c r="R49" s="447"/>
      <c r="S49" s="448"/>
      <c r="T49" s="448"/>
      <c r="U49" s="455"/>
    </row>
    <row r="50" spans="1:22" s="442" customFormat="1" ht="11.25" customHeight="1" x14ac:dyDescent="0.25">
      <c r="A50" s="533" t="s">
        <v>460</v>
      </c>
      <c r="F50" s="443"/>
      <c r="G50" s="444"/>
      <c r="H50" s="444"/>
      <c r="I50" s="445"/>
      <c r="N50" s="456" t="s">
        <v>460</v>
      </c>
      <c r="O50" s="446"/>
      <c r="P50" s="446"/>
      <c r="Q50" s="446"/>
      <c r="R50" s="447"/>
      <c r="S50" s="448"/>
      <c r="T50" s="448"/>
      <c r="U50" s="455"/>
    </row>
    <row r="51" spans="1:22" x14ac:dyDescent="0.3">
      <c r="A51" s="440"/>
      <c r="B51" s="450" t="s">
        <v>577</v>
      </c>
      <c r="C51" s="26"/>
      <c r="D51" s="26"/>
      <c r="E51" s="43" t="s">
        <v>461</v>
      </c>
      <c r="F51" s="451">
        <v>385027.05</v>
      </c>
      <c r="G51" s="109" t="s">
        <v>6</v>
      </c>
      <c r="H51" s="452">
        <v>5.5899999999999998E-2</v>
      </c>
      <c r="I51" s="101">
        <f>ROUND(F51*H51,2)</f>
        <v>21523.01</v>
      </c>
      <c r="N51" s="457"/>
      <c r="O51" s="458" t="s">
        <v>576</v>
      </c>
      <c r="P51" s="28"/>
      <c r="Q51" s="44" t="s">
        <v>461</v>
      </c>
      <c r="R51" s="459">
        <f>U30</f>
        <v>0</v>
      </c>
      <c r="S51" s="460" t="s">
        <v>6</v>
      </c>
      <c r="T51" s="461">
        <v>5.5899999999999998E-2</v>
      </c>
      <c r="U51" s="453">
        <f>ROUND(R51*T51,2)</f>
        <v>0</v>
      </c>
    </row>
    <row r="52" spans="1:22" x14ac:dyDescent="0.3">
      <c r="A52" s="26"/>
      <c r="B52" s="617" t="s">
        <v>580</v>
      </c>
      <c r="C52" s="26"/>
      <c r="D52" s="26"/>
      <c r="E52" s="43" t="s">
        <v>461</v>
      </c>
      <c r="F52" s="451">
        <v>385027.05</v>
      </c>
      <c r="G52" s="109" t="s">
        <v>6</v>
      </c>
      <c r="H52" s="452">
        <v>1.0699999999999999E-2</v>
      </c>
      <c r="I52" s="101">
        <f>ROUND(F52*H52,2)</f>
        <v>4119.79</v>
      </c>
      <c r="N52" s="28"/>
      <c r="O52" s="618" t="s">
        <v>579</v>
      </c>
      <c r="P52" s="28"/>
      <c r="Q52" s="44" t="s">
        <v>461</v>
      </c>
      <c r="R52" s="459">
        <f>U30</f>
        <v>0</v>
      </c>
      <c r="S52" s="460" t="s">
        <v>6</v>
      </c>
      <c r="T52" s="461">
        <v>1.0699999999999999E-2</v>
      </c>
      <c r="U52" s="462">
        <f>ROUND(R52*T52,2)</f>
        <v>0</v>
      </c>
    </row>
    <row r="53" spans="1:22" x14ac:dyDescent="0.3">
      <c r="A53" s="26"/>
      <c r="B53" s="81" t="s">
        <v>462</v>
      </c>
      <c r="C53" s="26"/>
      <c r="D53" s="26"/>
      <c r="E53" s="43"/>
      <c r="F53" s="451"/>
      <c r="G53" s="109"/>
      <c r="H53" s="452"/>
      <c r="I53" s="97">
        <f>SUM(I51:I52)</f>
        <v>25642.799999999999</v>
      </c>
      <c r="N53" s="28"/>
      <c r="O53" s="434" t="s">
        <v>462</v>
      </c>
      <c r="P53" s="28"/>
      <c r="Q53" s="44"/>
      <c r="R53" s="459"/>
      <c r="S53" s="460"/>
      <c r="T53" s="461"/>
      <c r="U53" s="453">
        <f>SUM(U51:U52)</f>
        <v>0</v>
      </c>
    </row>
    <row r="54" spans="1:22" x14ac:dyDescent="0.3">
      <c r="C54" s="3" t="str">
        <f>'1461'!C54</f>
        <v/>
      </c>
      <c r="D54" s="3" t="str">
        <f>'1461'!D54</f>
        <v/>
      </c>
      <c r="G54" s="42"/>
      <c r="H54" s="114"/>
      <c r="I54" s="114"/>
      <c r="N54" s="496"/>
      <c r="O54" s="51"/>
      <c r="P54" s="51" t="str">
        <f>'1461'!P54</f>
        <v/>
      </c>
      <c r="Q54" s="51" t="str">
        <f>'1461'!Q54</f>
        <v/>
      </c>
      <c r="R54" s="51"/>
      <c r="S54" s="51"/>
      <c r="T54" s="512"/>
      <c r="U54" s="513"/>
      <c r="V54" s="114"/>
    </row>
    <row r="55" spans="1:22" x14ac:dyDescent="0.3">
      <c r="A55" s="495"/>
      <c r="B55" s="495"/>
      <c r="C55" s="88" t="str">
        <f>'1461'!C55</f>
        <v>Oct 2024</v>
      </c>
      <c r="D55" s="348" t="str">
        <f>'1461'!D55</f>
        <v>Feb 2025</v>
      </c>
      <c r="E55" s="89" t="s">
        <v>8</v>
      </c>
      <c r="F55" s="46" t="s">
        <v>499</v>
      </c>
      <c r="G55" s="109" t="s">
        <v>500</v>
      </c>
      <c r="H55" s="504" t="s">
        <v>501</v>
      </c>
      <c r="I55" s="101"/>
      <c r="N55" s="498"/>
      <c r="O55" s="498"/>
      <c r="P55" s="514"/>
      <c r="Q55" s="515"/>
      <c r="R55" s="516"/>
      <c r="S55" s="518" t="s">
        <v>500</v>
      </c>
      <c r="T55" s="519" t="s">
        <v>501</v>
      </c>
      <c r="U55" s="517"/>
      <c r="V55" s="474"/>
    </row>
    <row r="56" spans="1:22" x14ac:dyDescent="0.3">
      <c r="A56" s="36" t="s">
        <v>502</v>
      </c>
      <c r="B56" s="36"/>
      <c r="C56" s="339" t="str">
        <f>'1461'!C56</f>
        <v>FTE</v>
      </c>
      <c r="D56" s="339" t="str">
        <f>'1461'!D56</f>
        <v>FTE</v>
      </c>
      <c r="E56" s="90" t="s">
        <v>2</v>
      </c>
      <c r="F56" s="489" t="s">
        <v>503</v>
      </c>
      <c r="G56" s="491" t="s">
        <v>503</v>
      </c>
      <c r="H56" s="505" t="s">
        <v>504</v>
      </c>
      <c r="I56" s="36"/>
      <c r="N56" s="509" t="s">
        <v>502</v>
      </c>
      <c r="O56" s="509"/>
      <c r="P56" s="848" t="s">
        <v>2</v>
      </c>
      <c r="Q56" s="848"/>
      <c r="R56" s="509" t="s">
        <v>508</v>
      </c>
      <c r="S56" s="500" t="s">
        <v>503</v>
      </c>
      <c r="T56" s="520" t="s">
        <v>504</v>
      </c>
      <c r="U56" s="509"/>
      <c r="V56" s="508"/>
    </row>
    <row r="57" spans="1:22" x14ac:dyDescent="0.3">
      <c r="A57" s="791" t="s">
        <v>506</v>
      </c>
      <c r="B57" s="791"/>
      <c r="C57" s="143">
        <v>0</v>
      </c>
      <c r="D57" s="143">
        <v>0</v>
      </c>
      <c r="E57" s="116">
        <f t="shared" ref="E57:E65" si="10">IF(D$66=0,C57*2,C57+D57)</f>
        <v>0</v>
      </c>
      <c r="F57" s="493" t="s">
        <v>498</v>
      </c>
      <c r="G57" s="493">
        <v>251</v>
      </c>
      <c r="H57" s="507">
        <f>'1461'!H57</f>
        <v>1047</v>
      </c>
      <c r="I57" s="101">
        <f>ROUND(E57*H57,2)</f>
        <v>0</v>
      </c>
      <c r="N57" s="849" t="s">
        <v>506</v>
      </c>
      <c r="O57" s="849"/>
      <c r="P57" s="851"/>
      <c r="Q57" s="851"/>
      <c r="R57" s="499" t="s">
        <v>498</v>
      </c>
      <c r="S57" s="499">
        <v>251</v>
      </c>
      <c r="T57" s="510">
        <f>H57</f>
        <v>1047</v>
      </c>
      <c r="U57" s="524">
        <f>ROUND(P57*T57,2)</f>
        <v>0</v>
      </c>
      <c r="V57" s="474"/>
    </row>
    <row r="58" spans="1:22" x14ac:dyDescent="0.3">
      <c r="A58" s="792"/>
      <c r="B58" s="792"/>
      <c r="C58" s="143">
        <v>0</v>
      </c>
      <c r="D58" s="143">
        <v>0</v>
      </c>
      <c r="E58" s="116">
        <f t="shared" si="10"/>
        <v>0</v>
      </c>
      <c r="F58" s="493" t="s">
        <v>498</v>
      </c>
      <c r="G58" s="493">
        <v>252</v>
      </c>
      <c r="H58" s="507">
        <f>'1461'!H58</f>
        <v>3380</v>
      </c>
      <c r="I58" s="101">
        <f t="shared" ref="I58:I65" si="11">ROUND(E58*H58,2)</f>
        <v>0</v>
      </c>
      <c r="N58" s="850"/>
      <c r="O58" s="850"/>
      <c r="P58" s="844"/>
      <c r="Q58" s="844"/>
      <c r="R58" s="499" t="s">
        <v>498</v>
      </c>
      <c r="S58" s="499">
        <v>252</v>
      </c>
      <c r="T58" s="510">
        <f t="shared" ref="T58:T65" si="12">H58</f>
        <v>3380</v>
      </c>
      <c r="U58" s="524">
        <f t="shared" ref="U58:U65" si="13">ROUND(P58*T58,2)</f>
        <v>0</v>
      </c>
      <c r="V58" s="474"/>
    </row>
    <row r="59" spans="1:22" x14ac:dyDescent="0.3">
      <c r="A59" s="792"/>
      <c r="B59" s="792"/>
      <c r="C59" s="143">
        <v>0</v>
      </c>
      <c r="D59" s="143">
        <v>0</v>
      </c>
      <c r="E59" s="116">
        <f t="shared" si="10"/>
        <v>0</v>
      </c>
      <c r="F59" s="493" t="s">
        <v>498</v>
      </c>
      <c r="G59" s="493">
        <v>253</v>
      </c>
      <c r="H59" s="507">
        <f>'1461'!H59</f>
        <v>6896</v>
      </c>
      <c r="I59" s="101">
        <f t="shared" si="11"/>
        <v>0</v>
      </c>
      <c r="N59" s="850"/>
      <c r="O59" s="850"/>
      <c r="P59" s="844"/>
      <c r="Q59" s="844"/>
      <c r="R59" s="499" t="s">
        <v>498</v>
      </c>
      <c r="S59" s="499">
        <v>253</v>
      </c>
      <c r="T59" s="510">
        <f t="shared" si="12"/>
        <v>6896</v>
      </c>
      <c r="U59" s="524">
        <f t="shared" si="13"/>
        <v>0</v>
      </c>
      <c r="V59" s="474"/>
    </row>
    <row r="60" spans="1:22" x14ac:dyDescent="0.3">
      <c r="A60" s="792"/>
      <c r="B60" s="792"/>
      <c r="C60" s="143">
        <v>0</v>
      </c>
      <c r="D60" s="143">
        <v>0</v>
      </c>
      <c r="E60" s="116">
        <f t="shared" si="10"/>
        <v>0</v>
      </c>
      <c r="F60" s="494" t="s">
        <v>13</v>
      </c>
      <c r="G60" s="493">
        <v>251</v>
      </c>
      <c r="H60" s="507">
        <f>'1461'!H60</f>
        <v>1173</v>
      </c>
      <c r="I60" s="101">
        <f t="shared" si="11"/>
        <v>0</v>
      </c>
      <c r="N60" s="850"/>
      <c r="O60" s="850"/>
      <c r="P60" s="844"/>
      <c r="Q60" s="844"/>
      <c r="R60" s="40" t="s">
        <v>13</v>
      </c>
      <c r="S60" s="499">
        <v>251</v>
      </c>
      <c r="T60" s="510">
        <f t="shared" si="12"/>
        <v>1173</v>
      </c>
      <c r="U60" s="524">
        <f t="shared" si="13"/>
        <v>0</v>
      </c>
      <c r="V60" s="474"/>
    </row>
    <row r="61" spans="1:22" x14ac:dyDescent="0.3">
      <c r="A61" s="792"/>
      <c r="B61" s="792"/>
      <c r="C61" s="143">
        <v>0</v>
      </c>
      <c r="D61" s="143">
        <v>0</v>
      </c>
      <c r="E61" s="116">
        <f t="shared" si="10"/>
        <v>0</v>
      </c>
      <c r="F61" s="494" t="s">
        <v>13</v>
      </c>
      <c r="G61" s="493">
        <v>252</v>
      </c>
      <c r="H61" s="507">
        <f>'1461'!H61</f>
        <v>3506</v>
      </c>
      <c r="I61" s="101">
        <f t="shared" si="11"/>
        <v>0</v>
      </c>
      <c r="N61" s="850"/>
      <c r="O61" s="850"/>
      <c r="P61" s="844"/>
      <c r="Q61" s="844"/>
      <c r="R61" s="40" t="s">
        <v>13</v>
      </c>
      <c r="S61" s="499">
        <v>252</v>
      </c>
      <c r="T61" s="510">
        <f t="shared" si="12"/>
        <v>3506</v>
      </c>
      <c r="U61" s="524">
        <f t="shared" si="13"/>
        <v>0</v>
      </c>
      <c r="V61" s="474"/>
    </row>
    <row r="62" spans="1:22" x14ac:dyDescent="0.3">
      <c r="A62" s="792"/>
      <c r="B62" s="792"/>
      <c r="C62" s="143">
        <v>0</v>
      </c>
      <c r="D62" s="143">
        <v>0</v>
      </c>
      <c r="E62" s="116">
        <f t="shared" si="10"/>
        <v>0</v>
      </c>
      <c r="F62" s="494" t="s">
        <v>13</v>
      </c>
      <c r="G62" s="493">
        <v>253</v>
      </c>
      <c r="H62" s="507">
        <f>'1461'!H62</f>
        <v>7023</v>
      </c>
      <c r="I62" s="101">
        <f t="shared" si="11"/>
        <v>0</v>
      </c>
      <c r="N62" s="850"/>
      <c r="O62" s="850"/>
      <c r="P62" s="844"/>
      <c r="Q62" s="844"/>
      <c r="R62" s="40" t="s">
        <v>13</v>
      </c>
      <c r="S62" s="499">
        <v>253</v>
      </c>
      <c r="T62" s="510">
        <f t="shared" si="12"/>
        <v>7023</v>
      </c>
      <c r="U62" s="524">
        <f t="shared" si="13"/>
        <v>0</v>
      </c>
      <c r="V62" s="474"/>
    </row>
    <row r="63" spans="1:22" x14ac:dyDescent="0.3">
      <c r="A63" s="792"/>
      <c r="B63" s="792"/>
      <c r="C63" s="143">
        <v>7.7</v>
      </c>
      <c r="D63" s="143">
        <v>7.61</v>
      </c>
      <c r="E63" s="116">
        <f t="shared" si="10"/>
        <v>15.31</v>
      </c>
      <c r="F63" s="494" t="s">
        <v>14</v>
      </c>
      <c r="G63" s="493">
        <v>251</v>
      </c>
      <c r="H63" s="507">
        <f>'1461'!H63</f>
        <v>835</v>
      </c>
      <c r="I63" s="101">
        <f t="shared" si="11"/>
        <v>12783.85</v>
      </c>
      <c r="N63" s="850"/>
      <c r="O63" s="850"/>
      <c r="P63" s="844"/>
      <c r="Q63" s="844"/>
      <c r="R63" s="40" t="s">
        <v>14</v>
      </c>
      <c r="S63" s="499">
        <v>251</v>
      </c>
      <c r="T63" s="510">
        <f t="shared" si="12"/>
        <v>835</v>
      </c>
      <c r="U63" s="524">
        <f t="shared" si="13"/>
        <v>0</v>
      </c>
      <c r="V63" s="474"/>
    </row>
    <row r="64" spans="1:22" x14ac:dyDescent="0.3">
      <c r="A64" s="792"/>
      <c r="B64" s="792"/>
      <c r="C64" s="143">
        <v>0.5</v>
      </c>
      <c r="D64" s="143">
        <v>0.49</v>
      </c>
      <c r="E64" s="116">
        <f t="shared" si="10"/>
        <v>0.99</v>
      </c>
      <c r="F64" s="494" t="s">
        <v>14</v>
      </c>
      <c r="G64" s="493">
        <v>252</v>
      </c>
      <c r="H64" s="507">
        <f>'1461'!H64</f>
        <v>3168</v>
      </c>
      <c r="I64" s="101">
        <f t="shared" si="11"/>
        <v>3136.32</v>
      </c>
      <c r="N64" s="850"/>
      <c r="O64" s="850"/>
      <c r="P64" s="844"/>
      <c r="Q64" s="844"/>
      <c r="R64" s="40" t="s">
        <v>14</v>
      </c>
      <c r="S64" s="499">
        <v>252</v>
      </c>
      <c r="T64" s="510">
        <f t="shared" si="12"/>
        <v>3168</v>
      </c>
      <c r="U64" s="524">
        <f t="shared" si="13"/>
        <v>0</v>
      </c>
      <c r="V64" s="474"/>
    </row>
    <row r="65" spans="1:22" ht="16.2" thickBot="1" x14ac:dyDescent="0.35">
      <c r="A65" s="792"/>
      <c r="B65" s="792"/>
      <c r="C65" s="143">
        <v>0</v>
      </c>
      <c r="D65" s="143">
        <v>0</v>
      </c>
      <c r="E65" s="116">
        <f t="shared" si="10"/>
        <v>0</v>
      </c>
      <c r="F65" s="494" t="s">
        <v>14</v>
      </c>
      <c r="G65" s="493">
        <v>253</v>
      </c>
      <c r="H65" s="507">
        <f>'1461'!H65</f>
        <v>6685</v>
      </c>
      <c r="I65" s="101">
        <f t="shared" si="11"/>
        <v>0</v>
      </c>
      <c r="N65" s="850"/>
      <c r="O65" s="850"/>
      <c r="P65" s="845"/>
      <c r="Q65" s="845"/>
      <c r="R65" s="40" t="s">
        <v>14</v>
      </c>
      <c r="S65" s="499">
        <v>253</v>
      </c>
      <c r="T65" s="510">
        <f t="shared" si="12"/>
        <v>6685</v>
      </c>
      <c r="U65" s="525">
        <f t="shared" si="13"/>
        <v>0</v>
      </c>
      <c r="V65" s="474"/>
    </row>
    <row r="66" spans="1:22" ht="16.2" thickBot="1" x14ac:dyDescent="0.35">
      <c r="A66" s="490"/>
      <c r="C66" s="97">
        <f>SUM(C57:C65)</f>
        <v>8.1999999999999993</v>
      </c>
      <c r="D66" s="97">
        <f>SUM(D57:D65)</f>
        <v>8.1</v>
      </c>
      <c r="E66" s="97">
        <f>SUM(E57:E65)</f>
        <v>16.3</v>
      </c>
      <c r="F66" s="779" t="s">
        <v>507</v>
      </c>
      <c r="G66" s="779"/>
      <c r="H66" s="779"/>
      <c r="I66" s="97">
        <f>SUM(I57:I65)</f>
        <v>15920.17</v>
      </c>
      <c r="N66" s="496"/>
      <c r="O66" s="51"/>
      <c r="P66" s="846">
        <f>SUM(P57:P65)</f>
        <v>0</v>
      </c>
      <c r="Q66" s="846"/>
      <c r="R66" s="847" t="s">
        <v>507</v>
      </c>
      <c r="S66" s="847"/>
      <c r="T66" s="847"/>
      <c r="U66" s="526">
        <f>SUM(U57:U65)</f>
        <v>0</v>
      </c>
      <c r="V66" s="474"/>
    </row>
    <row r="67" spans="1:22" x14ac:dyDescent="0.3">
      <c r="A67" s="490"/>
      <c r="C67" s="101"/>
      <c r="D67" s="101"/>
      <c r="E67" s="101"/>
      <c r="F67" s="495"/>
      <c r="G67" s="495"/>
      <c r="H67" s="495"/>
      <c r="I67" s="101"/>
      <c r="N67" s="496"/>
      <c r="O67" s="496"/>
      <c r="P67" s="496"/>
      <c r="Q67" s="496"/>
      <c r="R67" s="496"/>
      <c r="S67" s="496"/>
      <c r="T67" s="497"/>
      <c r="U67" s="497"/>
    </row>
    <row r="68" spans="1:22" x14ac:dyDescent="0.3">
      <c r="A68" s="492" t="s">
        <v>509</v>
      </c>
      <c r="N68" s="503" t="s">
        <v>517</v>
      </c>
      <c r="O68" s="51"/>
      <c r="P68" s="51"/>
      <c r="Q68" s="51"/>
      <c r="R68" s="51"/>
      <c r="S68" s="51"/>
      <c r="T68" s="51"/>
      <c r="U68" s="51"/>
    </row>
    <row r="69" spans="1:22" x14ac:dyDescent="0.3">
      <c r="A69" s="775" t="s">
        <v>463</v>
      </c>
      <c r="B69" s="776"/>
      <c r="C69" s="112">
        <f>E30</f>
        <v>102.78</v>
      </c>
      <c r="D69" s="789" t="s">
        <v>474</v>
      </c>
      <c r="E69" s="789"/>
      <c r="F69" s="789"/>
      <c r="G69" s="789"/>
      <c r="H69" s="299">
        <f>'1461'!H69</f>
        <v>210166.87</v>
      </c>
      <c r="I69" s="113"/>
      <c r="N69" s="817" t="s">
        <v>467</v>
      </c>
      <c r="O69" s="818"/>
      <c r="P69" s="41">
        <f>P30</f>
        <v>0</v>
      </c>
      <c r="Q69" s="842" t="s">
        <v>469</v>
      </c>
      <c r="R69" s="843"/>
      <c r="S69" s="843"/>
      <c r="T69" s="831">
        <f>H69</f>
        <v>210166.87</v>
      </c>
      <c r="U69" s="831"/>
    </row>
    <row r="70" spans="1:22" x14ac:dyDescent="0.3">
      <c r="B70" s="69"/>
      <c r="G70" s="42" t="s">
        <v>12</v>
      </c>
      <c r="H70" s="114">
        <f>ROUND(C69/H69,6)</f>
        <v>4.8899999999999996E-4</v>
      </c>
      <c r="I70" s="115"/>
      <c r="N70" s="818"/>
      <c r="O70" s="818"/>
      <c r="P70" s="818"/>
      <c r="Q70" s="818"/>
      <c r="R70" s="818"/>
      <c r="S70" s="818"/>
      <c r="T70" s="836">
        <f>ROUND(P69/T69,6)</f>
        <v>0</v>
      </c>
      <c r="U70" s="836"/>
    </row>
    <row r="71" spans="1:22" x14ac:dyDescent="0.3">
      <c r="A71" s="492" t="s">
        <v>510</v>
      </c>
      <c r="N71" s="503" t="s">
        <v>518</v>
      </c>
      <c r="O71" s="51"/>
      <c r="P71" s="51"/>
      <c r="Q71" s="51"/>
      <c r="R71" s="51"/>
      <c r="S71" s="51"/>
      <c r="T71" s="51"/>
      <c r="U71" s="51"/>
    </row>
    <row r="72" spans="1:22" x14ac:dyDescent="0.3">
      <c r="A72" s="775" t="s">
        <v>464</v>
      </c>
      <c r="B72" s="776"/>
      <c r="C72" s="112">
        <f>H30</f>
        <v>103.0759</v>
      </c>
      <c r="D72" s="789" t="s">
        <v>475</v>
      </c>
      <c r="E72" s="789"/>
      <c r="F72" s="789"/>
      <c r="G72" s="789"/>
      <c r="H72" s="300">
        <f>'1461'!H72</f>
        <v>237198.6</v>
      </c>
      <c r="I72" s="116"/>
      <c r="N72" s="817" t="s">
        <v>468</v>
      </c>
      <c r="O72" s="818"/>
      <c r="P72" s="41">
        <f>T30</f>
        <v>0</v>
      </c>
      <c r="Q72" s="842" t="s">
        <v>470</v>
      </c>
      <c r="R72" s="843"/>
      <c r="S72" s="843"/>
      <c r="T72" s="831">
        <f>H72</f>
        <v>237198.6</v>
      </c>
      <c r="U72" s="831"/>
    </row>
    <row r="73" spans="1:22" x14ac:dyDescent="0.3">
      <c r="G73" s="42" t="s">
        <v>12</v>
      </c>
      <c r="H73" s="114">
        <f>ROUND(C72/H72,6)</f>
        <v>4.35E-4</v>
      </c>
      <c r="I73" s="114"/>
      <c r="N73" s="818"/>
      <c r="O73" s="818"/>
      <c r="P73" s="818"/>
      <c r="Q73" s="818"/>
      <c r="R73" s="818"/>
      <c r="S73" s="818"/>
      <c r="T73" s="836">
        <f>ROUND(P72/T72,6)</f>
        <v>0</v>
      </c>
      <c r="U73" s="836"/>
    </row>
    <row r="74" spans="1:22" x14ac:dyDescent="0.3">
      <c r="A74" s="467" t="s">
        <v>511</v>
      </c>
      <c r="B74" s="464"/>
      <c r="C74" s="464"/>
      <c r="D74" s="464"/>
      <c r="E74" s="464"/>
      <c r="F74" s="464"/>
      <c r="G74" s="464"/>
      <c r="H74" s="464"/>
      <c r="I74" s="464"/>
      <c r="N74" s="466" t="s">
        <v>519</v>
      </c>
      <c r="O74" s="465"/>
      <c r="P74" s="465"/>
      <c r="Q74" s="465"/>
      <c r="R74" s="465"/>
      <c r="S74" s="465"/>
      <c r="T74" s="465"/>
      <c r="U74" s="465"/>
      <c r="V74" s="464"/>
    </row>
    <row r="75" spans="1:22" x14ac:dyDescent="0.3">
      <c r="A75" s="775" t="s">
        <v>465</v>
      </c>
      <c r="B75" s="776"/>
      <c r="C75" s="112">
        <f>E30</f>
        <v>102.78</v>
      </c>
      <c r="D75" s="788" t="s">
        <v>476</v>
      </c>
      <c r="E75" s="788"/>
      <c r="F75" s="788"/>
      <c r="G75" s="788"/>
      <c r="H75" s="299">
        <f>'1461'!H75</f>
        <v>185588.37</v>
      </c>
      <c r="I75" s="113"/>
      <c r="N75" s="817" t="s">
        <v>466</v>
      </c>
      <c r="O75" s="818"/>
      <c r="P75" s="41">
        <f>P30</f>
        <v>0</v>
      </c>
      <c r="Q75" s="838" t="s">
        <v>471</v>
      </c>
      <c r="R75" s="839"/>
      <c r="S75" s="839"/>
      <c r="T75" s="831">
        <f>H75</f>
        <v>185588.37</v>
      </c>
      <c r="U75" s="831"/>
    </row>
    <row r="76" spans="1:22" x14ac:dyDescent="0.3">
      <c r="B76" s="69"/>
      <c r="G76" s="42" t="s">
        <v>12</v>
      </c>
      <c r="H76" s="114">
        <f>ROUND(C75/H75,6)</f>
        <v>5.5400000000000002E-4</v>
      </c>
      <c r="I76" s="115"/>
      <c r="N76" s="818"/>
      <c r="O76" s="818"/>
      <c r="P76" s="818"/>
      <c r="Q76" s="818"/>
      <c r="R76" s="818"/>
      <c r="S76" s="818"/>
      <c r="T76" s="836">
        <f>ROUND(P75/T75,6)</f>
        <v>0</v>
      </c>
      <c r="U76" s="836"/>
    </row>
    <row r="77" spans="1:22" x14ac:dyDescent="0.3">
      <c r="A77" s="467" t="s">
        <v>512</v>
      </c>
      <c r="B77" s="464"/>
      <c r="C77" s="464"/>
      <c r="D77" s="464"/>
      <c r="E77" s="464"/>
      <c r="F77" s="464"/>
      <c r="G77" s="464"/>
      <c r="H77" s="464"/>
      <c r="I77" s="464"/>
      <c r="N77" s="466" t="s">
        <v>520</v>
      </c>
      <c r="O77" s="465"/>
      <c r="P77" s="465"/>
      <c r="Q77" s="465"/>
      <c r="R77" s="465"/>
      <c r="S77" s="465"/>
      <c r="T77" s="465"/>
      <c r="U77" s="465"/>
      <c r="V77" s="464"/>
    </row>
    <row r="78" spans="1:22" x14ac:dyDescent="0.3">
      <c r="A78" s="775" t="s">
        <v>465</v>
      </c>
      <c r="B78" s="776"/>
      <c r="C78" s="112">
        <f>E30</f>
        <v>102.78</v>
      </c>
      <c r="D78" s="784" t="s">
        <v>477</v>
      </c>
      <c r="E78" s="784"/>
      <c r="F78" s="784"/>
      <c r="G78" s="784"/>
      <c r="H78" s="299">
        <f>'1461'!H78</f>
        <v>209834.86</v>
      </c>
      <c r="I78" s="113"/>
      <c r="N78" s="817" t="s">
        <v>466</v>
      </c>
      <c r="O78" s="818"/>
      <c r="P78" s="41">
        <f>P30</f>
        <v>0</v>
      </c>
      <c r="Q78" s="840" t="s">
        <v>472</v>
      </c>
      <c r="R78" s="841"/>
      <c r="S78" s="841"/>
      <c r="T78" s="831">
        <f>H78</f>
        <v>209834.86</v>
      </c>
      <c r="U78" s="831"/>
    </row>
    <row r="79" spans="1:22" x14ac:dyDescent="0.3">
      <c r="B79" s="69"/>
      <c r="G79" s="42" t="s">
        <v>12</v>
      </c>
      <c r="H79" s="114">
        <f>ROUND(C78/H78,6)</f>
        <v>4.8999999999999998E-4</v>
      </c>
      <c r="I79" s="115"/>
      <c r="N79" s="818"/>
      <c r="O79" s="818"/>
      <c r="P79" s="818"/>
      <c r="Q79" s="818"/>
      <c r="R79" s="818"/>
      <c r="S79" s="818"/>
      <c r="T79" s="836">
        <f>ROUND(P78/T78,6)</f>
        <v>0</v>
      </c>
      <c r="U79" s="836"/>
    </row>
    <row r="80" spans="1:22" x14ac:dyDescent="0.3">
      <c r="A80" s="467" t="s">
        <v>513</v>
      </c>
      <c r="B80" s="464"/>
      <c r="C80" s="464"/>
      <c r="D80" s="464"/>
      <c r="E80" s="464"/>
      <c r="F80" s="464"/>
      <c r="G80" s="464"/>
      <c r="H80" s="464"/>
      <c r="I80" s="464"/>
      <c r="N80" s="466" t="s">
        <v>521</v>
      </c>
      <c r="O80" s="465"/>
      <c r="P80" s="465"/>
      <c r="Q80" s="465"/>
      <c r="R80" s="465"/>
      <c r="S80" s="465"/>
      <c r="T80" s="465"/>
      <c r="U80" s="465"/>
      <c r="V80" s="464"/>
    </row>
    <row r="81" spans="1:21" x14ac:dyDescent="0.3">
      <c r="A81" s="775" t="s">
        <v>473</v>
      </c>
      <c r="B81" s="776"/>
      <c r="C81" s="112">
        <f>E30</f>
        <v>102.78</v>
      </c>
      <c r="D81" s="788" t="s">
        <v>478</v>
      </c>
      <c r="E81" s="788"/>
      <c r="F81" s="788"/>
      <c r="G81" s="788"/>
      <c r="H81" s="299">
        <f>'1461'!H81</f>
        <v>185256.36</v>
      </c>
      <c r="I81" s="113"/>
      <c r="N81" s="817" t="s">
        <v>479</v>
      </c>
      <c r="O81" s="818"/>
      <c r="P81" s="41">
        <f>P30</f>
        <v>0</v>
      </c>
      <c r="Q81" s="838" t="s">
        <v>480</v>
      </c>
      <c r="R81" s="839"/>
      <c r="S81" s="839"/>
      <c r="T81" s="831">
        <f>H81</f>
        <v>185256.36</v>
      </c>
      <c r="U81" s="831"/>
    </row>
    <row r="82" spans="1:21" x14ac:dyDescent="0.3">
      <c r="B82" s="69"/>
      <c r="G82" s="42" t="s">
        <v>12</v>
      </c>
      <c r="H82" s="114">
        <f>ROUND(C81/H81,6)</f>
        <v>5.5500000000000005E-4</v>
      </c>
      <c r="I82" s="115"/>
      <c r="N82" s="818"/>
      <c r="O82" s="818"/>
      <c r="P82" s="818"/>
      <c r="Q82" s="818"/>
      <c r="R82" s="818"/>
      <c r="S82" s="818"/>
      <c r="T82" s="836">
        <f>ROUND(P81/T81,6)</f>
        <v>0</v>
      </c>
      <c r="U82" s="836"/>
    </row>
    <row r="83" spans="1:21" x14ac:dyDescent="0.3">
      <c r="A83" s="490"/>
      <c r="G83" s="42"/>
      <c r="H83" s="114"/>
      <c r="I83" s="114"/>
      <c r="N83" s="496"/>
      <c r="O83" s="496"/>
      <c r="P83" s="496"/>
      <c r="Q83" s="496"/>
      <c r="R83" s="496"/>
      <c r="S83" s="496"/>
      <c r="T83" s="497"/>
      <c r="U83" s="497"/>
    </row>
    <row r="84" spans="1:21" x14ac:dyDescent="0.3">
      <c r="A84" s="490"/>
      <c r="G84" s="42"/>
      <c r="H84" s="114"/>
      <c r="I84" s="114"/>
      <c r="N84" s="496"/>
      <c r="O84" s="496"/>
      <c r="P84" s="496"/>
      <c r="Q84" s="496"/>
      <c r="R84" s="496"/>
      <c r="S84" s="496"/>
      <c r="T84" s="497"/>
      <c r="U84" s="497"/>
    </row>
    <row r="85" spans="1:21" x14ac:dyDescent="0.3">
      <c r="A85" s="492" t="s">
        <v>514</v>
      </c>
      <c r="D85" s="69"/>
      <c r="E85" s="43" t="s">
        <v>316</v>
      </c>
      <c r="F85" s="301">
        <f>'1461'!F85</f>
        <v>46151079</v>
      </c>
      <c r="G85" s="37" t="s">
        <v>6</v>
      </c>
      <c r="H85" s="472">
        <f>H79</f>
        <v>4.8999999999999998E-4</v>
      </c>
      <c r="I85" s="101">
        <f>ROUND(F85*H85,2)</f>
        <v>22614.03</v>
      </c>
      <c r="N85" s="503" t="s">
        <v>514</v>
      </c>
      <c r="O85" s="51"/>
      <c r="P85" s="51"/>
      <c r="Q85" s="44"/>
      <c r="R85" s="469">
        <f>F85</f>
        <v>46151079</v>
      </c>
      <c r="S85" s="38" t="s">
        <v>6</v>
      </c>
      <c r="T85" s="471">
        <f>T79</f>
        <v>0</v>
      </c>
      <c r="U85" s="523">
        <f>ROUND(R85*T85,2)</f>
        <v>0</v>
      </c>
    </row>
    <row r="86" spans="1:21" x14ac:dyDescent="0.3">
      <c r="A86" s="450"/>
      <c r="D86" s="69"/>
      <c r="E86" s="43"/>
      <c r="F86" s="117"/>
      <c r="G86" s="37"/>
      <c r="H86" s="472"/>
      <c r="I86" s="101"/>
      <c r="N86" s="51"/>
      <c r="O86" s="51"/>
      <c r="P86" s="51"/>
      <c r="Q86" s="44"/>
      <c r="R86" s="470"/>
      <c r="S86" s="38"/>
      <c r="T86" s="471"/>
      <c r="U86" s="527"/>
    </row>
    <row r="87" spans="1:21" x14ac:dyDescent="0.3">
      <c r="A87" s="790" t="s">
        <v>71</v>
      </c>
      <c r="B87" s="776"/>
      <c r="C87" s="776"/>
      <c r="D87" s="69"/>
      <c r="E87" s="43"/>
      <c r="F87" s="117"/>
      <c r="G87" s="37"/>
      <c r="H87" s="472"/>
      <c r="I87" s="101"/>
      <c r="N87" s="817" t="s">
        <v>522</v>
      </c>
      <c r="O87" s="818"/>
      <c r="P87" s="818"/>
      <c r="Q87" s="51"/>
      <c r="R87" s="470"/>
      <c r="S87" s="51"/>
      <c r="T87" s="38"/>
      <c r="U87" s="528"/>
    </row>
    <row r="88" spans="1:21" x14ac:dyDescent="0.3">
      <c r="A88" s="790" t="s">
        <v>99</v>
      </c>
      <c r="B88" s="776"/>
      <c r="C88" s="776"/>
      <c r="D88" s="69"/>
      <c r="E88" s="43" t="s">
        <v>3</v>
      </c>
      <c r="F88" s="301">
        <f>'1461'!F88</f>
        <v>0</v>
      </c>
      <c r="G88" s="37" t="s">
        <v>6</v>
      </c>
      <c r="H88" s="472">
        <f>H70</f>
        <v>4.8899999999999996E-4</v>
      </c>
      <c r="I88" s="101">
        <f>ROUND(F88*H88,2)</f>
        <v>0</v>
      </c>
      <c r="N88" s="837" t="s">
        <v>99</v>
      </c>
      <c r="O88" s="818"/>
      <c r="P88" s="818"/>
      <c r="Q88" s="44"/>
      <c r="R88" s="469">
        <f>F88</f>
        <v>0</v>
      </c>
      <c r="S88" s="38" t="s">
        <v>6</v>
      </c>
      <c r="T88" s="471">
        <f>T70</f>
        <v>0</v>
      </c>
      <c r="U88" s="523">
        <f>ROUND(R88*T88,2)</f>
        <v>0</v>
      </c>
    </row>
    <row r="89" spans="1:21" x14ac:dyDescent="0.3">
      <c r="A89" s="481"/>
      <c r="B89" s="69"/>
      <c r="C89" s="69"/>
      <c r="D89" s="69"/>
      <c r="E89" s="43"/>
      <c r="F89" s="117"/>
      <c r="G89" s="37"/>
      <c r="H89" s="472"/>
      <c r="I89" s="101"/>
      <c r="N89" s="484"/>
      <c r="O89" s="45"/>
      <c r="P89" s="45"/>
      <c r="Q89" s="44"/>
      <c r="R89" s="469"/>
      <c r="S89" s="38"/>
      <c r="T89" s="471"/>
      <c r="U89" s="523"/>
    </row>
    <row r="90" spans="1:21" x14ac:dyDescent="0.3">
      <c r="A90" s="501" t="s">
        <v>515</v>
      </c>
      <c r="D90" s="69"/>
      <c r="E90" s="43" t="s">
        <v>481</v>
      </c>
      <c r="F90" s="301">
        <f>'1461'!F90</f>
        <v>19094340</v>
      </c>
      <c r="G90" s="37" t="s">
        <v>6</v>
      </c>
      <c r="H90" s="472">
        <f>H82</f>
        <v>5.5500000000000005E-4</v>
      </c>
      <c r="I90" s="101">
        <f>ROUND(F90*H90,2)</f>
        <v>10597.36</v>
      </c>
      <c r="N90" s="503" t="s">
        <v>515</v>
      </c>
      <c r="O90" s="51"/>
      <c r="P90" s="51"/>
      <c r="Q90" s="44"/>
      <c r="R90" s="469">
        <f>F90</f>
        <v>19094340</v>
      </c>
      <c r="S90" s="38" t="s">
        <v>6</v>
      </c>
      <c r="T90" s="471">
        <f>T82</f>
        <v>0</v>
      </c>
      <c r="U90" s="523">
        <f>ROUND(R90*T90,2)</f>
        <v>0</v>
      </c>
    </row>
    <row r="91" spans="1:21" x14ac:dyDescent="0.3">
      <c r="A91" s="450"/>
      <c r="D91" s="69"/>
      <c r="E91" s="43"/>
      <c r="F91" s="117"/>
      <c r="G91" s="37"/>
      <c r="H91" s="472"/>
      <c r="I91" s="101"/>
      <c r="N91" s="458"/>
      <c r="O91" s="51"/>
      <c r="P91" s="51"/>
      <c r="Q91" s="44"/>
      <c r="R91" s="469"/>
      <c r="S91" s="38"/>
      <c r="T91" s="471"/>
      <c r="U91" s="523"/>
    </row>
    <row r="92" spans="1:21" x14ac:dyDescent="0.3">
      <c r="A92" s="501" t="s">
        <v>516</v>
      </c>
      <c r="D92" s="69"/>
      <c r="E92" s="43" t="s">
        <v>3</v>
      </c>
      <c r="F92" s="301">
        <f>'1461'!F92</f>
        <v>11461928</v>
      </c>
      <c r="G92" s="37" t="s">
        <v>6</v>
      </c>
      <c r="H92" s="472">
        <f>H76</f>
        <v>5.5400000000000002E-4</v>
      </c>
      <c r="I92" s="101">
        <f t="shared" ref="I92:I96" si="14">ROUND(F92*H92,2)</f>
        <v>6349.91</v>
      </c>
      <c r="N92" s="503" t="s">
        <v>516</v>
      </c>
      <c r="O92" s="51"/>
      <c r="P92" s="51"/>
      <c r="Q92" s="44"/>
      <c r="R92" s="469">
        <f t="shared" ref="R92:R96" si="15">F92</f>
        <v>11461928</v>
      </c>
      <c r="S92" s="38" t="s">
        <v>6</v>
      </c>
      <c r="T92" s="471">
        <f>T76</f>
        <v>0</v>
      </c>
      <c r="U92" s="523">
        <f>ROUND(R92*T92,2)</f>
        <v>0</v>
      </c>
    </row>
    <row r="93" spans="1:21" x14ac:dyDescent="0.3">
      <c r="A93" s="81"/>
      <c r="D93" s="69"/>
      <c r="E93" s="43"/>
      <c r="F93" s="117"/>
      <c r="G93" s="37"/>
      <c r="H93" s="472"/>
      <c r="I93" s="101"/>
      <c r="N93" s="434"/>
      <c r="O93" s="51"/>
      <c r="P93" s="51"/>
      <c r="Q93" s="44"/>
      <c r="R93" s="470"/>
      <c r="S93" s="38"/>
      <c r="T93" s="471"/>
      <c r="U93" s="527"/>
    </row>
    <row r="94" spans="1:21" x14ac:dyDescent="0.3">
      <c r="A94" s="775" t="s">
        <v>482</v>
      </c>
      <c r="B94" s="776"/>
      <c r="C94" s="776"/>
      <c r="D94" s="69"/>
      <c r="E94" s="43" t="s">
        <v>4</v>
      </c>
      <c r="F94" s="301">
        <f>'1461'!F94</f>
        <v>255756816</v>
      </c>
      <c r="G94" s="37" t="s">
        <v>6</v>
      </c>
      <c r="H94" s="472">
        <f>H73</f>
        <v>4.35E-4</v>
      </c>
      <c r="I94" s="101">
        <f t="shared" si="14"/>
        <v>111254.21</v>
      </c>
      <c r="N94" s="818" t="s">
        <v>482</v>
      </c>
      <c r="O94" s="818"/>
      <c r="P94" s="818"/>
      <c r="Q94" s="44"/>
      <c r="R94" s="469">
        <f t="shared" si="15"/>
        <v>255756816</v>
      </c>
      <c r="S94" s="38" t="s">
        <v>6</v>
      </c>
      <c r="T94" s="471">
        <f>T73</f>
        <v>0</v>
      </c>
      <c r="U94" s="523">
        <f>ROUND(R94*T94,2)</f>
        <v>0</v>
      </c>
    </row>
    <row r="95" spans="1:21" x14ac:dyDescent="0.3">
      <c r="A95" s="81"/>
      <c r="B95" s="69"/>
      <c r="C95" s="69"/>
      <c r="D95" s="69"/>
      <c r="E95" s="43"/>
      <c r="F95" s="117"/>
      <c r="G95" s="37"/>
      <c r="H95" s="472"/>
      <c r="I95" s="101"/>
      <c r="N95" s="45"/>
      <c r="O95" s="45"/>
      <c r="P95" s="45"/>
      <c r="Q95" s="44"/>
      <c r="R95" s="469"/>
      <c r="S95" s="38"/>
      <c r="T95" s="471"/>
      <c r="U95" s="523"/>
    </row>
    <row r="96" spans="1:21" x14ac:dyDescent="0.3">
      <c r="A96" s="775" t="s">
        <v>483</v>
      </c>
      <c r="B96" s="776"/>
      <c r="C96" s="776"/>
      <c r="D96" s="69"/>
      <c r="E96" s="43" t="s">
        <v>4</v>
      </c>
      <c r="F96" s="301">
        <f>'1461'!F96</f>
        <v>-16705366</v>
      </c>
      <c r="G96" s="37" t="s">
        <v>6</v>
      </c>
      <c r="H96" s="472">
        <f>H73</f>
        <v>4.35E-4</v>
      </c>
      <c r="I96" s="101">
        <f t="shared" si="14"/>
        <v>-7266.83</v>
      </c>
      <c r="N96" s="817" t="s">
        <v>483</v>
      </c>
      <c r="O96" s="818"/>
      <c r="P96" s="818"/>
      <c r="Q96" s="44"/>
      <c r="R96" s="469">
        <f t="shared" si="15"/>
        <v>-16705366</v>
      </c>
      <c r="S96" s="38" t="s">
        <v>6</v>
      </c>
      <c r="T96" s="471">
        <f>T73</f>
        <v>0</v>
      </c>
      <c r="U96" s="523">
        <f>ROUND(R96*T96,2)</f>
        <v>0</v>
      </c>
    </row>
    <row r="97" spans="1:21" x14ac:dyDescent="0.3">
      <c r="A97" s="81"/>
      <c r="B97" s="69"/>
      <c r="C97" s="69"/>
      <c r="D97" s="69"/>
      <c r="E97" s="43"/>
      <c r="F97" s="117"/>
      <c r="G97" s="37"/>
      <c r="H97" s="472"/>
      <c r="I97" s="101"/>
      <c r="N97" s="434"/>
      <c r="O97" s="45"/>
      <c r="P97" s="45"/>
      <c r="Q97" s="44"/>
      <c r="R97" s="470"/>
      <c r="S97" s="38"/>
      <c r="T97" s="471"/>
      <c r="U97" s="103"/>
    </row>
    <row r="98" spans="1:21" x14ac:dyDescent="0.3">
      <c r="A98" s="582" t="s">
        <v>556</v>
      </c>
      <c r="B98" s="581"/>
      <c r="C98" s="581"/>
      <c r="D98" s="581"/>
      <c r="E98" s="579" t="s">
        <v>3</v>
      </c>
      <c r="F98" s="301">
        <f>'1461'!F98</f>
        <v>203862</v>
      </c>
      <c r="G98" s="580" t="s">
        <v>6</v>
      </c>
      <c r="H98" s="472">
        <f>H70</f>
        <v>4.8899999999999996E-4</v>
      </c>
      <c r="I98" s="101">
        <f t="shared" ref="I98" si="16">ROUND(F98*H98,2)</f>
        <v>99.69</v>
      </c>
      <c r="N98" s="585" t="s">
        <v>556</v>
      </c>
      <c r="O98" s="585"/>
      <c r="P98" s="585"/>
      <c r="Q98" s="44"/>
      <c r="R98" s="588">
        <f>F98</f>
        <v>203862</v>
      </c>
      <c r="S98" s="586" t="s">
        <v>6</v>
      </c>
      <c r="T98" s="471">
        <f>T70</f>
        <v>0</v>
      </c>
      <c r="U98" s="523">
        <f>ROUND(R98*T98,2)</f>
        <v>0</v>
      </c>
    </row>
    <row r="99" spans="1:21" x14ac:dyDescent="0.3">
      <c r="A99" s="582"/>
      <c r="B99" s="581"/>
      <c r="C99" s="581"/>
      <c r="D99" s="581"/>
      <c r="E99" s="579"/>
      <c r="F99" s="275"/>
      <c r="G99" s="580"/>
      <c r="H99" s="472"/>
      <c r="I99" s="101"/>
      <c r="N99" s="585"/>
      <c r="O99" s="585"/>
      <c r="P99" s="585"/>
      <c r="Q99" s="44"/>
      <c r="R99" s="587"/>
      <c r="S99" s="586"/>
      <c r="T99" s="471"/>
      <c r="U99" s="527"/>
    </row>
    <row r="100" spans="1:21" x14ac:dyDescent="0.3">
      <c r="A100" s="582"/>
      <c r="B100" s="581"/>
      <c r="C100" s="581"/>
      <c r="D100" s="581"/>
      <c r="E100" s="579"/>
      <c r="F100" s="275"/>
      <c r="G100" s="580"/>
      <c r="H100" s="472"/>
      <c r="I100" s="101"/>
      <c r="N100" s="585"/>
      <c r="O100" s="585"/>
      <c r="P100" s="585"/>
      <c r="Q100" s="44"/>
      <c r="R100" s="470"/>
      <c r="S100" s="586"/>
      <c r="T100" s="471"/>
      <c r="U100" s="103"/>
    </row>
    <row r="101" spans="1:21" x14ac:dyDescent="0.3">
      <c r="A101" s="450" t="s">
        <v>557</v>
      </c>
      <c r="N101" s="458" t="s">
        <v>557</v>
      </c>
      <c r="O101" s="51"/>
      <c r="P101" s="51"/>
      <c r="Q101" s="51"/>
      <c r="R101" s="51"/>
      <c r="S101" s="51"/>
      <c r="T101" s="51"/>
      <c r="U101" s="51"/>
    </row>
    <row r="102" spans="1:21" x14ac:dyDescent="0.3">
      <c r="B102" s="69"/>
      <c r="C102" s="785" t="s">
        <v>60</v>
      </c>
      <c r="D102" s="785"/>
      <c r="E102" s="69"/>
      <c r="F102" s="39" t="s">
        <v>28</v>
      </c>
      <c r="G102" s="69"/>
      <c r="H102" s="69"/>
      <c r="I102" s="69"/>
      <c r="N102" s="45"/>
      <c r="O102" s="45"/>
      <c r="P102" s="45"/>
      <c r="Q102" s="45"/>
      <c r="R102" s="45"/>
      <c r="S102" s="45"/>
      <c r="T102" s="45"/>
      <c r="U102" s="45"/>
    </row>
    <row r="103" spans="1:21" x14ac:dyDescent="0.3">
      <c r="A103" s="3"/>
      <c r="B103" s="118"/>
      <c r="C103" s="786" t="s">
        <v>101</v>
      </c>
      <c r="D103" s="786"/>
      <c r="E103" s="473" t="s">
        <v>486</v>
      </c>
      <c r="F103" s="120" t="s">
        <v>106</v>
      </c>
      <c r="G103" s="121"/>
      <c r="H103" s="121"/>
      <c r="I103" s="121"/>
      <c r="N103" s="833" t="s">
        <v>35</v>
      </c>
      <c r="O103" s="833"/>
      <c r="P103" s="884" t="s">
        <v>488</v>
      </c>
      <c r="Q103" s="835"/>
      <c r="R103" s="831" t="s">
        <v>31</v>
      </c>
      <c r="S103" s="831"/>
      <c r="T103" s="831"/>
      <c r="U103" s="831"/>
    </row>
    <row r="104" spans="1:21" x14ac:dyDescent="0.3">
      <c r="A104" s="26"/>
      <c r="B104" s="52" t="s">
        <v>105</v>
      </c>
      <c r="C104" s="774">
        <f>H14+H15+H20+H23+H26</f>
        <v>0</v>
      </c>
      <c r="D104" s="774"/>
      <c r="E104" s="46">
        <f>H8</f>
        <v>1.0407999999999999</v>
      </c>
      <c r="F104" s="302">
        <f>'1461'!F104</f>
        <v>950.92</v>
      </c>
      <c r="G104" s="39" t="s">
        <v>12</v>
      </c>
      <c r="H104" s="101">
        <f>ROUND(C104*E104*F104,2)</f>
        <v>0</v>
      </c>
      <c r="I104" s="104"/>
      <c r="N104" s="28" t="s">
        <v>17</v>
      </c>
      <c r="O104" s="47">
        <f>T14+T15+T20+T23+T26</f>
        <v>0</v>
      </c>
      <c r="P104" s="832">
        <f>T8</f>
        <v>1.0407999999999999</v>
      </c>
      <c r="Q104" s="832"/>
      <c r="R104" s="48">
        <f>F104</f>
        <v>950.92</v>
      </c>
      <c r="S104" s="40" t="s">
        <v>12</v>
      </c>
      <c r="T104" s="529">
        <f>ROUND(O104*P104*R104,2)</f>
        <v>0</v>
      </c>
      <c r="U104" s="102"/>
    </row>
    <row r="105" spans="1:21" x14ac:dyDescent="0.3">
      <c r="A105" s="49"/>
      <c r="B105" s="49" t="s">
        <v>104</v>
      </c>
      <c r="C105" s="774">
        <f>H16+H17+H21+H24+H27</f>
        <v>0</v>
      </c>
      <c r="D105" s="774"/>
      <c r="E105" s="46">
        <f>H8</f>
        <v>1.0407999999999999</v>
      </c>
      <c r="F105" s="302">
        <f>'1461'!F105</f>
        <v>907.92</v>
      </c>
      <c r="G105" s="39" t="s">
        <v>12</v>
      </c>
      <c r="H105" s="101">
        <f>ROUND(C105*E105*F105,2)</f>
        <v>0</v>
      </c>
      <c r="N105" s="50" t="s">
        <v>13</v>
      </c>
      <c r="O105" s="47">
        <f>T16+T17+T21+T24+T27</f>
        <v>0</v>
      </c>
      <c r="P105" s="832">
        <f>T8</f>
        <v>1.0407999999999999</v>
      </c>
      <c r="Q105" s="832"/>
      <c r="R105" s="48">
        <f>F105</f>
        <v>907.92</v>
      </c>
      <c r="S105" s="40" t="s">
        <v>12</v>
      </c>
      <c r="T105" s="529">
        <f>ROUND(O105*P105*R105,2)</f>
        <v>0</v>
      </c>
      <c r="U105" s="51"/>
    </row>
    <row r="106" spans="1:21" ht="16.2" thickBot="1" x14ac:dyDescent="0.35">
      <c r="A106" s="52"/>
      <c r="B106" s="52" t="s">
        <v>103</v>
      </c>
      <c r="C106" s="774">
        <f>H18+H19+H22+H25+H28+H29</f>
        <v>103.0759</v>
      </c>
      <c r="D106" s="774"/>
      <c r="E106" s="46">
        <f>H8</f>
        <v>1.0407999999999999</v>
      </c>
      <c r="F106" s="302">
        <f>'1461'!F106</f>
        <v>910.12</v>
      </c>
      <c r="G106" s="39" t="s">
        <v>12</v>
      </c>
      <c r="H106" s="94">
        <f>ROUND(C106*E106*F106,2)</f>
        <v>97638.94</v>
      </c>
      <c r="N106" s="53" t="s">
        <v>14</v>
      </c>
      <c r="O106" s="54">
        <f>T18+T19+T22+T25+T28+T29</f>
        <v>0</v>
      </c>
      <c r="P106" s="832">
        <f>T8</f>
        <v>1.0407999999999999</v>
      </c>
      <c r="Q106" s="832"/>
      <c r="R106" s="48">
        <f>F106</f>
        <v>910.12</v>
      </c>
      <c r="S106" s="40" t="s">
        <v>12</v>
      </c>
      <c r="T106" s="529">
        <f>ROUND(O106*P106*R106,2)</f>
        <v>0</v>
      </c>
      <c r="U106" s="51"/>
    </row>
    <row r="107" spans="1:21" ht="16.2" thickBot="1" x14ac:dyDescent="0.35">
      <c r="A107" s="55"/>
      <c r="B107" s="122" t="s">
        <v>102</v>
      </c>
      <c r="C107" s="787">
        <f>SUM(C104:C106)</f>
        <v>103.0759</v>
      </c>
      <c r="D107" s="787"/>
      <c r="E107" s="123"/>
      <c r="F107" s="123"/>
      <c r="G107" s="123"/>
      <c r="H107" s="124" t="s">
        <v>100</v>
      </c>
      <c r="I107" s="101">
        <f>IF(A1=75,0,H106+H105+H104)</f>
        <v>97638.94</v>
      </c>
      <c r="N107" s="56" t="s">
        <v>89</v>
      </c>
      <c r="O107" s="57">
        <f>SUM(O104:O106)</f>
        <v>0</v>
      </c>
      <c r="P107" s="827" t="s">
        <v>16</v>
      </c>
      <c r="Q107" s="828"/>
      <c r="R107" s="828"/>
      <c r="S107" s="828"/>
      <c r="T107" s="828"/>
      <c r="U107" s="523">
        <f>IF(N1=75,0,T106+T105+T104)</f>
        <v>0</v>
      </c>
    </row>
    <row r="108" spans="1:21" ht="16.2" thickTop="1" x14ac:dyDescent="0.3">
      <c r="A108" s="812" t="s">
        <v>65</v>
      </c>
      <c r="B108" s="812"/>
      <c r="C108" s="812"/>
      <c r="D108" s="812"/>
      <c r="E108" s="812"/>
      <c r="F108" s="812"/>
      <c r="G108" s="812"/>
      <c r="H108" s="812"/>
      <c r="I108" s="812"/>
      <c r="N108" s="829" t="s">
        <v>65</v>
      </c>
      <c r="O108" s="829"/>
      <c r="P108" s="829"/>
      <c r="Q108" s="829"/>
      <c r="R108" s="829"/>
      <c r="S108" s="829"/>
      <c r="T108" s="829"/>
      <c r="U108" s="829"/>
    </row>
    <row r="109" spans="1:21" x14ac:dyDescent="0.3">
      <c r="A109" s="482"/>
      <c r="B109" s="482"/>
      <c r="C109" s="482"/>
      <c r="D109" s="482"/>
      <c r="E109" s="482"/>
      <c r="F109" s="482"/>
      <c r="G109" s="482"/>
      <c r="H109" s="482"/>
      <c r="I109" s="482"/>
      <c r="N109" s="483"/>
      <c r="O109" s="483"/>
      <c r="P109" s="483"/>
      <c r="Q109" s="483"/>
      <c r="R109" s="483"/>
      <c r="S109" s="483"/>
      <c r="T109" s="483"/>
      <c r="U109" s="483"/>
    </row>
    <row r="110" spans="1:21" x14ac:dyDescent="0.3">
      <c r="A110" s="582" t="s">
        <v>558</v>
      </c>
      <c r="C110" s="43"/>
      <c r="D110" s="69"/>
      <c r="E110" s="43" t="s">
        <v>32</v>
      </c>
      <c r="F110" s="813"/>
      <c r="G110" s="813"/>
      <c r="H110" s="813"/>
      <c r="I110" s="813"/>
      <c r="N110" s="817" t="s">
        <v>558</v>
      </c>
      <c r="O110" s="818"/>
      <c r="P110" s="818"/>
      <c r="Q110" s="830"/>
      <c r="R110" s="830"/>
      <c r="S110" s="830"/>
      <c r="T110" s="830"/>
      <c r="U110" s="103"/>
    </row>
    <row r="111" spans="1:21" x14ac:dyDescent="0.3">
      <c r="B111" s="69"/>
      <c r="C111" s="88" t="s">
        <v>581</v>
      </c>
      <c r="D111" s="348" t="s">
        <v>582</v>
      </c>
      <c r="E111" s="89" t="s">
        <v>107</v>
      </c>
      <c r="F111" s="43"/>
      <c r="G111" s="43"/>
      <c r="H111" s="43"/>
      <c r="I111" s="43"/>
      <c r="N111" s="45"/>
      <c r="O111" s="45"/>
      <c r="P111" s="45"/>
      <c r="Q111" s="125"/>
      <c r="R111" s="125"/>
      <c r="S111" s="125"/>
      <c r="T111" s="125"/>
      <c r="U111" s="103"/>
    </row>
    <row r="112" spans="1:21" x14ac:dyDescent="0.3">
      <c r="B112" s="69"/>
      <c r="C112" s="341"/>
      <c r="D112" s="339"/>
      <c r="E112" s="339" t="s">
        <v>2</v>
      </c>
      <c r="F112" s="43"/>
      <c r="G112" s="43"/>
      <c r="H112" s="43"/>
      <c r="I112" s="43"/>
      <c r="N112" s="45"/>
      <c r="O112" s="45"/>
      <c r="P112" s="45"/>
      <c r="Q112" s="125"/>
      <c r="R112" s="125"/>
      <c r="S112" s="125"/>
      <c r="T112" s="125"/>
      <c r="U112" s="103"/>
    </row>
    <row r="113" spans="1:21" x14ac:dyDescent="0.3">
      <c r="A113" s="788" t="s">
        <v>443</v>
      </c>
      <c r="B113" s="809"/>
      <c r="C113" s="143">
        <v>0</v>
      </c>
      <c r="D113" s="143">
        <v>0</v>
      </c>
      <c r="E113" s="116">
        <f>(C113+D113)/2</f>
        <v>0</v>
      </c>
      <c r="F113" s="126" t="s">
        <v>30</v>
      </c>
      <c r="G113" s="303">
        <f>'1461'!G113</f>
        <v>584</v>
      </c>
      <c r="I113" s="101">
        <f>ROUND(G113*E113,2)</f>
        <v>0</v>
      </c>
      <c r="N113" s="826" t="s">
        <v>52</v>
      </c>
      <c r="O113" s="826"/>
      <c r="P113" s="825">
        <f>IF(H133=1,E113,0)</f>
        <v>0</v>
      </c>
      <c r="Q113" s="825"/>
      <c r="R113" s="825"/>
      <c r="S113" s="83" t="s">
        <v>30</v>
      </c>
      <c r="T113" s="58">
        <f>G113</f>
        <v>584</v>
      </c>
      <c r="U113" s="523">
        <f>ROUND(T113*P113,2)</f>
        <v>0</v>
      </c>
    </row>
    <row r="114" spans="1:21" x14ac:dyDescent="0.3">
      <c r="A114" s="788" t="s">
        <v>444</v>
      </c>
      <c r="B114" s="809"/>
      <c r="C114" s="143">
        <v>0</v>
      </c>
      <c r="D114" s="143">
        <v>0</v>
      </c>
      <c r="E114" s="116">
        <f>(C114+D114)/2</f>
        <v>0</v>
      </c>
      <c r="F114" s="126" t="s">
        <v>30</v>
      </c>
      <c r="G114" s="303">
        <f>'1461'!G114</f>
        <v>1838</v>
      </c>
      <c r="I114" s="101">
        <f>ROUND(G114*E114,2)</f>
        <v>0</v>
      </c>
      <c r="N114" s="826" t="s">
        <v>64</v>
      </c>
      <c r="O114" s="826"/>
      <c r="P114" s="820"/>
      <c r="Q114" s="820"/>
      <c r="R114" s="820"/>
      <c r="S114" s="83" t="s">
        <v>30</v>
      </c>
      <c r="T114" s="58">
        <f>G114</f>
        <v>1838</v>
      </c>
      <c r="U114" s="523">
        <f>ROUND(T114*P114,2)</f>
        <v>0</v>
      </c>
    </row>
    <row r="115" spans="1:21" x14ac:dyDescent="0.3">
      <c r="A115" s="127"/>
      <c r="B115" s="127"/>
      <c r="C115" s="65"/>
      <c r="D115" s="65"/>
      <c r="E115" s="65"/>
      <c r="F115" s="65"/>
      <c r="G115" s="128"/>
      <c r="H115" s="129"/>
      <c r="I115" s="101"/>
      <c r="N115" s="130"/>
      <c r="O115" s="130"/>
      <c r="P115" s="131"/>
      <c r="Q115" s="131"/>
      <c r="R115" s="131"/>
      <c r="S115" s="83"/>
      <c r="T115" s="58"/>
      <c r="U115" s="103"/>
    </row>
    <row r="116" spans="1:21" hidden="1" x14ac:dyDescent="0.3">
      <c r="A116" s="127"/>
      <c r="B116" s="127"/>
      <c r="C116" s="65"/>
      <c r="D116" s="65"/>
      <c r="E116" s="65"/>
      <c r="F116" s="65"/>
      <c r="G116" s="128"/>
      <c r="H116" s="129"/>
      <c r="I116" s="101"/>
      <c r="N116" s="130"/>
      <c r="O116" s="130"/>
      <c r="P116" s="131"/>
      <c r="Q116" s="131"/>
      <c r="R116" s="131"/>
      <c r="S116" s="83"/>
      <c r="T116" s="58"/>
      <c r="U116" s="103"/>
    </row>
    <row r="117" spans="1:21" hidden="1" x14ac:dyDescent="0.3">
      <c r="A117" s="775" t="s">
        <v>490</v>
      </c>
      <c r="B117" s="776"/>
      <c r="C117" s="776"/>
      <c r="D117" s="69"/>
      <c r="E117" s="39" t="s">
        <v>317</v>
      </c>
      <c r="F117" s="785"/>
      <c r="G117" s="785"/>
      <c r="H117" s="785"/>
      <c r="I117" s="785"/>
      <c r="N117" s="817" t="s">
        <v>491</v>
      </c>
      <c r="O117" s="818"/>
      <c r="P117" s="818"/>
      <c r="Q117" s="818"/>
      <c r="R117" s="818"/>
      <c r="S117" s="818"/>
      <c r="T117" s="818"/>
      <c r="U117" s="818"/>
    </row>
    <row r="118" spans="1:21" hidden="1" x14ac:dyDescent="0.3">
      <c r="B118" s="69"/>
      <c r="C118" s="786" t="s">
        <v>66</v>
      </c>
      <c r="D118" s="786"/>
      <c r="E118" s="786"/>
      <c r="F118" s="37"/>
      <c r="G118" s="37"/>
      <c r="H118" s="39" t="s">
        <v>108</v>
      </c>
      <c r="I118" s="37"/>
      <c r="N118" s="45"/>
      <c r="O118" s="45"/>
      <c r="P118" s="45"/>
      <c r="Q118" s="45"/>
      <c r="R118" s="45"/>
      <c r="S118" s="45"/>
      <c r="T118" s="45"/>
      <c r="U118" s="45"/>
    </row>
    <row r="119" spans="1:21" hidden="1" x14ac:dyDescent="0.3">
      <c r="B119" s="69"/>
      <c r="C119" s="88" t="s">
        <v>341</v>
      </c>
      <c r="D119" s="88" t="s">
        <v>314</v>
      </c>
      <c r="E119" s="137" t="s">
        <v>8</v>
      </c>
      <c r="F119" s="789" t="s">
        <v>109</v>
      </c>
      <c r="G119" s="785"/>
      <c r="H119" s="37" t="s">
        <v>29</v>
      </c>
      <c r="I119" s="37"/>
      <c r="N119" s="45"/>
      <c r="O119" s="45"/>
      <c r="P119" s="45"/>
      <c r="Q119" s="45"/>
      <c r="R119" s="45"/>
      <c r="S119" s="45"/>
      <c r="T119" s="45"/>
      <c r="U119" s="45"/>
    </row>
    <row r="120" spans="1:21" hidden="1" x14ac:dyDescent="0.3">
      <c r="A120" s="786" t="s">
        <v>69</v>
      </c>
      <c r="B120" s="786"/>
      <c r="C120" s="90" t="s">
        <v>2</v>
      </c>
      <c r="D120" s="90" t="s">
        <v>2</v>
      </c>
      <c r="E120" s="59" t="s">
        <v>2</v>
      </c>
      <c r="F120" s="786" t="s">
        <v>28</v>
      </c>
      <c r="G120" s="786"/>
      <c r="H120" s="59" t="s">
        <v>28</v>
      </c>
      <c r="I120" s="59" t="s">
        <v>8</v>
      </c>
      <c r="N120" s="821" t="s">
        <v>53</v>
      </c>
      <c r="O120" s="821"/>
      <c r="P120" s="825" t="s">
        <v>66</v>
      </c>
      <c r="Q120" s="825"/>
      <c r="R120" s="821" t="s">
        <v>54</v>
      </c>
      <c r="S120" s="821"/>
      <c r="T120" s="60" t="s">
        <v>55</v>
      </c>
      <c r="U120" s="60" t="s">
        <v>8</v>
      </c>
    </row>
    <row r="121" spans="1:21" hidden="1" x14ac:dyDescent="0.3">
      <c r="A121" s="810" t="s">
        <v>56</v>
      </c>
      <c r="B121" s="810"/>
      <c r="C121" s="141">
        <v>0</v>
      </c>
      <c r="D121" s="141">
        <v>0</v>
      </c>
      <c r="E121" s="187">
        <f>IF(D30=0,C121*2,C121+D121)</f>
        <v>0</v>
      </c>
      <c r="F121" s="811">
        <v>0</v>
      </c>
      <c r="G121" s="811"/>
      <c r="H121" s="223">
        <f>IF(C121=0,0,125)</f>
        <v>0</v>
      </c>
      <c r="I121" s="101">
        <f>ROUND((H121+F121)*E121,2)</f>
        <v>0</v>
      </c>
      <c r="N121" s="818" t="s">
        <v>56</v>
      </c>
      <c r="O121" s="818"/>
      <c r="P121" s="820">
        <f>IF(H$133=1,C121,0)</f>
        <v>0</v>
      </c>
      <c r="Q121" s="820"/>
      <c r="R121" s="823">
        <f>F121</f>
        <v>0</v>
      </c>
      <c r="S121" s="823"/>
      <c r="T121" s="62">
        <f>H121</f>
        <v>0</v>
      </c>
      <c r="U121" s="96">
        <f>ROUND((T121+R121)*P121,0)</f>
        <v>0</v>
      </c>
    </row>
    <row r="122" spans="1:21" hidden="1" x14ac:dyDescent="0.3">
      <c r="A122" s="780" t="s">
        <v>57</v>
      </c>
      <c r="B122" s="780"/>
      <c r="C122" s="143">
        <v>0</v>
      </c>
      <c r="D122" s="143">
        <v>0</v>
      </c>
      <c r="E122" s="116">
        <f>IF(D31=0,C122*2,C122+D122)</f>
        <v>0</v>
      </c>
      <c r="F122" s="781">
        <f>ROUND(F121/2,2)</f>
        <v>0</v>
      </c>
      <c r="G122" s="781"/>
      <c r="H122" s="223">
        <f>IF(C122=0,0,62.5)</f>
        <v>0</v>
      </c>
      <c r="I122" s="101">
        <f>ROUND((H122+F122)*E122,2)</f>
        <v>0</v>
      </c>
      <c r="N122" s="818" t="s">
        <v>57</v>
      </c>
      <c r="O122" s="818"/>
      <c r="P122" s="820">
        <f>IF(H$133=1,C122,0)</f>
        <v>0</v>
      </c>
      <c r="Q122" s="820"/>
      <c r="R122" s="824">
        <f>ROUND(R121/2,2)</f>
        <v>0</v>
      </c>
      <c r="S122" s="824"/>
      <c r="T122" s="62">
        <f>H122</f>
        <v>0</v>
      </c>
      <c r="U122" s="96">
        <f>ROUND((T122+R122)*P122,0)</f>
        <v>0</v>
      </c>
    </row>
    <row r="123" spans="1:21" ht="16.2" hidden="1" thickBot="1" x14ac:dyDescent="0.35">
      <c r="A123" s="780" t="s">
        <v>58</v>
      </c>
      <c r="B123" s="780"/>
      <c r="C123" s="143">
        <v>0</v>
      </c>
      <c r="D123" s="143">
        <v>0</v>
      </c>
      <c r="E123" s="116">
        <f>IF(D32=0,C123*2,C123+D123)</f>
        <v>0</v>
      </c>
      <c r="F123" s="782"/>
      <c r="G123" s="782"/>
      <c r="H123" s="224">
        <f>IF(H121&gt;0,436,0)</f>
        <v>0</v>
      </c>
      <c r="I123" s="101">
        <f>ROUND(H123*E123,2)</f>
        <v>0</v>
      </c>
      <c r="N123" s="819" t="s">
        <v>58</v>
      </c>
      <c r="O123" s="819"/>
      <c r="P123" s="820">
        <f>IF(H$133=1,C123,0)</f>
        <v>0</v>
      </c>
      <c r="Q123" s="820"/>
      <c r="R123" s="821"/>
      <c r="S123" s="821"/>
      <c r="T123" s="64">
        <f>H123</f>
        <v>0</v>
      </c>
      <c r="U123" s="103">
        <f>ROUND(T123*P123,0)</f>
        <v>0</v>
      </c>
    </row>
    <row r="124" spans="1:21" ht="16.2" hidden="1" thickBot="1" x14ac:dyDescent="0.35">
      <c r="A124" s="785" t="s">
        <v>8</v>
      </c>
      <c r="B124" s="785"/>
      <c r="C124" s="65"/>
      <c r="D124" s="65"/>
      <c r="E124" s="65"/>
      <c r="F124" s="65"/>
      <c r="G124" s="65"/>
      <c r="H124" s="65"/>
      <c r="I124" s="97">
        <f>SUM(I121:I123)</f>
        <v>0</v>
      </c>
      <c r="N124" s="822" t="s">
        <v>8</v>
      </c>
      <c r="O124" s="822"/>
      <c r="P124" s="66"/>
      <c r="Q124" s="66"/>
      <c r="R124" s="66"/>
      <c r="S124" s="66"/>
      <c r="T124" s="66"/>
      <c r="U124" s="67">
        <f>SUM(U121:U123)</f>
        <v>0</v>
      </c>
    </row>
    <row r="125" spans="1:21" hidden="1" x14ac:dyDescent="0.3">
      <c r="A125" s="37"/>
      <c r="B125" s="37"/>
      <c r="C125" s="65"/>
      <c r="D125" s="65"/>
      <c r="E125" s="65"/>
      <c r="F125" s="65"/>
      <c r="G125" s="65"/>
      <c r="H125" s="65"/>
      <c r="I125" s="101"/>
      <c r="N125" s="38"/>
      <c r="O125" s="38"/>
      <c r="P125" s="66"/>
      <c r="Q125" s="66"/>
      <c r="R125" s="66"/>
      <c r="S125" s="66"/>
      <c r="T125" s="66"/>
      <c r="U125" s="138"/>
    </row>
    <row r="126" spans="1:21" x14ac:dyDescent="0.3">
      <c r="A126" s="775" t="s">
        <v>492</v>
      </c>
      <c r="B126" s="776"/>
      <c r="C126" s="776"/>
      <c r="D126" s="69"/>
      <c r="E126" s="68" t="s">
        <v>34</v>
      </c>
      <c r="F126" s="778"/>
      <c r="G126" s="778"/>
      <c r="H126" s="778"/>
      <c r="I126" s="154">
        <v>0</v>
      </c>
      <c r="N126" s="817" t="s">
        <v>492</v>
      </c>
      <c r="O126" s="818"/>
      <c r="P126" s="818"/>
      <c r="Q126" s="305"/>
      <c r="R126" s="305"/>
      <c r="S126" s="305"/>
      <c r="T126" s="305"/>
      <c r="U126" s="523">
        <f>IF($H$133=1,I126,0)</f>
        <v>0</v>
      </c>
    </row>
    <row r="127" spans="1:21" x14ac:dyDescent="0.3">
      <c r="B127" s="69"/>
      <c r="C127" s="69"/>
      <c r="D127" s="69"/>
      <c r="E127" s="68"/>
      <c r="F127" s="68"/>
      <c r="G127" s="68"/>
      <c r="H127" s="68"/>
      <c r="I127" s="116"/>
      <c r="N127" s="503"/>
      <c r="O127" s="502"/>
      <c r="P127" s="502"/>
      <c r="Q127" s="305"/>
      <c r="R127" s="305"/>
      <c r="S127" s="305"/>
      <c r="T127" s="305"/>
      <c r="U127" s="527"/>
    </row>
    <row r="128" spans="1:21" ht="16.2" thickBot="1" x14ac:dyDescent="0.35">
      <c r="A128" s="779" t="s">
        <v>8</v>
      </c>
      <c r="B128" s="779"/>
      <c r="C128" s="779"/>
      <c r="D128" s="779"/>
      <c r="E128" s="779"/>
      <c r="F128" s="779"/>
      <c r="G128" s="779"/>
      <c r="H128" s="779"/>
      <c r="I128" s="94">
        <f>SUM(I46,I66,I85,I88,I90,I92,I94,I96,I98,I107,I113,I114,I124,I126)</f>
        <v>829122.45000000019</v>
      </c>
      <c r="N128" s="503"/>
      <c r="O128" s="502"/>
      <c r="P128" s="502"/>
      <c r="Q128" s="305"/>
      <c r="R128" s="305"/>
      <c r="S128" s="305"/>
      <c r="T128" s="305"/>
      <c r="U128" s="530">
        <f>SUM(U30,U85,U88,U90,U92,U94,U96,U107,U113,U114,U124,U126)</f>
        <v>0</v>
      </c>
    </row>
    <row r="129" spans="1:21" ht="16.2" thickTop="1" x14ac:dyDescent="0.3">
      <c r="A129" s="26"/>
      <c r="B129" s="26"/>
      <c r="C129" s="26"/>
      <c r="D129" s="26"/>
      <c r="E129" s="26"/>
      <c r="F129" s="26"/>
      <c r="G129" s="26"/>
      <c r="H129" s="26"/>
      <c r="I129" s="101"/>
      <c r="N129" s="503"/>
      <c r="O129" s="502"/>
      <c r="P129" s="502"/>
      <c r="Q129" s="305"/>
      <c r="R129" s="305"/>
      <c r="S129" s="305"/>
      <c r="T129" s="305"/>
      <c r="U129" s="103"/>
    </row>
    <row r="130" spans="1:21" ht="16.2" thickBot="1" x14ac:dyDescent="0.35">
      <c r="A130" s="81" t="s">
        <v>494</v>
      </c>
      <c r="B130" s="26"/>
      <c r="C130" s="26"/>
      <c r="D130" s="26"/>
      <c r="E130" s="26"/>
      <c r="F130" s="26"/>
      <c r="G130" s="26"/>
      <c r="H130" s="26"/>
      <c r="I130" s="101">
        <f>I128-I53</f>
        <v>803479.65000000014</v>
      </c>
      <c r="N130" s="818" t="s">
        <v>494</v>
      </c>
      <c r="O130" s="818"/>
      <c r="P130" s="818"/>
      <c r="Q130" s="818"/>
      <c r="R130" s="818"/>
      <c r="S130" s="818"/>
      <c r="T130" s="818"/>
      <c r="U130" s="132">
        <f>U128-U53</f>
        <v>0</v>
      </c>
    </row>
    <row r="131" spans="1:21" ht="16.2" thickTop="1" x14ac:dyDescent="0.3">
      <c r="A131" s="26"/>
      <c r="B131" s="26"/>
      <c r="C131" s="26"/>
      <c r="D131" s="26"/>
      <c r="E131" s="26"/>
      <c r="F131" s="26"/>
      <c r="G131" s="26"/>
      <c r="H131" s="26"/>
      <c r="I131" s="101"/>
      <c r="N131" s="28"/>
      <c r="O131" s="28"/>
      <c r="P131" s="28"/>
      <c r="Q131" s="28"/>
      <c r="R131" s="28"/>
      <c r="S131" s="28"/>
      <c r="T131" s="28"/>
      <c r="U131" s="138"/>
    </row>
    <row r="132" spans="1:21" x14ac:dyDescent="0.3">
      <c r="A132" s="775" t="s">
        <v>561</v>
      </c>
      <c r="B132" s="776"/>
      <c r="C132" s="776"/>
      <c r="D132" s="776"/>
      <c r="E132" s="776"/>
      <c r="F132" s="776"/>
      <c r="G132" s="776"/>
      <c r="H132" s="81" t="s">
        <v>375</v>
      </c>
      <c r="I132" s="134"/>
      <c r="N132" s="817" t="s">
        <v>561</v>
      </c>
      <c r="O132" s="818"/>
      <c r="P132" s="818"/>
      <c r="Q132" s="818"/>
      <c r="R132" s="818"/>
      <c r="S132" s="818"/>
      <c r="T132" s="818"/>
      <c r="U132" s="138"/>
    </row>
    <row r="133" spans="1:21" x14ac:dyDescent="0.3">
      <c r="A133" s="776" t="s">
        <v>70</v>
      </c>
      <c r="B133" s="776"/>
      <c r="C133" s="776"/>
      <c r="D133" s="776"/>
      <c r="E133" s="776"/>
      <c r="F133" s="776"/>
      <c r="G133" s="776"/>
      <c r="H133" s="70" t="str">
        <f>IF(E30=0,"",IF((E15+E17+SUM(E19:E25))/E30&gt;0.75,1,""))</f>
        <v/>
      </c>
      <c r="I133" s="116">
        <f>U130</f>
        <v>0</v>
      </c>
      <c r="N133" s="818" t="s">
        <v>70</v>
      </c>
      <c r="O133" s="818"/>
      <c r="P133" s="818"/>
      <c r="Q133" s="818"/>
      <c r="R133" s="818"/>
      <c r="S133" s="818"/>
      <c r="T133" s="818"/>
      <c r="U133" s="138"/>
    </row>
    <row r="134" spans="1:21" x14ac:dyDescent="0.3">
      <c r="B134" s="69"/>
      <c r="C134" s="69"/>
      <c r="D134" s="69"/>
      <c r="E134" s="69"/>
      <c r="F134" s="69"/>
      <c r="G134" s="69"/>
      <c r="H134" s="65"/>
      <c r="I134" s="101"/>
      <c r="N134" s="28"/>
      <c r="O134" s="28"/>
      <c r="P134" s="28"/>
      <c r="Q134" s="28"/>
      <c r="R134" s="28"/>
      <c r="S134" s="28"/>
      <c r="T134" s="28"/>
      <c r="U134" s="138"/>
    </row>
    <row r="135" spans="1:21" x14ac:dyDescent="0.3">
      <c r="A135" s="3" t="s">
        <v>73</v>
      </c>
      <c r="B135" s="69"/>
      <c r="C135" s="69"/>
      <c r="D135" s="69"/>
      <c r="E135" s="69"/>
      <c r="F135" s="69"/>
      <c r="G135" s="256"/>
      <c r="H135" s="139">
        <f>IF(H133=1,I133,I130)</f>
        <v>803479.65000000014</v>
      </c>
      <c r="I135" s="94">
        <f>ROUND(IF(E30=0,0,IF(E30&gt;250,-(((250/E30)*H135)*IF(G135="H",0.02,0.05)),IF(G135="H",-0.02*H135,-0.05*H135))),2)</f>
        <v>-40173.980000000003</v>
      </c>
      <c r="N135" s="814"/>
      <c r="O135" s="814"/>
      <c r="P135" s="814"/>
      <c r="Q135" s="814"/>
      <c r="R135" s="814"/>
      <c r="S135" s="814"/>
      <c r="T135" s="814"/>
      <c r="U135" s="814"/>
    </row>
    <row r="136" spans="1:21" x14ac:dyDescent="0.3">
      <c r="B136" s="69"/>
      <c r="C136" s="69"/>
      <c r="D136" s="69"/>
      <c r="E136" s="69"/>
      <c r="F136" s="69"/>
      <c r="G136" s="69"/>
      <c r="H136" s="65"/>
      <c r="I136" s="101"/>
      <c r="N136" s="815" t="s">
        <v>7</v>
      </c>
      <c r="O136" s="815"/>
      <c r="P136" s="815"/>
      <c r="Q136" s="815"/>
      <c r="R136" s="815"/>
      <c r="S136" s="815"/>
      <c r="T136" s="815"/>
      <c r="U136" s="815"/>
    </row>
    <row r="137" spans="1:21" x14ac:dyDescent="0.3">
      <c r="A137" s="308" t="s">
        <v>74</v>
      </c>
      <c r="B137" s="309"/>
      <c r="C137" s="309"/>
      <c r="D137" s="309"/>
      <c r="E137" s="309"/>
      <c r="F137" s="309"/>
      <c r="G137" s="309"/>
      <c r="H137" s="310"/>
      <c r="I137" s="311">
        <f>I128+I135</f>
        <v>788948.4700000002</v>
      </c>
      <c r="N137" s="71" t="s">
        <v>77</v>
      </c>
      <c r="O137" s="71"/>
      <c r="P137" s="71"/>
      <c r="Q137" s="71"/>
      <c r="R137" s="71"/>
      <c r="S137" s="71"/>
      <c r="T137" s="71"/>
      <c r="U137" s="71"/>
    </row>
    <row r="138" spans="1:21" x14ac:dyDescent="0.3">
      <c r="B138" s="69"/>
      <c r="C138" s="69"/>
      <c r="D138" s="69"/>
      <c r="E138" s="69"/>
      <c r="F138" s="69"/>
      <c r="G138" s="69"/>
      <c r="H138" s="65"/>
      <c r="I138" s="101"/>
      <c r="N138" s="72" t="s">
        <v>78</v>
      </c>
      <c r="O138" s="71"/>
      <c r="P138" s="71"/>
      <c r="Q138" s="71"/>
      <c r="R138" s="71"/>
      <c r="S138" s="71"/>
      <c r="T138" s="71"/>
      <c r="U138" s="71"/>
    </row>
    <row r="139" spans="1:21" x14ac:dyDescent="0.3">
      <c r="A139" s="3" t="s">
        <v>75</v>
      </c>
      <c r="B139" s="69"/>
      <c r="C139" s="140"/>
      <c r="D139" s="69"/>
      <c r="F139" s="69"/>
      <c r="G139" s="69"/>
      <c r="H139" s="65"/>
      <c r="I139" s="271">
        <f>-'Cumulative Payments'!Q118</f>
        <v>-793348.82</v>
      </c>
      <c r="N139" s="73"/>
      <c r="O139" s="73"/>
      <c r="P139" s="73"/>
      <c r="Q139" s="73"/>
      <c r="R139" s="73"/>
      <c r="S139" s="73"/>
      <c r="T139" s="73"/>
      <c r="U139" s="73"/>
    </row>
    <row r="140" spans="1:21" x14ac:dyDescent="0.3">
      <c r="B140" s="69"/>
      <c r="C140" s="69"/>
      <c r="D140" s="69"/>
      <c r="E140" s="69"/>
      <c r="F140" s="69"/>
      <c r="G140" s="69"/>
      <c r="H140" s="65"/>
      <c r="I140" s="101"/>
      <c r="N140" s="73"/>
      <c r="O140" s="73"/>
      <c r="P140" s="73"/>
      <c r="Q140" s="73"/>
      <c r="R140" s="73"/>
      <c r="S140" s="73"/>
      <c r="T140" s="73"/>
      <c r="U140" s="73"/>
    </row>
    <row r="141" spans="1:21" x14ac:dyDescent="0.3">
      <c r="A141" s="81" t="s">
        <v>246</v>
      </c>
      <c r="B141" s="69"/>
      <c r="C141" s="69"/>
      <c r="D141" s="69"/>
      <c r="E141" s="69"/>
      <c r="F141" s="69"/>
      <c r="G141" s="69"/>
      <c r="H141" s="65"/>
      <c r="I141" s="101">
        <f>I137+I139</f>
        <v>-4400.3499999997439</v>
      </c>
      <c r="N141" s="73"/>
      <c r="O141" s="73"/>
      <c r="P141" s="73"/>
      <c r="Q141" s="73"/>
      <c r="R141" s="73"/>
      <c r="S141" s="73"/>
      <c r="T141" s="73"/>
      <c r="U141" s="73"/>
    </row>
    <row r="142" spans="1:21" x14ac:dyDescent="0.3">
      <c r="A142" s="81"/>
      <c r="B142" s="69"/>
      <c r="C142" s="69"/>
      <c r="D142" s="69"/>
      <c r="E142" s="69"/>
      <c r="F142" s="69"/>
      <c r="G142" s="69"/>
      <c r="H142" s="65"/>
      <c r="I142" s="101"/>
      <c r="N142" s="73"/>
      <c r="O142" s="73"/>
      <c r="P142" s="73"/>
      <c r="Q142" s="73"/>
      <c r="R142" s="73"/>
      <c r="S142" s="73"/>
      <c r="T142" s="73"/>
      <c r="U142" s="73"/>
    </row>
    <row r="143" spans="1:21" x14ac:dyDescent="0.3">
      <c r="A143" s="81" t="s">
        <v>247</v>
      </c>
      <c r="B143" s="69"/>
      <c r="C143" s="69"/>
      <c r="D143" s="69"/>
      <c r="E143" s="69"/>
      <c r="F143" s="69"/>
      <c r="G143" s="69"/>
      <c r="H143" s="65"/>
      <c r="I143" s="272">
        <f>'1461'!I143</f>
        <v>1</v>
      </c>
      <c r="N143" s="73"/>
      <c r="O143" s="73"/>
      <c r="P143" s="73"/>
      <c r="Q143" s="73"/>
      <c r="R143" s="73"/>
      <c r="S143" s="73"/>
      <c r="T143" s="73"/>
      <c r="U143" s="73"/>
    </row>
    <row r="144" spans="1:21" x14ac:dyDescent="0.3">
      <c r="B144" s="69"/>
      <c r="C144" s="69"/>
      <c r="D144" s="69"/>
      <c r="E144" s="69"/>
      <c r="F144" s="69"/>
      <c r="G144" s="69"/>
      <c r="H144" s="65"/>
      <c r="I144" s="101"/>
      <c r="N144" s="73"/>
      <c r="O144" s="73"/>
      <c r="P144" s="73"/>
      <c r="Q144" s="73"/>
      <c r="R144" s="73"/>
      <c r="S144" s="73"/>
      <c r="T144" s="73"/>
      <c r="U144" s="73"/>
    </row>
    <row r="145" spans="1:21" ht="16.2" thickBot="1" x14ac:dyDescent="0.35">
      <c r="A145" s="3" t="s">
        <v>76</v>
      </c>
      <c r="B145" s="69"/>
      <c r="C145" s="69"/>
      <c r="D145" s="69"/>
      <c r="E145" s="69"/>
      <c r="F145" s="69"/>
      <c r="G145" s="69"/>
      <c r="H145" s="65"/>
      <c r="I145" s="155">
        <f>ROUND(I141/I143,2)</f>
        <v>-4400.3500000000004</v>
      </c>
      <c r="J145" s="236"/>
      <c r="N145" s="73"/>
      <c r="O145" s="73"/>
      <c r="P145" s="73"/>
      <c r="Q145" s="73"/>
      <c r="R145" s="73"/>
      <c r="S145" s="73"/>
      <c r="T145" s="73"/>
      <c r="U145" s="73"/>
    </row>
    <row r="146" spans="1:21" ht="16.2" thickTop="1" x14ac:dyDescent="0.3">
      <c r="B146" s="69"/>
      <c r="C146" s="69"/>
      <c r="D146" s="69"/>
      <c r="E146" s="69"/>
      <c r="F146" s="69"/>
      <c r="G146" s="69"/>
      <c r="H146" s="65"/>
      <c r="I146" s="101"/>
      <c r="N146" s="73"/>
      <c r="O146" s="73"/>
      <c r="P146" s="73"/>
      <c r="Q146" s="73"/>
      <c r="R146" s="73"/>
      <c r="S146" s="73"/>
      <c r="T146" s="73"/>
      <c r="U146" s="73"/>
    </row>
    <row r="147" spans="1:21" ht="16.2" thickBot="1" x14ac:dyDescent="0.35">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2" thickTop="1" x14ac:dyDescent="0.3">
      <c r="B148" s="69"/>
      <c r="C148" s="69"/>
      <c r="D148" s="69"/>
      <c r="E148" s="69"/>
      <c r="F148" s="69"/>
      <c r="G148" s="69"/>
      <c r="H148" s="65"/>
      <c r="I148" s="134"/>
      <c r="N148" s="73"/>
      <c r="O148" s="73"/>
      <c r="P148" s="73"/>
      <c r="Q148" s="73"/>
      <c r="R148" s="73"/>
      <c r="S148" s="73"/>
      <c r="T148" s="73"/>
      <c r="U148" s="73"/>
    </row>
    <row r="149" spans="1:21" x14ac:dyDescent="0.3">
      <c r="B149" s="69"/>
      <c r="C149" s="69"/>
      <c r="D149" s="69"/>
      <c r="E149" s="69"/>
      <c r="F149" s="69"/>
      <c r="G149" s="69"/>
      <c r="H149" s="65"/>
      <c r="I149" s="101"/>
      <c r="N149" s="73"/>
      <c r="O149" s="73"/>
      <c r="P149" s="73"/>
      <c r="Q149" s="73"/>
      <c r="R149" s="73"/>
      <c r="S149" s="73"/>
      <c r="T149" s="73"/>
      <c r="U149" s="73"/>
    </row>
    <row r="150" spans="1:21" x14ac:dyDescent="0.3">
      <c r="B150" s="69"/>
      <c r="C150" s="69"/>
      <c r="D150" s="69"/>
      <c r="E150" s="69"/>
      <c r="F150" s="69"/>
      <c r="G150" s="69"/>
      <c r="H150" s="65"/>
      <c r="I150" s="134"/>
      <c r="N150" s="73"/>
      <c r="O150" s="73"/>
      <c r="P150" s="73"/>
      <c r="Q150" s="73"/>
      <c r="R150" s="73"/>
      <c r="S150" s="73"/>
      <c r="T150" s="73"/>
      <c r="U150" s="73"/>
    </row>
    <row r="151" spans="1:21" x14ac:dyDescent="0.3">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3">
      <c r="A152" s="335" t="str">
        <f>'1461'!A152</f>
        <v>(a) Additional FTE includes FTE earned through Advanced Placement, International Baccalaureate, Advanced International Certificate of Education, Industry Certified Career</v>
      </c>
      <c r="B152" s="437"/>
      <c r="C152" s="437"/>
      <c r="D152" s="437"/>
      <c r="E152" s="437"/>
      <c r="F152" s="437"/>
      <c r="G152" s="437"/>
      <c r="H152" s="437"/>
      <c r="I152" s="437"/>
      <c r="J152" s="77"/>
      <c r="K152" s="76"/>
      <c r="L152" s="76"/>
      <c r="M152" s="76"/>
      <c r="N152" s="73"/>
      <c r="O152" s="73"/>
      <c r="P152" s="73"/>
      <c r="Q152" s="73"/>
      <c r="R152" s="73"/>
      <c r="S152" s="73"/>
      <c r="T152" s="73"/>
      <c r="U152" s="73"/>
    </row>
    <row r="153" spans="1:21" ht="15.75" customHeight="1" x14ac:dyDescent="0.3">
      <c r="A153" s="363" t="s">
        <v>434</v>
      </c>
      <c r="B153" s="437"/>
      <c r="C153" s="437"/>
      <c r="D153" s="437"/>
      <c r="E153" s="437"/>
      <c r="F153" s="437"/>
      <c r="G153" s="437"/>
      <c r="H153" s="437"/>
      <c r="I153" s="437"/>
      <c r="J153" s="77"/>
      <c r="K153" s="76"/>
      <c r="L153" s="76"/>
      <c r="M153" s="76"/>
      <c r="N153" s="73"/>
      <c r="O153" s="73"/>
      <c r="P153" s="73"/>
      <c r="Q153" s="73"/>
      <c r="R153" s="73"/>
      <c r="S153" s="73"/>
      <c r="T153" s="73"/>
      <c r="U153" s="73"/>
    </row>
    <row r="154" spans="1:21" x14ac:dyDescent="0.3">
      <c r="A154" s="335" t="s">
        <v>435</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3">
      <c r="A155" s="335" t="s">
        <v>436</v>
      </c>
      <c r="B155" s="251"/>
      <c r="C155" s="251"/>
      <c r="D155" s="251"/>
      <c r="E155" s="251"/>
      <c r="F155" s="251"/>
      <c r="G155" s="251"/>
      <c r="H155" s="251"/>
      <c r="I155" s="251"/>
      <c r="N155" s="816"/>
      <c r="O155" s="816"/>
      <c r="P155" s="816"/>
      <c r="Q155" s="816"/>
      <c r="R155" s="816"/>
      <c r="S155" s="816"/>
      <c r="T155" s="816"/>
      <c r="U155" s="816"/>
    </row>
    <row r="156" spans="1:21" s="76" customFormat="1" x14ac:dyDescent="0.3">
      <c r="A156" s="335" t="s">
        <v>437</v>
      </c>
      <c r="B156" s="251"/>
      <c r="C156" s="251"/>
      <c r="D156" s="251"/>
      <c r="E156" s="251"/>
      <c r="F156" s="251"/>
      <c r="G156" s="251"/>
      <c r="H156" s="251"/>
      <c r="I156" s="251"/>
      <c r="N156" s="73"/>
      <c r="O156" s="73"/>
      <c r="P156" s="73"/>
      <c r="Q156" s="73"/>
      <c r="R156" s="73"/>
      <c r="S156" s="73"/>
      <c r="T156" s="73"/>
      <c r="U156" s="73"/>
    </row>
    <row r="157" spans="1:21" s="76" customFormat="1" x14ac:dyDescent="0.3">
      <c r="A157" s="335" t="s">
        <v>438</v>
      </c>
      <c r="B157" s="251"/>
      <c r="C157" s="251"/>
      <c r="D157" s="251"/>
      <c r="E157" s="251"/>
      <c r="F157" s="251"/>
      <c r="G157" s="251"/>
      <c r="H157" s="251"/>
      <c r="I157" s="251"/>
      <c r="N157" s="78"/>
      <c r="O157" s="79"/>
      <c r="P157" s="79"/>
      <c r="Q157" s="79"/>
      <c r="R157" s="79"/>
      <c r="S157" s="79"/>
      <c r="T157" s="79"/>
      <c r="U157" s="79"/>
    </row>
    <row r="158" spans="1:21" s="76" customFormat="1" x14ac:dyDescent="0.3">
      <c r="A158" s="335" t="s">
        <v>439</v>
      </c>
      <c r="B158" s="251"/>
      <c r="C158" s="251"/>
      <c r="D158" s="251"/>
      <c r="E158" s="251"/>
      <c r="F158" s="251"/>
      <c r="G158" s="251"/>
      <c r="H158" s="251"/>
      <c r="I158" s="251"/>
      <c r="N158" s="78"/>
    </row>
    <row r="159" spans="1:21" s="76" customFormat="1" x14ac:dyDescent="0.3">
      <c r="A159" s="335" t="s">
        <v>441</v>
      </c>
      <c r="B159" s="251"/>
      <c r="C159" s="251"/>
      <c r="D159" s="251"/>
      <c r="E159" s="251"/>
      <c r="F159" s="251"/>
      <c r="G159" s="251"/>
      <c r="H159" s="251"/>
      <c r="I159" s="251"/>
      <c r="N159" s="78"/>
    </row>
    <row r="160" spans="1:21" s="76" customFormat="1" x14ac:dyDescent="0.3">
      <c r="A160" s="436" t="s">
        <v>440</v>
      </c>
      <c r="B160" s="251"/>
      <c r="C160" s="251"/>
      <c r="D160" s="251"/>
      <c r="E160" s="251"/>
      <c r="F160" s="251"/>
      <c r="G160" s="251"/>
      <c r="H160" s="251"/>
      <c r="I160" s="251"/>
      <c r="N160" s="78"/>
    </row>
    <row r="161" spans="1:14" s="76" customFormat="1" x14ac:dyDescent="0.3">
      <c r="A161" s="335" t="s">
        <v>442</v>
      </c>
      <c r="B161" s="251"/>
      <c r="C161" s="251"/>
      <c r="D161" s="251"/>
      <c r="E161" s="251"/>
      <c r="F161" s="251"/>
      <c r="G161" s="251"/>
      <c r="H161" s="251"/>
      <c r="I161" s="251"/>
      <c r="N161" s="78"/>
    </row>
    <row r="162" spans="1:14" s="76" customFormat="1" x14ac:dyDescent="0.3">
      <c r="A162" s="363" t="str">
        <f>'1461'!A162</f>
        <v>"All Adjusted ESE Riders" should include only ESE Riders.</v>
      </c>
      <c r="B162" s="251"/>
      <c r="C162" s="251"/>
      <c r="D162" s="251"/>
      <c r="E162" s="251"/>
      <c r="F162" s="251"/>
      <c r="G162" s="251"/>
      <c r="H162" s="251"/>
      <c r="I162" s="251"/>
      <c r="N162" s="78"/>
    </row>
    <row r="163" spans="1:14" s="76" customFormat="1" x14ac:dyDescent="0.3">
      <c r="A163" s="335" t="s">
        <v>445</v>
      </c>
      <c r="B163" s="251"/>
      <c r="C163" s="251"/>
      <c r="D163" s="251"/>
      <c r="E163" s="251"/>
      <c r="F163" s="251"/>
      <c r="G163" s="251"/>
      <c r="H163" s="251"/>
      <c r="I163" s="251"/>
      <c r="N163" s="78"/>
    </row>
    <row r="164" spans="1:14" s="76" customFormat="1" ht="15.75" customHeight="1" x14ac:dyDescent="0.3">
      <c r="A164" s="335"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3">
      <c r="A165" s="335" t="s">
        <v>447</v>
      </c>
      <c r="B165" s="292"/>
      <c r="C165" s="292"/>
      <c r="D165" s="292"/>
      <c r="E165" s="292"/>
      <c r="F165" s="292"/>
      <c r="G165" s="292"/>
      <c r="H165" s="292"/>
      <c r="I165" s="292"/>
      <c r="N165" s="78"/>
    </row>
    <row r="166" spans="1:14" s="76" customFormat="1" ht="15.75" customHeight="1" x14ac:dyDescent="0.3">
      <c r="A166" s="363" t="s">
        <v>446</v>
      </c>
      <c r="B166" s="292"/>
      <c r="C166" s="292"/>
      <c r="D166" s="292"/>
      <c r="E166" s="292"/>
      <c r="F166" s="292"/>
      <c r="G166" s="292"/>
      <c r="H166" s="292"/>
      <c r="I166" s="292"/>
      <c r="N166" s="78"/>
    </row>
    <row r="167" spans="1:14" s="76" customFormat="1" ht="15.75" customHeight="1" x14ac:dyDescent="0.3">
      <c r="A167" s="335" t="s">
        <v>448</v>
      </c>
      <c r="B167" s="355"/>
      <c r="C167" s="355"/>
      <c r="D167" s="355"/>
      <c r="E167" s="355"/>
      <c r="F167" s="355"/>
      <c r="G167" s="355"/>
      <c r="H167" s="355"/>
      <c r="I167" s="355"/>
      <c r="N167" s="78"/>
    </row>
    <row r="168" spans="1:14" s="76" customFormat="1" ht="15.75" customHeight="1" x14ac:dyDescent="0.3">
      <c r="A168" s="363" t="str">
        <f>'1461'!A168</f>
        <v xml:space="preserve">unweighted full-time equivalent students. </v>
      </c>
      <c r="B168" s="355"/>
      <c r="C168" s="355"/>
      <c r="D168" s="355"/>
      <c r="E168" s="355"/>
      <c r="F168" s="355"/>
      <c r="G168" s="355"/>
      <c r="H168" s="355"/>
      <c r="I168" s="355"/>
      <c r="N168" s="78"/>
    </row>
    <row r="169" spans="1:14" s="76" customFormat="1" ht="15.75" customHeight="1" x14ac:dyDescent="0.3">
      <c r="A169" s="335" t="s">
        <v>450</v>
      </c>
      <c r="B169" s="355"/>
      <c r="C169" s="355"/>
      <c r="D169" s="355"/>
      <c r="E169" s="355"/>
      <c r="F169" s="355"/>
      <c r="G169" s="355"/>
      <c r="H169" s="355"/>
      <c r="I169" s="355"/>
      <c r="N169" s="78"/>
    </row>
    <row r="170" spans="1:14" s="76" customFormat="1" ht="15.75" customHeight="1" x14ac:dyDescent="0.3">
      <c r="A170" s="363" t="s">
        <v>449</v>
      </c>
      <c r="B170" s="355"/>
      <c r="C170" s="355"/>
      <c r="D170" s="355"/>
      <c r="E170" s="355"/>
      <c r="F170" s="355"/>
      <c r="G170" s="355"/>
      <c r="H170" s="355"/>
      <c r="I170" s="355"/>
      <c r="N170" s="78"/>
    </row>
    <row r="171" spans="1:14" s="76" customFormat="1" ht="15.75" customHeight="1" x14ac:dyDescent="0.3">
      <c r="A171" s="335"/>
      <c r="B171" s="355"/>
      <c r="C171" s="355"/>
      <c r="D171" s="355"/>
      <c r="E171" s="355"/>
      <c r="F171" s="355"/>
      <c r="G171" s="355"/>
      <c r="H171" s="355"/>
      <c r="I171" s="355"/>
      <c r="N171" s="78"/>
    </row>
    <row r="172" spans="1:14" s="76" customFormat="1" ht="15.75" customHeight="1" x14ac:dyDescent="0.3">
      <c r="A172" s="371" t="str">
        <f>'1461'!A172</f>
        <v>Administrative fees:</v>
      </c>
      <c r="B172" s="292"/>
      <c r="C172" s="292"/>
      <c r="D172" s="292"/>
      <c r="E172" s="292"/>
      <c r="F172" s="292"/>
      <c r="G172" s="292"/>
      <c r="H172" s="292"/>
      <c r="I172" s="292"/>
      <c r="J172" s="3"/>
      <c r="K172" s="3"/>
      <c r="L172" s="3"/>
      <c r="M172" s="3"/>
      <c r="N172" s="78"/>
    </row>
    <row r="173" spans="1:14" s="76" customFormat="1" ht="15.75" customHeight="1" x14ac:dyDescent="0.3">
      <c r="A173" s="372"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3">
      <c r="A174" s="373"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3">
      <c r="A175" s="373" t="s">
        <v>451</v>
      </c>
      <c r="B175" s="292"/>
      <c r="C175" s="292"/>
      <c r="D175" s="292"/>
      <c r="E175" s="292"/>
      <c r="F175" s="292"/>
      <c r="G175" s="292"/>
      <c r="H175" s="292"/>
      <c r="I175" s="292"/>
      <c r="J175" s="3"/>
      <c r="K175" s="3"/>
      <c r="L175" s="3"/>
      <c r="M175" s="3"/>
      <c r="N175" s="78"/>
    </row>
    <row r="176" spans="1:14" s="76" customFormat="1" ht="15.75" customHeight="1" x14ac:dyDescent="0.3">
      <c r="A176" s="373" t="s">
        <v>452</v>
      </c>
      <c r="B176" s="367"/>
      <c r="C176" s="367"/>
      <c r="D176" s="367"/>
      <c r="E176" s="367"/>
      <c r="F176" s="367"/>
      <c r="G176" s="367"/>
      <c r="H176" s="367"/>
      <c r="I176" s="367"/>
      <c r="N176" s="78"/>
    </row>
    <row r="177" spans="1:21" s="76" customFormat="1" ht="15.75" customHeight="1" x14ac:dyDescent="0.3">
      <c r="A177" s="372"/>
      <c r="B177" s="367"/>
      <c r="C177" s="367"/>
      <c r="D177" s="367"/>
      <c r="E177" s="367"/>
      <c r="F177" s="367"/>
      <c r="G177" s="367"/>
      <c r="H177" s="367"/>
      <c r="I177" s="367"/>
      <c r="N177" s="78"/>
    </row>
    <row r="178" spans="1:21" ht="15.75" customHeight="1" x14ac:dyDescent="0.3">
      <c r="A178" s="372"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3">
      <c r="A179" s="373" t="str">
        <f>'1461'!A179</f>
        <v>funding for which charter students may be eligible.  To calculate the administrative fee to be withheld for schools with more than 250 students, divide the school</v>
      </c>
      <c r="B179" s="355"/>
      <c r="C179" s="355"/>
      <c r="D179" s="355"/>
      <c r="E179" s="355"/>
      <c r="F179" s="355"/>
      <c r="G179" s="355"/>
      <c r="H179" s="355"/>
      <c r="I179" s="355"/>
      <c r="J179" s="76"/>
      <c r="K179" s="76"/>
      <c r="L179" s="76"/>
      <c r="M179" s="76"/>
      <c r="N179" s="74"/>
    </row>
    <row r="180" spans="1:21" s="76" customFormat="1" ht="15.75" customHeight="1" x14ac:dyDescent="0.3">
      <c r="A180" s="373"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3">
      <c r="A181" s="335"/>
      <c r="N181" s="78"/>
      <c r="O181" s="76"/>
      <c r="P181" s="76"/>
      <c r="Q181" s="76"/>
      <c r="R181" s="76"/>
      <c r="S181" s="76"/>
      <c r="T181" s="76"/>
      <c r="U181" s="76"/>
    </row>
    <row r="182" spans="1:21" x14ac:dyDescent="0.3">
      <c r="A182" s="371" t="str">
        <f>'1461'!A182</f>
        <v>Other:</v>
      </c>
      <c r="N182" s="78"/>
      <c r="O182" s="76"/>
      <c r="P182" s="76"/>
      <c r="Q182" s="76"/>
      <c r="R182" s="76"/>
      <c r="S182" s="76"/>
      <c r="T182" s="76"/>
      <c r="U182" s="76"/>
    </row>
    <row r="183" spans="1:21" x14ac:dyDescent="0.3">
      <c r="A183" s="372"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3">
      <c r="A184" s="375" t="str">
        <f>'1461'!A184</f>
        <v>by the Commissioner of Education.</v>
      </c>
      <c r="N184" s="74"/>
    </row>
    <row r="185" spans="1:21" x14ac:dyDescent="0.3">
      <c r="A185" s="372" t="str">
        <f>'1461'!A185</f>
        <v>Revenues flow to districts from state sources and from county tax collectors on various distribution schedules.</v>
      </c>
      <c r="N185" s="74"/>
    </row>
    <row r="186" spans="1:21" x14ac:dyDescent="0.3">
      <c r="A186" s="74"/>
      <c r="N186" s="74"/>
    </row>
    <row r="187" spans="1:21" x14ac:dyDescent="0.3">
      <c r="A187" s="74"/>
      <c r="N187" s="74"/>
    </row>
    <row r="188" spans="1:21" x14ac:dyDescent="0.3">
      <c r="A188" s="74"/>
      <c r="N188" s="74"/>
    </row>
    <row r="189" spans="1:21" x14ac:dyDescent="0.3">
      <c r="A189" s="74"/>
      <c r="N189" s="74"/>
    </row>
    <row r="190" spans="1:21" x14ac:dyDescent="0.3">
      <c r="A190" s="74"/>
      <c r="N190" s="74"/>
    </row>
    <row r="191" spans="1:21" x14ac:dyDescent="0.3">
      <c r="A191" s="74"/>
      <c r="N191" s="74"/>
    </row>
    <row r="192" spans="1:21" x14ac:dyDescent="0.3">
      <c r="A192" s="74"/>
      <c r="N192" s="74"/>
    </row>
    <row r="193" spans="1:14" x14ac:dyDescent="0.3">
      <c r="A193" s="74"/>
      <c r="N193" s="74"/>
    </row>
    <row r="194" spans="1:14" x14ac:dyDescent="0.3">
      <c r="A194" s="74"/>
      <c r="N194" s="74"/>
    </row>
    <row r="195" spans="1:14" x14ac:dyDescent="0.3">
      <c r="A195" s="74"/>
      <c r="N195" s="74"/>
    </row>
    <row r="196" spans="1:14" x14ac:dyDescent="0.3">
      <c r="A196" s="74"/>
      <c r="N196" s="74"/>
    </row>
    <row r="197" spans="1:14" x14ac:dyDescent="0.3">
      <c r="A197" s="74"/>
      <c r="N197" s="74"/>
    </row>
    <row r="198" spans="1:14" x14ac:dyDescent="0.3">
      <c r="A198" s="74"/>
      <c r="N198" s="74"/>
    </row>
    <row r="199" spans="1:14" x14ac:dyDescent="0.3">
      <c r="A199" s="74"/>
      <c r="N199" s="74"/>
    </row>
    <row r="200" spans="1:14" x14ac:dyDescent="0.3">
      <c r="A200" s="74"/>
      <c r="N200" s="74"/>
    </row>
    <row r="201" spans="1:14" x14ac:dyDescent="0.3">
      <c r="A201" s="74"/>
      <c r="N201" s="74"/>
    </row>
    <row r="202" spans="1:14" x14ac:dyDescent="0.3">
      <c r="A202" s="74"/>
      <c r="N202" s="74"/>
    </row>
    <row r="203" spans="1:14" x14ac:dyDescent="0.3">
      <c r="A203" s="74"/>
      <c r="N203" s="74"/>
    </row>
    <row r="204" spans="1:14" x14ac:dyDescent="0.3">
      <c r="A204" s="74"/>
      <c r="N204" s="74"/>
    </row>
    <row r="205" spans="1:14" x14ac:dyDescent="0.3">
      <c r="A205" s="74"/>
      <c r="N205" s="74"/>
    </row>
    <row r="206" spans="1:14" x14ac:dyDescent="0.3">
      <c r="A206" s="74"/>
    </row>
    <row r="207" spans="1:14" x14ac:dyDescent="0.3">
      <c r="A207" s="74"/>
    </row>
    <row r="208" spans="1:14" x14ac:dyDescent="0.3">
      <c r="A208" s="74"/>
    </row>
    <row r="209" spans="1:1" x14ac:dyDescent="0.3">
      <c r="A209" s="74"/>
    </row>
    <row r="210" spans="1:1" x14ac:dyDescent="0.3">
      <c r="A210" s="74"/>
    </row>
    <row r="211" spans="1:1" x14ac:dyDescent="0.3">
      <c r="A211" s="74"/>
    </row>
    <row r="212" spans="1:1" x14ac:dyDescent="0.3">
      <c r="A212" s="74"/>
    </row>
    <row r="213" spans="1:1" x14ac:dyDescent="0.3">
      <c r="A213" s="74"/>
    </row>
    <row r="214" spans="1:1" x14ac:dyDescent="0.3">
      <c r="A214" s="74"/>
    </row>
    <row r="215" spans="1:1" x14ac:dyDescent="0.3">
      <c r="A215" s="74"/>
    </row>
    <row r="216" spans="1:1" x14ac:dyDescent="0.3">
      <c r="A216" s="74"/>
    </row>
    <row r="217" spans="1:1" x14ac:dyDescent="0.3">
      <c r="A217" s="74"/>
    </row>
    <row r="218" spans="1:1" x14ac:dyDescent="0.3">
      <c r="A218" s="74"/>
    </row>
    <row r="219" spans="1:1" x14ac:dyDescent="0.3">
      <c r="A219" s="74"/>
    </row>
    <row r="220" spans="1:1" x14ac:dyDescent="0.3">
      <c r="A220" s="74"/>
    </row>
    <row r="221" spans="1:1" x14ac:dyDescent="0.3">
      <c r="A221" s="74"/>
    </row>
  </sheetData>
  <mergeCells count="260">
    <mergeCell ref="P56:Q56"/>
    <mergeCell ref="P57:Q57"/>
    <mergeCell ref="P58:Q58"/>
    <mergeCell ref="P59:Q59"/>
    <mergeCell ref="P60:Q60"/>
    <mergeCell ref="P61:Q61"/>
    <mergeCell ref="P62:Q62"/>
    <mergeCell ref="P63:Q63"/>
    <mergeCell ref="P64:Q64"/>
    <mergeCell ref="N8:O8"/>
    <mergeCell ref="P8:Q8"/>
    <mergeCell ref="R8:S8"/>
    <mergeCell ref="T8:U8"/>
    <mergeCell ref="F11:G11"/>
    <mergeCell ref="R11:S11"/>
    <mergeCell ref="A7:I7"/>
    <mergeCell ref="N12:O12"/>
    <mergeCell ref="P12:Q12"/>
    <mergeCell ref="R12:S12"/>
    <mergeCell ref="T9:U9"/>
    <mergeCell ref="B1:I1"/>
    <mergeCell ref="O1:U1"/>
    <mergeCell ref="N2:U2"/>
    <mergeCell ref="N3:U3"/>
    <mergeCell ref="A4:B4"/>
    <mergeCell ref="C4:E4"/>
    <mergeCell ref="N4:O4"/>
    <mergeCell ref="P4:Q4"/>
    <mergeCell ref="N7:U7"/>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N16:O16"/>
    <mergeCell ref="P16:Q16"/>
    <mergeCell ref="R16:S16"/>
    <mergeCell ref="A17:B17"/>
    <mergeCell ref="F17:G17"/>
    <mergeCell ref="N17:O17"/>
    <mergeCell ref="P17:Q17"/>
    <mergeCell ref="R17:S17"/>
    <mergeCell ref="A16:B16"/>
    <mergeCell ref="F16:G16"/>
    <mergeCell ref="N18:O18"/>
    <mergeCell ref="P18:Q18"/>
    <mergeCell ref="R18:S18"/>
    <mergeCell ref="A19:B19"/>
    <mergeCell ref="F19:G19"/>
    <mergeCell ref="N19:O19"/>
    <mergeCell ref="P19:Q19"/>
    <mergeCell ref="R19:S19"/>
    <mergeCell ref="A18:B18"/>
    <mergeCell ref="F18:G18"/>
    <mergeCell ref="F20:G20"/>
    <mergeCell ref="N20:O20"/>
    <mergeCell ref="P20:Q20"/>
    <mergeCell ref="R20:S20"/>
    <mergeCell ref="A21:B21"/>
    <mergeCell ref="F21:G21"/>
    <mergeCell ref="N21:O21"/>
    <mergeCell ref="P21:Q21"/>
    <mergeCell ref="R21:S21"/>
    <mergeCell ref="A20:B20"/>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N35:T35"/>
    <mergeCell ref="A37:B37"/>
    <mergeCell ref="N37:O37"/>
    <mergeCell ref="P37:T37"/>
    <mergeCell ref="A38:B38"/>
    <mergeCell ref="N38:O38"/>
    <mergeCell ref="P38:T38"/>
    <mergeCell ref="F34:H37"/>
    <mergeCell ref="A39:B39"/>
    <mergeCell ref="N39:O39"/>
    <mergeCell ref="P39:T39"/>
    <mergeCell ref="A40:B40"/>
    <mergeCell ref="N40:O40"/>
    <mergeCell ref="P40:T40"/>
    <mergeCell ref="A41:B41"/>
    <mergeCell ref="N41:O41"/>
    <mergeCell ref="P41:T41"/>
    <mergeCell ref="A42:B42"/>
    <mergeCell ref="N42:O42"/>
    <mergeCell ref="P42:T42"/>
    <mergeCell ref="A43:B43"/>
    <mergeCell ref="N43:O43"/>
    <mergeCell ref="P43:T43"/>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N88:P88"/>
    <mergeCell ref="N76:S76"/>
    <mergeCell ref="T76:U76"/>
    <mergeCell ref="A78:B78"/>
    <mergeCell ref="D78:G78"/>
    <mergeCell ref="N78:O78"/>
    <mergeCell ref="Q78:S78"/>
    <mergeCell ref="T78:U78"/>
    <mergeCell ref="N79:S79"/>
    <mergeCell ref="T79:U79"/>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C104:D104"/>
    <mergeCell ref="P104:Q104"/>
    <mergeCell ref="C105:D105"/>
    <mergeCell ref="P105:Q105"/>
    <mergeCell ref="C106:D106"/>
    <mergeCell ref="P106:Q106"/>
    <mergeCell ref="C107:D107"/>
    <mergeCell ref="P107:T107"/>
    <mergeCell ref="A108:I108"/>
    <mergeCell ref="N108:U108"/>
    <mergeCell ref="F110:I110"/>
    <mergeCell ref="N110:P110"/>
    <mergeCell ref="Q110:T110"/>
    <mergeCell ref="R120:S120"/>
    <mergeCell ref="A113:B113"/>
    <mergeCell ref="N113:O113"/>
    <mergeCell ref="P113:R113"/>
    <mergeCell ref="A114:B114"/>
    <mergeCell ref="N114:O114"/>
    <mergeCell ref="P114:R114"/>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7"/>
  <dimension ref="A1:K42"/>
  <sheetViews>
    <sheetView workbookViewId="0"/>
  </sheetViews>
  <sheetFormatPr defaultColWidth="9.109375" defaultRowHeight="15.6" x14ac:dyDescent="0.3"/>
  <cols>
    <col min="1" max="1" width="9.109375" style="135"/>
    <col min="2" max="2" width="47.88671875" style="135" bestFit="1" customWidth="1"/>
    <col min="3" max="3" width="8.44140625" style="135" bestFit="1" customWidth="1"/>
    <col min="4" max="4" width="5.5546875" style="135" customWidth="1"/>
    <col min="5" max="5" width="17.44140625" style="135" customWidth="1"/>
    <col min="6" max="6" width="10.109375" style="135" bestFit="1" customWidth="1"/>
    <col min="7" max="16384" width="9.109375" style="135"/>
  </cols>
  <sheetData>
    <row r="1" spans="1:11" x14ac:dyDescent="0.3">
      <c r="A1" s="158"/>
      <c r="B1" s="159"/>
      <c r="C1" s="180"/>
      <c r="D1" s="180"/>
      <c r="E1" s="160">
        <v>50</v>
      </c>
      <c r="F1" s="158"/>
      <c r="G1" s="158"/>
      <c r="H1" s="158"/>
    </row>
    <row r="2" spans="1:11" ht="21" x14ac:dyDescent="0.4">
      <c r="A2" s="161"/>
      <c r="B2" s="171" t="s">
        <v>273</v>
      </c>
      <c r="C2" s="171"/>
      <c r="D2" s="171"/>
      <c r="E2" s="161"/>
      <c r="F2" s="161"/>
      <c r="G2" s="161"/>
      <c r="H2" s="161"/>
    </row>
    <row r="3" spans="1:11" x14ac:dyDescent="0.3">
      <c r="B3" s="172" t="s">
        <v>258</v>
      </c>
      <c r="C3" s="172"/>
      <c r="D3" s="172"/>
      <c r="E3" s="282" t="str">
        <f>'1461'!F4</f>
        <v>FY 25 Final Payment</v>
      </c>
      <c r="F3" s="157"/>
      <c r="G3" s="157"/>
      <c r="H3" s="157"/>
    </row>
    <row r="4" spans="1:11" x14ac:dyDescent="0.3">
      <c r="A4" s="158"/>
      <c r="B4" s="158"/>
      <c r="C4" s="158"/>
      <c r="D4" s="158"/>
      <c r="E4" s="158"/>
      <c r="F4" s="158"/>
      <c r="G4" s="158"/>
      <c r="H4" s="158"/>
    </row>
    <row r="5" spans="1:11" x14ac:dyDescent="0.3">
      <c r="A5" s="158"/>
      <c r="B5" s="162" t="s">
        <v>135</v>
      </c>
      <c r="C5" s="162"/>
      <c r="D5" s="162"/>
      <c r="E5" s="163" t="s">
        <v>9</v>
      </c>
      <c r="F5" s="158"/>
      <c r="G5" s="158"/>
      <c r="H5" s="158"/>
    </row>
    <row r="6" spans="1:11" x14ac:dyDescent="0.3">
      <c r="A6" s="158"/>
      <c r="B6" s="158"/>
      <c r="C6" s="158"/>
      <c r="D6" s="158"/>
      <c r="E6" s="158"/>
      <c r="F6" s="158"/>
      <c r="G6" s="158"/>
      <c r="H6" s="158"/>
    </row>
    <row r="7" spans="1:11" x14ac:dyDescent="0.3">
      <c r="A7" s="158"/>
      <c r="B7" s="164"/>
      <c r="C7" s="181"/>
      <c r="D7" s="181"/>
      <c r="E7" s="165" t="s">
        <v>136</v>
      </c>
      <c r="F7" s="158"/>
      <c r="G7" s="158"/>
      <c r="H7" s="158"/>
    </row>
    <row r="8" spans="1:11" x14ac:dyDescent="0.3">
      <c r="A8" s="158"/>
      <c r="B8" s="173" t="s">
        <v>148</v>
      </c>
      <c r="C8" s="173"/>
      <c r="D8" s="173"/>
      <c r="E8" s="244">
        <v>885681905</v>
      </c>
      <c r="F8" s="158"/>
      <c r="G8" s="158"/>
      <c r="H8" s="158"/>
      <c r="K8" s="248" t="s">
        <v>266</v>
      </c>
    </row>
    <row r="9" spans="1:11" x14ac:dyDescent="0.3">
      <c r="A9" s="158"/>
      <c r="B9" s="173" t="s">
        <v>236</v>
      </c>
      <c r="C9" s="173"/>
      <c r="D9" s="173"/>
      <c r="E9" s="244">
        <v>0</v>
      </c>
      <c r="F9" s="158"/>
      <c r="G9" s="158"/>
      <c r="H9" s="158"/>
      <c r="K9" s="248" t="s">
        <v>266</v>
      </c>
    </row>
    <row r="10" spans="1:11" x14ac:dyDescent="0.3">
      <c r="A10" s="158"/>
      <c r="B10" s="162" t="s">
        <v>137</v>
      </c>
      <c r="C10" s="162"/>
      <c r="D10" s="162"/>
      <c r="E10" s="244">
        <v>126865223</v>
      </c>
      <c r="F10" s="158"/>
      <c r="G10" s="158"/>
      <c r="H10" s="158"/>
      <c r="K10" s="248" t="s">
        <v>266</v>
      </c>
    </row>
    <row r="11" spans="1:11" x14ac:dyDescent="0.3">
      <c r="A11" s="158"/>
      <c r="B11" s="162" t="s">
        <v>138</v>
      </c>
      <c r="C11" s="162"/>
      <c r="D11" s="162"/>
      <c r="E11" s="244">
        <v>0</v>
      </c>
      <c r="F11" s="158"/>
      <c r="G11" s="158"/>
      <c r="H11" s="158"/>
      <c r="K11" s="248" t="s">
        <v>266</v>
      </c>
    </row>
    <row r="12" spans="1:11" x14ac:dyDescent="0.3">
      <c r="A12" s="158"/>
      <c r="B12" s="162" t="s">
        <v>139</v>
      </c>
      <c r="C12" s="162"/>
      <c r="D12" s="162"/>
      <c r="E12" s="244">
        <v>8613749</v>
      </c>
      <c r="F12" s="158"/>
      <c r="G12" s="158"/>
      <c r="H12" s="158"/>
      <c r="K12" s="248" t="s">
        <v>266</v>
      </c>
    </row>
    <row r="13" spans="1:11" x14ac:dyDescent="0.3">
      <c r="A13" s="158"/>
      <c r="B13" s="162" t="s">
        <v>140</v>
      </c>
      <c r="C13" s="162"/>
      <c r="D13" s="162"/>
      <c r="E13" s="244">
        <v>14865036</v>
      </c>
      <c r="F13" s="158"/>
      <c r="G13" s="158"/>
      <c r="H13" s="158"/>
      <c r="K13" s="248" t="s">
        <v>266</v>
      </c>
    </row>
    <row r="14" spans="1:11" x14ac:dyDescent="0.3">
      <c r="A14" s="158"/>
      <c r="B14" s="184" t="s">
        <v>8</v>
      </c>
      <c r="C14" s="162" t="s">
        <v>150</v>
      </c>
      <c r="D14" s="162"/>
      <c r="E14" s="177">
        <f>SUM(E8:E13)</f>
        <v>1036025913</v>
      </c>
      <c r="F14" s="158"/>
      <c r="G14" s="158"/>
      <c r="H14" s="158"/>
    </row>
    <row r="15" spans="1:11" x14ac:dyDescent="0.3">
      <c r="A15" s="158"/>
      <c r="B15" s="162"/>
      <c r="C15" s="162"/>
      <c r="D15" s="162"/>
      <c r="E15" s="178"/>
      <c r="F15" s="158"/>
      <c r="G15" s="158"/>
      <c r="H15" s="158"/>
    </row>
    <row r="16" spans="1:11" x14ac:dyDescent="0.3">
      <c r="A16" s="158"/>
      <c r="B16" s="173" t="s">
        <v>149</v>
      </c>
      <c r="C16" s="173" t="s">
        <v>3</v>
      </c>
      <c r="D16" s="173"/>
      <c r="E16" s="245">
        <v>187935.23</v>
      </c>
      <c r="F16" s="158"/>
      <c r="G16" s="158"/>
      <c r="H16" s="158"/>
      <c r="K16" s="248" t="s">
        <v>266</v>
      </c>
    </row>
    <row r="17" spans="1:8" x14ac:dyDescent="0.3">
      <c r="A17" s="158"/>
      <c r="B17" s="173"/>
      <c r="C17" s="173"/>
      <c r="D17" s="173"/>
      <c r="E17" s="175"/>
      <c r="F17" s="158"/>
      <c r="G17" s="158"/>
      <c r="H17" s="158"/>
    </row>
    <row r="18" spans="1:8" x14ac:dyDescent="0.3">
      <c r="A18" s="158"/>
      <c r="B18" s="162" t="s">
        <v>141</v>
      </c>
      <c r="C18" s="162" t="s">
        <v>151</v>
      </c>
      <c r="D18" s="162"/>
      <c r="E18" s="176">
        <f>ROUND(E14/E16,2)</f>
        <v>5512.68</v>
      </c>
      <c r="F18" s="158"/>
      <c r="G18" s="158"/>
      <c r="H18" s="158"/>
    </row>
    <row r="19" spans="1:8" x14ac:dyDescent="0.3">
      <c r="A19" s="158"/>
      <c r="B19" s="162" t="s">
        <v>142</v>
      </c>
      <c r="C19" s="162"/>
      <c r="D19" s="162"/>
      <c r="E19" s="179">
        <f>IF(E18&gt;5230,0,5230-E18)</f>
        <v>0</v>
      </c>
      <c r="F19" s="158"/>
      <c r="G19" s="158"/>
      <c r="H19" s="158"/>
    </row>
    <row r="20" spans="1:8" x14ac:dyDescent="0.3">
      <c r="A20" s="158"/>
      <c r="B20" s="162" t="s">
        <v>143</v>
      </c>
      <c r="C20" s="162"/>
      <c r="D20" s="162"/>
      <c r="E20" s="174">
        <f>E18+E19</f>
        <v>5512.68</v>
      </c>
      <c r="F20" s="158"/>
      <c r="G20" s="158"/>
      <c r="H20" s="158"/>
    </row>
    <row r="21" spans="1:8" x14ac:dyDescent="0.3">
      <c r="A21" s="158"/>
      <c r="B21" s="158"/>
      <c r="C21" s="158"/>
      <c r="D21" s="158"/>
      <c r="E21" s="158"/>
      <c r="F21" s="158"/>
      <c r="G21" s="158"/>
      <c r="H21" s="158"/>
    </row>
    <row r="22" spans="1:8" x14ac:dyDescent="0.3">
      <c r="A22" s="158"/>
      <c r="B22" s="258" t="s">
        <v>244</v>
      </c>
      <c r="C22" s="167"/>
      <c r="D22" s="167"/>
      <c r="E22" s="246">
        <v>0</v>
      </c>
      <c r="F22" s="158"/>
      <c r="G22" s="158"/>
      <c r="H22" s="158"/>
    </row>
    <row r="23" spans="1:8" x14ac:dyDescent="0.3">
      <c r="A23" s="158"/>
      <c r="B23" s="258" t="s">
        <v>245</v>
      </c>
      <c r="C23" s="167"/>
      <c r="D23" s="167"/>
      <c r="E23" s="247">
        <v>0</v>
      </c>
      <c r="F23" s="158"/>
      <c r="G23" s="158"/>
      <c r="H23" s="158"/>
    </row>
    <row r="24" spans="1:8" x14ac:dyDescent="0.3">
      <c r="A24" s="158"/>
      <c r="B24" s="167" t="s">
        <v>144</v>
      </c>
      <c r="C24" s="167"/>
      <c r="D24" s="167"/>
      <c r="E24" s="168">
        <f>+E22+E23</f>
        <v>0</v>
      </c>
      <c r="F24" s="158"/>
      <c r="G24" s="158"/>
      <c r="H24" s="158"/>
    </row>
    <row r="25" spans="1:8" x14ac:dyDescent="0.3">
      <c r="A25" s="158"/>
      <c r="B25" s="167"/>
      <c r="C25" s="167"/>
      <c r="D25" s="167"/>
      <c r="E25" s="182"/>
      <c r="F25" s="158"/>
      <c r="G25" s="158"/>
      <c r="H25" s="158"/>
    </row>
    <row r="26" spans="1:8" x14ac:dyDescent="0.3">
      <c r="A26" s="158"/>
      <c r="B26" s="162" t="s">
        <v>145</v>
      </c>
      <c r="C26" s="162"/>
      <c r="D26" s="162"/>
      <c r="E26" s="183">
        <f>E20*E24</f>
        <v>0</v>
      </c>
      <c r="F26" s="158"/>
      <c r="G26" s="158"/>
      <c r="H26" s="158"/>
    </row>
    <row r="27" spans="1:8" x14ac:dyDescent="0.3">
      <c r="A27" s="158"/>
      <c r="B27" s="173" t="s">
        <v>152</v>
      </c>
      <c r="C27" s="162"/>
      <c r="D27" s="162"/>
      <c r="E27" s="169">
        <v>0.7</v>
      </c>
      <c r="F27" s="158"/>
      <c r="G27" s="158"/>
      <c r="H27" s="158"/>
    </row>
    <row r="28" spans="1:8" x14ac:dyDescent="0.3">
      <c r="A28" s="158"/>
      <c r="B28" s="162" t="s">
        <v>146</v>
      </c>
      <c r="C28" s="162"/>
      <c r="D28" s="162"/>
      <c r="E28" s="183">
        <f>ROUND(E26*E27,2)</f>
        <v>0</v>
      </c>
      <c r="F28" s="158"/>
      <c r="G28" s="158"/>
      <c r="H28" s="158"/>
    </row>
    <row r="29" spans="1:8" x14ac:dyDescent="0.3">
      <c r="A29" s="158"/>
      <c r="B29" s="162" t="s">
        <v>147</v>
      </c>
      <c r="C29" s="162"/>
      <c r="D29" s="162"/>
      <c r="E29" s="170">
        <f>-ROUND(E28*0.05,2)</f>
        <v>0</v>
      </c>
      <c r="F29" s="158"/>
      <c r="G29" s="158"/>
      <c r="H29" s="158"/>
    </row>
    <row r="30" spans="1:8" x14ac:dyDescent="0.3">
      <c r="A30" s="158"/>
      <c r="B30" s="162" t="s">
        <v>74</v>
      </c>
      <c r="C30" s="162"/>
      <c r="D30" s="162"/>
      <c r="E30" s="186">
        <f>E28+E29</f>
        <v>0</v>
      </c>
      <c r="F30" s="158"/>
      <c r="G30" s="158"/>
      <c r="H30" s="158"/>
    </row>
    <row r="31" spans="1:8" x14ac:dyDescent="0.3">
      <c r="A31" s="158"/>
      <c r="B31" s="158"/>
      <c r="C31" s="158"/>
      <c r="D31" s="158"/>
      <c r="E31" s="158"/>
      <c r="F31" s="158"/>
      <c r="G31" s="166"/>
      <c r="H31" s="158"/>
    </row>
    <row r="32" spans="1:8" x14ac:dyDescent="0.3">
      <c r="A32" s="158"/>
      <c r="B32" s="3" t="s">
        <v>75</v>
      </c>
      <c r="C32" s="162"/>
      <c r="D32" s="162"/>
      <c r="E32" s="249">
        <v>0</v>
      </c>
      <c r="F32" s="158"/>
      <c r="G32" s="166"/>
      <c r="H32" s="158"/>
    </row>
    <row r="33" spans="1:8" x14ac:dyDescent="0.3">
      <c r="A33" s="158"/>
      <c r="B33" s="3"/>
      <c r="C33" s="162"/>
      <c r="D33" s="162"/>
      <c r="E33" s="267"/>
      <c r="F33" s="158"/>
      <c r="G33" s="166"/>
      <c r="H33" s="158"/>
    </row>
    <row r="34" spans="1:8" x14ac:dyDescent="0.3">
      <c r="A34" s="158"/>
      <c r="B34" s="3" t="s">
        <v>246</v>
      </c>
      <c r="C34" s="162"/>
      <c r="D34" s="162"/>
      <c r="E34" s="267">
        <f>E30+E32</f>
        <v>0</v>
      </c>
      <c r="F34" s="158"/>
      <c r="G34" s="166"/>
      <c r="H34" s="158"/>
    </row>
    <row r="35" spans="1:8" x14ac:dyDescent="0.3">
      <c r="A35" s="158"/>
      <c r="B35" s="3"/>
      <c r="C35" s="162"/>
      <c r="D35" s="162"/>
      <c r="E35" s="267"/>
      <c r="F35" s="158"/>
      <c r="G35" s="166"/>
      <c r="H35" s="158"/>
    </row>
    <row r="36" spans="1:8" x14ac:dyDescent="0.3">
      <c r="A36" s="158"/>
      <c r="B36" s="3" t="s">
        <v>248</v>
      </c>
      <c r="C36" s="185"/>
      <c r="D36" s="185"/>
      <c r="E36" s="274">
        <v>11</v>
      </c>
      <c r="F36" s="158"/>
      <c r="G36" s="166"/>
      <c r="H36" s="158"/>
    </row>
    <row r="37" spans="1:8" x14ac:dyDescent="0.3">
      <c r="A37" s="158"/>
      <c r="B37" s="3"/>
      <c r="C37" s="162"/>
      <c r="D37" s="162"/>
      <c r="E37" s="186"/>
      <c r="F37" s="158"/>
      <c r="G37" s="166"/>
      <c r="H37" s="158"/>
    </row>
    <row r="38" spans="1:8" ht="16.2" thickBot="1" x14ac:dyDescent="0.35">
      <c r="A38" s="158"/>
      <c r="B38" s="3" t="s">
        <v>76</v>
      </c>
      <c r="C38" s="162"/>
      <c r="D38" s="162"/>
      <c r="E38" s="268">
        <f>IF(E36=0,0,ROUND(E34/E36,2))</f>
        <v>0</v>
      </c>
      <c r="F38" s="158"/>
      <c r="G38" s="158"/>
      <c r="H38" s="158"/>
    </row>
    <row r="39" spans="1:8" ht="16.2" thickTop="1" x14ac:dyDescent="0.3"/>
    <row r="41" spans="1:8" x14ac:dyDescent="0.3">
      <c r="A41" s="293" t="s">
        <v>269</v>
      </c>
      <c r="B41" s="294"/>
      <c r="C41" s="294"/>
      <c r="D41" s="294"/>
      <c r="E41" s="294"/>
    </row>
    <row r="42" spans="1:8" x14ac:dyDescent="0.3">
      <c r="A42" s="293" t="s">
        <v>270</v>
      </c>
      <c r="B42" s="294"/>
      <c r="C42" s="294"/>
      <c r="D42" s="294"/>
      <c r="E42" s="294"/>
    </row>
  </sheetData>
  <printOptions horizontalCentered="1" headings="1"/>
  <pageMargins left="0.1" right="0.1" top="0.7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10</vt:i4>
      </vt:variant>
    </vt:vector>
  </HeadingPairs>
  <TitlesOfParts>
    <vt:vector size="66" baseType="lpstr">
      <vt:lpstr>Surveys</vt:lpstr>
      <vt:lpstr>Net Payment</vt:lpstr>
      <vt:lpstr>Annual Rev &amp; Fees</vt:lpstr>
      <vt:lpstr>Charter Schools</vt:lpstr>
      <vt:lpstr>Consolidated</vt:lpstr>
      <vt:lpstr>Cumulative Payments</vt:lpstr>
      <vt:lpstr>0040</vt:lpstr>
      <vt:lpstr>0100</vt:lpstr>
      <vt:lpstr>1461</vt:lpstr>
      <vt:lpstr>1571</vt:lpstr>
      <vt:lpstr>2521</vt:lpstr>
      <vt:lpstr>2531</vt:lpstr>
      <vt:lpstr>2791</vt:lpstr>
      <vt:lpstr>2801</vt:lpstr>
      <vt:lpstr>2911</vt:lpstr>
      <vt:lpstr>2941</vt:lpstr>
      <vt:lpstr>3083</vt:lpstr>
      <vt:lpstr>3345</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Virtual</vt:lpstr>
      <vt:lpstr>'0040'!Print_Area</vt:lpstr>
      <vt:lpstr>'0100'!Print_Area</vt:lpstr>
      <vt:lpstr>'1461'!Print_Area</vt:lpstr>
      <vt:lpstr>Consolidated!Print_Area</vt:lpstr>
      <vt:lpstr>'Net Payment'!Print_Area</vt:lpstr>
      <vt:lpstr>Virtual!Print_Area</vt:lpstr>
      <vt:lpstr>'0040'!Print_Titles</vt:lpstr>
      <vt:lpstr>'0100'!Print_Titles</vt:lpstr>
      <vt:lpstr>'1461'!Print_Titles</vt:lpstr>
      <vt:lpstr>'Net Payment'!Print_Titles</vt:lpstr>
    </vt:vector>
  </TitlesOfParts>
  <Company>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LeeDavis</dc:creator>
  <cp:lastModifiedBy>Frederick Passelli</cp:lastModifiedBy>
  <cp:lastPrinted>2025-05-06T15:34:38Z</cp:lastPrinted>
  <dcterms:created xsi:type="dcterms:W3CDTF">1998-02-12T20:21:54Z</dcterms:created>
  <dcterms:modified xsi:type="dcterms:W3CDTF">2025-12-10T17:06:04Z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