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P11" i="2" l="1"/>
  <c r="P34" i="2"/>
  <c r="P32" i="2"/>
  <c r="F11" i="2"/>
  <c r="F13" i="2" s="1"/>
  <c r="V26" i="2"/>
  <c r="H11" i="2"/>
  <c r="J11" i="2"/>
  <c r="J12" i="2"/>
  <c r="V12" i="2" s="1"/>
  <c r="L25" i="2"/>
  <c r="L30" i="2" s="1"/>
  <c r="L31" i="2" s="1"/>
  <c r="L11" i="2"/>
  <c r="L13" i="2" s="1"/>
  <c r="J17" i="2"/>
  <c r="J18" i="2" s="1"/>
  <c r="J16" i="2"/>
  <c r="V16" i="2" s="1"/>
  <c r="S35" i="2"/>
  <c r="H28" i="2"/>
  <c r="H30" i="2" s="1"/>
  <c r="H31" i="2" s="1"/>
  <c r="H34" i="2" s="1"/>
  <c r="H25" i="2"/>
  <c r="H15" i="2"/>
  <c r="H18" i="2" s="1"/>
  <c r="F28" i="2"/>
  <c r="V28" i="2" s="1"/>
  <c r="F25" i="2"/>
  <c r="F30" i="2" s="1"/>
  <c r="F31" i="2" s="1"/>
  <c r="F20" i="2"/>
  <c r="F17" i="2"/>
  <c r="F16" i="2"/>
  <c r="F15" i="2"/>
  <c r="R30" i="2"/>
  <c r="R31" i="2" s="1"/>
  <c r="P30" i="2"/>
  <c r="P31" i="2" s="1"/>
  <c r="N30" i="2"/>
  <c r="N31" i="2" s="1"/>
  <c r="J30" i="2"/>
  <c r="J31" i="2" s="1"/>
  <c r="R21" i="2"/>
  <c r="R22" i="2" s="1"/>
  <c r="P21" i="2"/>
  <c r="N21" i="2"/>
  <c r="L21" i="2"/>
  <c r="J21" i="2"/>
  <c r="H21" i="2"/>
  <c r="R18" i="2"/>
  <c r="P18" i="2"/>
  <c r="N18" i="2"/>
  <c r="L18" i="2"/>
  <c r="F21" i="2"/>
  <c r="F18" i="2"/>
  <c r="V15" i="2"/>
  <c r="V20" i="2"/>
  <c r="V29" i="2"/>
  <c r="V27" i="2"/>
  <c r="R13" i="2"/>
  <c r="P13" i="2"/>
  <c r="N13" i="2"/>
  <c r="L32" i="2"/>
  <c r="J32" i="2"/>
  <c r="H32" i="2"/>
  <c r="F32" i="2"/>
  <c r="N22" i="2" l="1"/>
  <c r="P22" i="2"/>
  <c r="Q35" i="2" s="1"/>
  <c r="J34" i="2"/>
  <c r="L34" i="2"/>
  <c r="J13" i="2"/>
  <c r="L22" i="2"/>
  <c r="M35" i="2" s="1"/>
  <c r="V11" i="2"/>
  <c r="V17" i="2"/>
  <c r="J22" i="2"/>
  <c r="H13" i="2"/>
  <c r="H22" i="2" s="1"/>
  <c r="I35" i="2" s="1"/>
  <c r="V25" i="2"/>
  <c r="F22" i="2"/>
  <c r="V18" i="2"/>
  <c r="V30" i="2"/>
  <c r="V31" i="2"/>
  <c r="V21" i="2"/>
  <c r="F34" i="2"/>
  <c r="K35" i="2" l="1"/>
  <c r="G35" i="2"/>
  <c r="V22" i="2"/>
  <c r="V13" i="2"/>
  <c r="G40" i="1"/>
  <c r="I40" i="1"/>
  <c r="W40" i="1" l="1"/>
  <c r="W41" i="1" s="1"/>
  <c r="U41" i="1"/>
  <c r="S41" i="1"/>
  <c r="Q41" i="1"/>
  <c r="O41" i="1"/>
  <c r="N32" i="2" s="1"/>
  <c r="M41" i="1"/>
  <c r="K41" i="1"/>
  <c r="I41" i="1"/>
  <c r="G41" i="1"/>
  <c r="N34" i="2" l="1"/>
  <c r="V32" i="2"/>
  <c r="V34" i="2" l="1"/>
  <c r="W35" i="2" s="1"/>
  <c r="O35" i="2"/>
</calcChain>
</file>

<file path=xl/sharedStrings.xml><?xml version="1.0" encoding="utf-8"?>
<sst xmlns="http://schemas.openxmlformats.org/spreadsheetml/2006/main" count="219" uniqueCount="75">
  <si>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</si>
  <si>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</si>
  <si>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2019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Sep 30,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</si>
  <si>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</si>
  <si>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</si>
  <si>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</si>
  <si>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</si>
  <si>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</si>
  <si>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</si>
  <si>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</si>
  <si>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</si>
  <si>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</si>
  <si>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</si>
  <si>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</si>
  <si>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</si>
  <si>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</si>
  <si>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</si>
  <si>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</si>
  <si>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</si>
  <si>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</si>
  <si>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</si>
  <si>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</si>
  <si>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</si>
  <si>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State revenues  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</si>
  <si>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</si>
  <si>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</si>
  <si>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</si>
  <si>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</si>
  <si>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</si>
  <si>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</si>
  <si>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</si>
  <si>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</si>
  <si>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</si>
  <si>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r>
      <rPr>
        <sz val="10"/>
        <color theme="1"/>
        <rFont val="Arial"/>
        <family val="2"/>
      </rPr>
      <t>Current Expenditures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</si>
  <si>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>CAPITAL OUTLAY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</si>
  <si>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Excess (Deficiency) Revenue - Expense</t>
  </si>
  <si>
    <t>DEBT SERVICE</t>
  </si>
  <si>
    <t>Vocation Ed</t>
  </si>
  <si>
    <t>Settlement</t>
  </si>
  <si>
    <t>Nonmajor</t>
  </si>
  <si>
    <t xml:space="preserve">Interest                      </t>
  </si>
  <si>
    <r>
      <rPr>
        <b/>
        <sz val="10"/>
        <color theme="1"/>
        <rFont val="Arial"/>
        <family val="2"/>
      </rPr>
      <t>DEBT SERVICE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</si>
  <si>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Other Financing Sources (Uses)</t>
  </si>
  <si>
    <t>Net Change in Fund Balances</t>
  </si>
  <si>
    <t>Fund Balances - Beginning of period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</si>
  <si>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</si>
  <si>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</si>
  <si>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Sep 30,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</si>
  <si>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</si>
  <si>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</si>
  <si>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</si>
  <si>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</si>
  <si>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</si>
  <si>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t>Investments held for Bond Inde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</si>
  <si>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</si>
  <si>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</si>
  <si>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</si>
  <si>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</si>
  <si>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</si>
  <si>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</si>
  <si>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</si>
  <si>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</si>
  <si>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</si>
  <si>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</si>
  <si>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</si>
  <si>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</si>
  <si>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Other Accrued Liabilities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</si>
  <si>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</si>
  <si>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</si>
  <si>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</si>
  <si>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</si>
  <si>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St Louis Board of Education</t>
  </si>
  <si>
    <t>Deferred Tax Revenue</t>
  </si>
  <si>
    <t>Prepaid Assets</t>
  </si>
  <si>
    <t>Claims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</si>
</sst>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;\-#,##0;\-"/>
    <numFmt numFmtId="166" formatCode="_(* #,##0_);_(* \(#,##0\);_(* &quot;-&quot;??_);_(@_)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0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164" fontId="2" fillId="0" borderId="15" xfId="0" applyNumberFormat="1" applyFont="1" applyBorder="1" applyAlignment="1">
      <alignment horizontal="right" vertical="top"/>
    </xf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9" xfId="0" applyFont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0" fontId="0" fillId="3" borderId="21" xfId="0" applyFill="1" applyBorder="1"/>
    <xf numFmtId="0" fontId="0" fillId="3" borderId="22" xfId="0" applyFill="1" applyBorder="1"/>
    <xf numFmtId="3" fontId="4" fillId="3" borderId="23" xfId="0" applyNumberFormat="1" applyFont="1" applyFill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3" fillId="3" borderId="20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0" fontId="4" fillId="0" borderId="28" xfId="0" applyFont="1" applyBorder="1" applyAlignment="1">
      <alignment horizontal="left" vertical="top"/>
    </xf>
    <xf numFmtId="0" fontId="0" fillId="0" borderId="29" xfId="0" applyBorder="1"/>
    <xf numFmtId="0" fontId="0" fillId="0" borderId="30" xfId="0" applyBorder="1"/>
    <xf numFmtId="3" fontId="4" fillId="0" borderId="31" xfId="0" applyNumberFormat="1" applyFont="1" applyBorder="1" applyAlignment="1">
      <alignment horizontal="right" vertical="top"/>
    </xf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 vertical="top"/>
    </xf>
    <xf numFmtId="0" fontId="3" fillId="0" borderId="23" xfId="0" applyFont="1" applyBorder="1" applyAlignment="1">
      <alignment horizontal="left" vertical="top"/>
    </xf>
    <xf numFmtId="0" fontId="0" fillId="0" borderId="21" xfId="0" applyBorder="1"/>
    <xf numFmtId="0" fontId="0" fillId="0" borderId="22" xfId="0" applyBorder="1"/>
    <xf numFmtId="3" fontId="3" fillId="0" borderId="23" xfId="0" applyNumberFormat="1" applyFont="1" applyBorder="1" applyAlignment="1">
      <alignment horizontal="right" vertical="top"/>
    </xf>
    <xf numFmtId="0" fontId="4" fillId="0" borderId="20" xfId="0" applyFont="1" applyBorder="1" applyAlignment="1">
      <alignment horizontal="left" vertical="top"/>
    </xf>
    <xf numFmtId="3" fontId="4" fillId="0" borderId="23" xfId="0" applyNumberFormat="1" applyFont="1" applyBorder="1" applyAlignment="1">
      <alignment horizontal="right" vertical="top"/>
    </xf>
    <xf numFmtId="0" fontId="0" fillId="3" borderId="28" xfId="0" applyFill="1" applyBorder="1"/>
    <xf numFmtId="0" fontId="3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4" fillId="3" borderId="23" xfId="0" applyFont="1" applyFill="1" applyBorder="1" applyAlignment="1">
      <alignment horizontal="left" vertical="top"/>
    </xf>
    <xf numFmtId="0" fontId="0" fillId="3" borderId="20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4" fillId="3" borderId="31" xfId="0" applyFont="1" applyFill="1" applyBorder="1" applyAlignment="1">
      <alignment horizontal="left" vertical="top"/>
    </xf>
    <xf numFmtId="0" fontId="0" fillId="0" borderId="0" xfId="0" applyAlignment="1"/>
    <xf numFmtId="166" fontId="3" fillId="3" borderId="19" xfId="1" applyNumberFormat="1" applyFont="1" applyFill="1" applyBorder="1" applyAlignment="1">
      <alignment horizontal="right" vertical="top"/>
    </xf>
    <xf numFmtId="166" fontId="0" fillId="3" borderId="18" xfId="1" applyNumberFormat="1" applyFont="1" applyFill="1" applyBorder="1"/>
    <xf numFmtId="164" fontId="0" fillId="0" borderId="0" xfId="0" applyNumberFormat="1"/>
    <xf numFmtId="166" fontId="3" fillId="3" borderId="15" xfId="1" applyNumberFormat="1" applyFont="1" applyFill="1" applyBorder="1" applyAlignment="1">
      <alignment horizontal="right" vertical="top"/>
    </xf>
    <xf numFmtId="166" fontId="0" fillId="3" borderId="14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>
      <selection activeCell="A8" sqref="A8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14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9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19.5" customHeight="1" x14ac:dyDescent="0.25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19.5" customHeight="1" x14ac:dyDescent="0.25">
      <c r="A4" s="14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9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9.5" customHeight="1" x14ac:dyDescent="0.25">
      <c r="A6" s="16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2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9" spans="1:24" ht="12.5" x14ac:dyDescent="0.25">
      <c r="A9" s="17" t="s">
        <v>3</v>
      </c>
      <c r="B9" s="18"/>
      <c r="C9" s="18"/>
      <c r="D9" s="18"/>
      <c r="E9" s="18"/>
      <c r="F9" s="19"/>
      <c r="G9" s="17" t="s">
        <v>4</v>
      </c>
      <c r="H9" s="19"/>
      <c r="I9" s="17" t="s">
        <v>5</v>
      </c>
      <c r="J9" s="19"/>
      <c r="K9" s="17" t="s">
        <v>6</v>
      </c>
      <c r="L9" s="19"/>
      <c r="M9" s="17" t="s">
        <v>7</v>
      </c>
      <c r="N9" s="19"/>
      <c r="O9" s="17" t="s">
        <v>8</v>
      </c>
      <c r="P9" s="19"/>
      <c r="Q9" s="17" t="s">
        <v>9</v>
      </c>
      <c r="R9" s="19"/>
      <c r="S9" s="17" t="s">
        <v>10</v>
      </c>
      <c r="T9" s="19"/>
      <c r="U9" s="17" t="s">
        <v>11</v>
      </c>
      <c r="V9" s="19"/>
      <c r="W9" s="17" t="s">
        <v>12</v>
      </c>
      <c r="X9" s="19"/>
    </row>
    <row r="10" spans="1:24" ht="12.5" x14ac:dyDescent="0.25">
      <c r="A10" s="20" t="s">
        <v>13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</row>
    <row r="11" spans="1:24" ht="12.5" x14ac:dyDescent="0.25">
      <c r="A11" s="23" t="s">
        <v>14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5"/>
    </row>
    <row r="12" spans="1:24" ht="12.5" x14ac:dyDescent="0.25">
      <c r="A12" s="3" t="s">
        <v>15</v>
      </c>
      <c r="B12" s="1"/>
      <c r="C12" s="1"/>
      <c r="D12" s="1"/>
      <c r="E12" s="1"/>
      <c r="F12" s="2"/>
      <c r="G12" s="26">
        <v>141107.87</v>
      </c>
      <c r="H12" s="27"/>
      <c r="I12" s="26">
        <v>3853955.91</v>
      </c>
      <c r="J12" s="27"/>
      <c r="K12" s="28" t="s">
        <v>16</v>
      </c>
      <c r="L12" s="27"/>
      <c r="M12" s="28" t="s">
        <v>16</v>
      </c>
      <c r="N12" s="27"/>
      <c r="O12" s="28" t="s">
        <v>16</v>
      </c>
      <c r="P12" s="27"/>
      <c r="Q12" s="28" t="s">
        <v>16</v>
      </c>
      <c r="R12" s="27"/>
      <c r="S12" s="28" t="s">
        <v>16</v>
      </c>
      <c r="T12" s="27"/>
      <c r="U12" s="28" t="s">
        <v>16</v>
      </c>
      <c r="V12" s="27"/>
      <c r="W12" s="26">
        <v>3995063.78</v>
      </c>
      <c r="X12" s="27"/>
    </row>
    <row r="13" spans="1:24" ht="12.5" x14ac:dyDescent="0.25">
      <c r="A13" s="3" t="s">
        <v>17</v>
      </c>
      <c r="B13" s="4"/>
      <c r="C13" s="4"/>
      <c r="D13" s="4"/>
      <c r="E13" s="4"/>
      <c r="F13" s="5"/>
      <c r="G13" s="29">
        <v>990058.4</v>
      </c>
      <c r="H13" s="30"/>
      <c r="I13" s="31" t="s">
        <v>16</v>
      </c>
      <c r="J13" s="30"/>
      <c r="K13" s="29">
        <v>140193.57</v>
      </c>
      <c r="L13" s="30"/>
      <c r="M13" s="31" t="s">
        <v>16</v>
      </c>
      <c r="N13" s="30"/>
      <c r="O13" s="31" t="s">
        <v>16</v>
      </c>
      <c r="P13" s="30"/>
      <c r="Q13" s="31" t="s">
        <v>16</v>
      </c>
      <c r="R13" s="30"/>
      <c r="S13" s="31" t="s">
        <v>16</v>
      </c>
      <c r="T13" s="30"/>
      <c r="U13" s="31" t="s">
        <v>16</v>
      </c>
      <c r="V13" s="30"/>
      <c r="W13" s="29">
        <v>1130251.97</v>
      </c>
      <c r="X13" s="30"/>
    </row>
    <row r="14" spans="1:24" ht="12.5" x14ac:dyDescent="0.25">
      <c r="A14" s="3" t="s">
        <v>18</v>
      </c>
      <c r="B14" s="4"/>
      <c r="C14" s="4"/>
      <c r="D14" s="4"/>
      <c r="E14" s="4"/>
      <c r="F14" s="5"/>
      <c r="G14" s="29">
        <v>79403.56</v>
      </c>
      <c r="H14" s="30"/>
      <c r="I14" s="31" t="s">
        <v>16</v>
      </c>
      <c r="J14" s="30"/>
      <c r="K14" s="29">
        <v>7489.81</v>
      </c>
      <c r="L14" s="30"/>
      <c r="M14" s="31" t="s">
        <v>16</v>
      </c>
      <c r="N14" s="30"/>
      <c r="O14" s="31" t="s">
        <v>16</v>
      </c>
      <c r="P14" s="30"/>
      <c r="Q14" s="31" t="s">
        <v>16</v>
      </c>
      <c r="R14" s="30"/>
      <c r="S14" s="31" t="s">
        <v>16</v>
      </c>
      <c r="T14" s="30"/>
      <c r="U14" s="31" t="s">
        <v>16</v>
      </c>
      <c r="V14" s="30"/>
      <c r="W14" s="29">
        <v>86893.37</v>
      </c>
      <c r="X14" s="30"/>
    </row>
    <row r="15" spans="1:24" ht="12.5" x14ac:dyDescent="0.25">
      <c r="A15" s="3" t="s">
        <v>19</v>
      </c>
      <c r="B15" s="4"/>
      <c r="C15" s="4"/>
      <c r="D15" s="4"/>
      <c r="E15" s="4"/>
      <c r="F15" s="5"/>
      <c r="G15" s="29">
        <v>310279.07</v>
      </c>
      <c r="H15" s="30"/>
      <c r="I15" s="29">
        <v>0</v>
      </c>
      <c r="J15" s="30"/>
      <c r="K15" s="31" t="s">
        <v>16</v>
      </c>
      <c r="L15" s="30"/>
      <c r="M15" s="29">
        <v>5150</v>
      </c>
      <c r="N15" s="30"/>
      <c r="O15" s="31" t="s">
        <v>16</v>
      </c>
      <c r="P15" s="30"/>
      <c r="Q15" s="31" t="s">
        <v>16</v>
      </c>
      <c r="R15" s="30"/>
      <c r="S15" s="31" t="s">
        <v>16</v>
      </c>
      <c r="T15" s="30"/>
      <c r="U15" s="31" t="s">
        <v>16</v>
      </c>
      <c r="V15" s="30"/>
      <c r="W15" s="29">
        <v>315429.07</v>
      </c>
      <c r="X15" s="30"/>
    </row>
    <row r="16" spans="1:24" ht="13" x14ac:dyDescent="0.25">
      <c r="A16" s="32" t="s">
        <v>20</v>
      </c>
      <c r="B16" s="33"/>
      <c r="C16" s="33"/>
      <c r="D16" s="33"/>
      <c r="E16" s="33"/>
      <c r="F16" s="34"/>
      <c r="G16" s="35">
        <v>1520848.9</v>
      </c>
      <c r="H16" s="34"/>
      <c r="I16" s="35">
        <v>3853955.91</v>
      </c>
      <c r="J16" s="34"/>
      <c r="K16" s="35">
        <v>147683.38</v>
      </c>
      <c r="L16" s="34"/>
      <c r="M16" s="35">
        <v>5150</v>
      </c>
      <c r="N16" s="34"/>
      <c r="O16" s="6"/>
      <c r="P16" s="7"/>
      <c r="Q16" s="6"/>
      <c r="R16" s="7"/>
      <c r="S16" s="6"/>
      <c r="T16" s="7"/>
      <c r="U16" s="6"/>
      <c r="V16" s="7"/>
      <c r="W16" s="35">
        <v>5527638.1900000004</v>
      </c>
      <c r="X16" s="34"/>
    </row>
    <row r="17" spans="1:24" ht="12.5" x14ac:dyDescent="0.25">
      <c r="A17" s="36" t="s">
        <v>21</v>
      </c>
      <c r="B17" s="37"/>
      <c r="C17" s="37"/>
      <c r="D17" s="37"/>
      <c r="E17" s="37"/>
      <c r="F17" s="27"/>
      <c r="G17" s="28" t="s">
        <v>16</v>
      </c>
      <c r="H17" s="27"/>
      <c r="I17" s="26">
        <v>3425.4</v>
      </c>
      <c r="J17" s="27"/>
      <c r="K17" s="28" t="s">
        <v>16</v>
      </c>
      <c r="L17" s="27"/>
      <c r="M17" s="28" t="s">
        <v>16</v>
      </c>
      <c r="N17" s="27"/>
      <c r="O17" s="28" t="s">
        <v>16</v>
      </c>
      <c r="P17" s="27"/>
      <c r="Q17" s="28" t="s">
        <v>16</v>
      </c>
      <c r="R17" s="27"/>
      <c r="S17" s="28" t="s">
        <v>16</v>
      </c>
      <c r="T17" s="27"/>
      <c r="U17" s="28" t="s">
        <v>16</v>
      </c>
      <c r="V17" s="27"/>
      <c r="W17" s="26">
        <v>3425.4</v>
      </c>
      <c r="X17" s="27"/>
    </row>
    <row r="18" spans="1:24" ht="12.5" x14ac:dyDescent="0.25">
      <c r="A18" s="38" t="s">
        <v>22</v>
      </c>
      <c r="B18" s="39"/>
      <c r="C18" s="39"/>
      <c r="D18" s="39"/>
      <c r="E18" s="39"/>
      <c r="F18" s="30"/>
      <c r="G18" s="29">
        <v>1198532.73</v>
      </c>
      <c r="H18" s="30"/>
      <c r="I18" s="29">
        <v>367695.82</v>
      </c>
      <c r="J18" s="30"/>
      <c r="K18" s="31" t="s">
        <v>16</v>
      </c>
      <c r="L18" s="30"/>
      <c r="M18" s="31" t="s">
        <v>16</v>
      </c>
      <c r="N18" s="30"/>
      <c r="O18" s="31" t="s">
        <v>16</v>
      </c>
      <c r="P18" s="30"/>
      <c r="Q18" s="31" t="s">
        <v>16</v>
      </c>
      <c r="R18" s="30"/>
      <c r="S18" s="31" t="s">
        <v>16</v>
      </c>
      <c r="T18" s="30"/>
      <c r="U18" s="31" t="s">
        <v>16</v>
      </c>
      <c r="V18" s="30"/>
      <c r="W18" s="29">
        <v>1566228.55</v>
      </c>
      <c r="X18" s="30"/>
    </row>
    <row r="19" spans="1:24" ht="12.5" x14ac:dyDescent="0.25">
      <c r="A19" s="38" t="s">
        <v>23</v>
      </c>
      <c r="B19" s="39"/>
      <c r="C19" s="39"/>
      <c r="D19" s="39"/>
      <c r="E19" s="39"/>
      <c r="F19" s="30"/>
      <c r="G19" s="29">
        <v>1952550.57</v>
      </c>
      <c r="H19" s="30"/>
      <c r="I19" s="29">
        <v>2311376</v>
      </c>
      <c r="J19" s="30"/>
      <c r="K19" s="31" t="s">
        <v>16</v>
      </c>
      <c r="L19" s="30"/>
      <c r="M19" s="31" t="s">
        <v>16</v>
      </c>
      <c r="N19" s="30"/>
      <c r="O19" s="31" t="s">
        <v>16</v>
      </c>
      <c r="P19" s="30"/>
      <c r="Q19" s="31" t="s">
        <v>16</v>
      </c>
      <c r="R19" s="30"/>
      <c r="S19" s="31" t="s">
        <v>16</v>
      </c>
      <c r="T19" s="30"/>
      <c r="U19" s="31" t="s">
        <v>16</v>
      </c>
      <c r="V19" s="30"/>
      <c r="W19" s="29">
        <v>4263926.57</v>
      </c>
      <c r="X19" s="30"/>
    </row>
    <row r="20" spans="1:24" ht="13" x14ac:dyDescent="0.25">
      <c r="A20" s="32" t="s">
        <v>24</v>
      </c>
      <c r="B20" s="33"/>
      <c r="C20" s="33"/>
      <c r="D20" s="33"/>
      <c r="E20" s="33"/>
      <c r="F20" s="34"/>
      <c r="G20" s="35">
        <v>4671932.2</v>
      </c>
      <c r="H20" s="34"/>
      <c r="I20" s="35">
        <v>6536453.1299999999</v>
      </c>
      <c r="J20" s="34"/>
      <c r="K20" s="35">
        <v>147683.38</v>
      </c>
      <c r="L20" s="34"/>
      <c r="M20" s="35">
        <v>5150</v>
      </c>
      <c r="N20" s="34"/>
      <c r="O20" s="6"/>
      <c r="P20" s="7"/>
      <c r="Q20" s="6"/>
      <c r="R20" s="7"/>
      <c r="S20" s="6"/>
      <c r="T20" s="7"/>
      <c r="U20" s="6"/>
      <c r="V20" s="7"/>
      <c r="W20" s="35">
        <v>11361218.710000001</v>
      </c>
      <c r="X20" s="34"/>
    </row>
    <row r="21" spans="1:24" ht="12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12.5" x14ac:dyDescent="0.25">
      <c r="A22" s="40" t="s">
        <v>25</v>
      </c>
      <c r="B22" s="41"/>
      <c r="C22" s="41"/>
      <c r="D22" s="41"/>
      <c r="E22" s="41"/>
      <c r="F22" s="42"/>
      <c r="G22" s="43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</row>
    <row r="23" spans="1:24" ht="12.5" x14ac:dyDescent="0.25">
      <c r="A23" s="10" t="s">
        <v>26</v>
      </c>
      <c r="B23" s="8"/>
      <c r="C23" s="8"/>
      <c r="D23" s="8"/>
      <c r="E23" s="8"/>
      <c r="F23" s="9"/>
      <c r="G23" s="44">
        <v>2139660.7200000002</v>
      </c>
      <c r="H23" s="45"/>
      <c r="I23" s="44">
        <v>10673693.789999999</v>
      </c>
      <c r="J23" s="45"/>
      <c r="K23" s="46" t="s">
        <v>16</v>
      </c>
      <c r="L23" s="45"/>
      <c r="M23" s="46" t="s">
        <v>16</v>
      </c>
      <c r="N23" s="45"/>
      <c r="O23" s="46" t="s">
        <v>16</v>
      </c>
      <c r="P23" s="45"/>
      <c r="Q23" s="46" t="s">
        <v>16</v>
      </c>
      <c r="R23" s="45"/>
      <c r="S23" s="46" t="s">
        <v>16</v>
      </c>
      <c r="T23" s="45"/>
      <c r="U23" s="46" t="s">
        <v>16</v>
      </c>
      <c r="V23" s="45"/>
      <c r="W23" s="44">
        <v>12813354.51</v>
      </c>
      <c r="X23" s="45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47">
        <v>5825043.4900000002</v>
      </c>
      <c r="H24" s="48"/>
      <c r="I24" s="47">
        <v>46551.23</v>
      </c>
      <c r="J24" s="48"/>
      <c r="K24" s="49" t="s">
        <v>16</v>
      </c>
      <c r="L24" s="48"/>
      <c r="M24" s="49" t="s">
        <v>16</v>
      </c>
      <c r="N24" s="48"/>
      <c r="O24" s="49" t="s">
        <v>16</v>
      </c>
      <c r="P24" s="48"/>
      <c r="Q24" s="49" t="s">
        <v>16</v>
      </c>
      <c r="R24" s="48"/>
      <c r="S24" s="49" t="s">
        <v>16</v>
      </c>
      <c r="T24" s="48"/>
      <c r="U24" s="49" t="s">
        <v>16</v>
      </c>
      <c r="V24" s="48"/>
      <c r="W24" s="47">
        <v>5871594.7199999997</v>
      </c>
      <c r="X24" s="48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47">
        <v>2370380.5499999998</v>
      </c>
      <c r="H25" s="48"/>
      <c r="I25" s="47">
        <v>2157917.75</v>
      </c>
      <c r="J25" s="48"/>
      <c r="K25" s="49" t="s">
        <v>16</v>
      </c>
      <c r="L25" s="48"/>
      <c r="M25" s="49" t="s">
        <v>16</v>
      </c>
      <c r="N25" s="48"/>
      <c r="O25" s="49" t="s">
        <v>16</v>
      </c>
      <c r="P25" s="48"/>
      <c r="Q25" s="49" t="s">
        <v>16</v>
      </c>
      <c r="R25" s="48"/>
      <c r="S25" s="49" t="s">
        <v>16</v>
      </c>
      <c r="T25" s="48"/>
      <c r="U25" s="49" t="s">
        <v>16</v>
      </c>
      <c r="V25" s="48"/>
      <c r="W25" s="47">
        <v>4528298.3</v>
      </c>
      <c r="X25" s="48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47">
        <v>2127618.59</v>
      </c>
      <c r="H26" s="48"/>
      <c r="I26" s="47">
        <v>1967199.9</v>
      </c>
      <c r="J26" s="48"/>
      <c r="K26" s="49" t="s">
        <v>16</v>
      </c>
      <c r="L26" s="48"/>
      <c r="M26" s="49" t="s">
        <v>16</v>
      </c>
      <c r="N26" s="48"/>
      <c r="O26" s="49" t="s">
        <v>16</v>
      </c>
      <c r="P26" s="48"/>
      <c r="Q26" s="49" t="s">
        <v>16</v>
      </c>
      <c r="R26" s="48"/>
      <c r="S26" s="49" t="s">
        <v>16</v>
      </c>
      <c r="T26" s="48"/>
      <c r="U26" s="49" t="s">
        <v>16</v>
      </c>
      <c r="V26" s="48"/>
      <c r="W26" s="47">
        <v>4094818.49</v>
      </c>
      <c r="X26" s="48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47">
        <v>3329553.68</v>
      </c>
      <c r="H27" s="48"/>
      <c r="I27" s="47">
        <v>34373.31</v>
      </c>
      <c r="J27" s="48"/>
      <c r="K27" s="49" t="s">
        <v>16</v>
      </c>
      <c r="L27" s="48"/>
      <c r="M27" s="49" t="s">
        <v>16</v>
      </c>
      <c r="N27" s="48"/>
      <c r="O27" s="49" t="s">
        <v>16</v>
      </c>
      <c r="P27" s="48"/>
      <c r="Q27" s="49" t="s">
        <v>16</v>
      </c>
      <c r="R27" s="48"/>
      <c r="S27" s="49" t="s">
        <v>16</v>
      </c>
      <c r="T27" s="48"/>
      <c r="U27" s="49" t="s">
        <v>16</v>
      </c>
      <c r="V27" s="48"/>
      <c r="W27" s="47">
        <v>3363926.99</v>
      </c>
      <c r="X27" s="48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47">
        <v>238133.45</v>
      </c>
      <c r="H28" s="48"/>
      <c r="I28" s="49" t="s">
        <v>16</v>
      </c>
      <c r="J28" s="48"/>
      <c r="K28" s="49" t="s">
        <v>16</v>
      </c>
      <c r="L28" s="48"/>
      <c r="M28" s="49" t="s">
        <v>16</v>
      </c>
      <c r="N28" s="48"/>
      <c r="O28" s="49" t="s">
        <v>16</v>
      </c>
      <c r="P28" s="48"/>
      <c r="Q28" s="49" t="s">
        <v>16</v>
      </c>
      <c r="R28" s="48"/>
      <c r="S28" s="49" t="s">
        <v>16</v>
      </c>
      <c r="T28" s="48"/>
      <c r="U28" s="49" t="s">
        <v>16</v>
      </c>
      <c r="V28" s="48"/>
      <c r="W28" s="47">
        <v>238133.45</v>
      </c>
      <c r="X28" s="48"/>
    </row>
    <row r="29" spans="1:24" ht="12.5" x14ac:dyDescent="0.25">
      <c r="A29" s="10" t="s">
        <v>32</v>
      </c>
      <c r="B29" s="11"/>
      <c r="C29" s="11"/>
      <c r="D29" s="11"/>
      <c r="E29" s="11"/>
      <c r="F29" s="12"/>
      <c r="G29" s="47">
        <v>809938.58</v>
      </c>
      <c r="H29" s="48"/>
      <c r="I29" s="47">
        <v>776502.61</v>
      </c>
      <c r="J29" s="48"/>
      <c r="K29" s="49" t="s">
        <v>16</v>
      </c>
      <c r="L29" s="48"/>
      <c r="M29" s="49" t="s">
        <v>16</v>
      </c>
      <c r="N29" s="48"/>
      <c r="O29" s="49" t="s">
        <v>16</v>
      </c>
      <c r="P29" s="48"/>
      <c r="Q29" s="49" t="s">
        <v>16</v>
      </c>
      <c r="R29" s="48"/>
      <c r="S29" s="49" t="s">
        <v>16</v>
      </c>
      <c r="T29" s="48"/>
      <c r="U29" s="49" t="s">
        <v>16</v>
      </c>
      <c r="V29" s="48"/>
      <c r="W29" s="47">
        <v>1586441.19</v>
      </c>
      <c r="X29" s="48"/>
    </row>
    <row r="30" spans="1:24" ht="13" x14ac:dyDescent="0.25">
      <c r="A30" s="50" t="s">
        <v>33</v>
      </c>
      <c r="B30" s="33"/>
      <c r="C30" s="33"/>
      <c r="D30" s="33"/>
      <c r="E30" s="33"/>
      <c r="F30" s="34"/>
      <c r="G30" s="51">
        <v>16840329.059999999</v>
      </c>
      <c r="H30" s="34"/>
      <c r="I30" s="51">
        <v>15656238.59</v>
      </c>
      <c r="J30" s="34"/>
      <c r="K30" s="52" t="s">
        <v>16</v>
      </c>
      <c r="L30" s="34"/>
      <c r="M30" s="52" t="s">
        <v>16</v>
      </c>
      <c r="N30" s="34"/>
      <c r="O30" s="52" t="s">
        <v>16</v>
      </c>
      <c r="P30" s="34"/>
      <c r="Q30" s="52" t="s">
        <v>16</v>
      </c>
      <c r="R30" s="34"/>
      <c r="S30" s="52" t="s">
        <v>16</v>
      </c>
      <c r="T30" s="34"/>
      <c r="U30" s="52" t="s">
        <v>16</v>
      </c>
      <c r="V30" s="34"/>
      <c r="W30" s="51">
        <v>32496567.649999999</v>
      </c>
      <c r="X30" s="34"/>
    </row>
    <row r="31" spans="1:24" ht="13" x14ac:dyDescent="0.25">
      <c r="A31" s="53" t="s">
        <v>34</v>
      </c>
      <c r="B31" s="54"/>
      <c r="C31" s="54"/>
      <c r="D31" s="54"/>
      <c r="E31" s="54"/>
      <c r="F31" s="55"/>
      <c r="G31" s="56">
        <v>0</v>
      </c>
      <c r="H31" s="55"/>
      <c r="I31" s="56">
        <v>0</v>
      </c>
      <c r="J31" s="55"/>
      <c r="K31" s="56">
        <v>0</v>
      </c>
      <c r="L31" s="55"/>
      <c r="M31" s="56">
        <v>2729302</v>
      </c>
      <c r="N31" s="55"/>
      <c r="O31" s="56">
        <v>0</v>
      </c>
      <c r="P31" s="55"/>
      <c r="Q31" s="56">
        <v>0</v>
      </c>
      <c r="R31" s="55"/>
      <c r="S31" s="56">
        <v>0</v>
      </c>
      <c r="T31" s="55"/>
      <c r="U31" s="56">
        <v>0</v>
      </c>
      <c r="V31" s="55"/>
      <c r="W31" s="56">
        <v>2729302</v>
      </c>
      <c r="X31" s="55"/>
    </row>
    <row r="32" spans="1:24" ht="12.7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ht="12.5" x14ac:dyDescent="0.25">
      <c r="A33" s="57" t="s">
        <v>35</v>
      </c>
      <c r="B33" s="58"/>
      <c r="C33" s="58"/>
      <c r="D33" s="58"/>
      <c r="E33" s="58"/>
      <c r="F33" s="59"/>
      <c r="G33" s="44">
        <v>-12168396.859999999</v>
      </c>
      <c r="H33" s="45"/>
      <c r="I33" s="44">
        <v>-9119785.4600000009</v>
      </c>
      <c r="J33" s="45"/>
      <c r="K33" s="44">
        <v>147683.38</v>
      </c>
      <c r="L33" s="45"/>
      <c r="M33" s="44">
        <v>-2724152</v>
      </c>
      <c r="N33" s="45"/>
      <c r="O33" s="44">
        <v>0</v>
      </c>
      <c r="P33" s="45"/>
      <c r="Q33" s="44">
        <v>0</v>
      </c>
      <c r="R33" s="45"/>
      <c r="S33" s="44">
        <v>0</v>
      </c>
      <c r="T33" s="45"/>
      <c r="U33" s="44">
        <v>0</v>
      </c>
      <c r="V33" s="45"/>
      <c r="W33" s="44">
        <v>-23864650.940000001</v>
      </c>
      <c r="X33" s="45"/>
    </row>
    <row r="34" spans="1:24" ht="12.5" x14ac:dyDescent="0.25">
      <c r="A34" s="60" t="s">
        <v>36</v>
      </c>
      <c r="B34" s="61"/>
      <c r="C34" s="61"/>
      <c r="D34" s="61"/>
      <c r="E34" s="61"/>
      <c r="F34" s="62"/>
      <c r="G34" s="63" t="s">
        <v>4</v>
      </c>
      <c r="H34" s="62"/>
      <c r="I34" s="63" t="s">
        <v>5</v>
      </c>
      <c r="J34" s="62"/>
      <c r="K34" s="63" t="s">
        <v>6</v>
      </c>
      <c r="L34" s="62"/>
      <c r="M34" s="63" t="s">
        <v>7</v>
      </c>
      <c r="N34" s="62"/>
      <c r="O34" s="63" t="s">
        <v>37</v>
      </c>
      <c r="P34" s="62"/>
      <c r="Q34" s="63" t="s">
        <v>38</v>
      </c>
      <c r="R34" s="62"/>
      <c r="S34" s="63" t="s">
        <v>39</v>
      </c>
      <c r="T34" s="62"/>
      <c r="U34" s="63" t="s">
        <v>11</v>
      </c>
      <c r="V34" s="62"/>
      <c r="W34" s="63" t="s">
        <v>12</v>
      </c>
      <c r="X34" s="62"/>
    </row>
    <row r="35" spans="1:24" ht="12.5" x14ac:dyDescent="0.25">
      <c r="A35" s="64" t="s">
        <v>40</v>
      </c>
      <c r="B35" s="65"/>
      <c r="C35" s="65"/>
      <c r="D35" s="65"/>
      <c r="E35" s="65"/>
      <c r="F35" s="66"/>
      <c r="G35" s="67">
        <v>0</v>
      </c>
      <c r="H35" s="66"/>
      <c r="I35" s="67">
        <v>0</v>
      </c>
      <c r="J35" s="66"/>
      <c r="K35" s="67">
        <v>-2530362.4900000002</v>
      </c>
      <c r="L35" s="66"/>
      <c r="M35" s="67">
        <v>0</v>
      </c>
      <c r="N35" s="66"/>
      <c r="O35" s="67">
        <v>0</v>
      </c>
      <c r="P35" s="66"/>
      <c r="Q35" s="67">
        <v>0</v>
      </c>
      <c r="R35" s="66"/>
      <c r="S35" s="67">
        <v>0</v>
      </c>
      <c r="T35" s="66"/>
      <c r="U35" s="67">
        <v>0</v>
      </c>
      <c r="V35" s="66"/>
      <c r="W35" s="67">
        <v>-2530362.4900000002</v>
      </c>
      <c r="X35" s="66"/>
    </row>
    <row r="36" spans="1:24" ht="13" x14ac:dyDescent="0.25">
      <c r="A36" s="68" t="s">
        <v>41</v>
      </c>
      <c r="B36" s="65"/>
      <c r="C36" s="65"/>
      <c r="D36" s="65"/>
      <c r="E36" s="65"/>
      <c r="F36" s="66"/>
      <c r="G36" s="69">
        <v>0</v>
      </c>
      <c r="H36" s="66"/>
      <c r="I36" s="69">
        <v>0</v>
      </c>
      <c r="J36" s="66"/>
      <c r="K36" s="69">
        <v>-2530362.4900000002</v>
      </c>
      <c r="L36" s="66"/>
      <c r="M36" s="69">
        <v>0</v>
      </c>
      <c r="N36" s="66"/>
      <c r="O36" s="69">
        <v>0</v>
      </c>
      <c r="P36" s="66"/>
      <c r="Q36" s="69">
        <v>0</v>
      </c>
      <c r="R36" s="66"/>
      <c r="S36" s="69">
        <v>0</v>
      </c>
      <c r="T36" s="66"/>
      <c r="U36" s="69">
        <v>0</v>
      </c>
      <c r="V36" s="66"/>
      <c r="W36" s="69">
        <v>-2530362.4900000002</v>
      </c>
      <c r="X36" s="66"/>
    </row>
    <row r="37" spans="1:24" ht="12.5" x14ac:dyDescent="0.25">
      <c r="A37" s="57" t="s">
        <v>42</v>
      </c>
      <c r="B37" s="58"/>
      <c r="C37" s="58"/>
      <c r="D37" s="58"/>
      <c r="E37" s="58"/>
      <c r="F37" s="59"/>
      <c r="G37" s="70"/>
      <c r="H37" s="59"/>
      <c r="I37" s="70"/>
      <c r="J37" s="59"/>
      <c r="K37" s="70"/>
      <c r="L37" s="59"/>
      <c r="M37" s="70"/>
      <c r="N37" s="59"/>
      <c r="O37" s="70"/>
      <c r="P37" s="59"/>
      <c r="Q37" s="70"/>
      <c r="R37" s="59"/>
      <c r="S37" s="70"/>
      <c r="T37" s="59"/>
      <c r="U37" s="70"/>
      <c r="V37" s="59"/>
      <c r="W37" s="70"/>
      <c r="X37" s="59"/>
    </row>
    <row r="38" spans="1:24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ht="12.5" x14ac:dyDescent="0.25">
      <c r="A39" s="57" t="s">
        <v>43</v>
      </c>
      <c r="B39" s="58"/>
      <c r="C39" s="58"/>
      <c r="D39" s="58"/>
      <c r="E39" s="58"/>
      <c r="F39" s="59"/>
      <c r="G39" s="44">
        <v>-12168396.859999999</v>
      </c>
      <c r="H39" s="45"/>
      <c r="I39" s="44">
        <v>-9119785.4600000009</v>
      </c>
      <c r="J39" s="45"/>
      <c r="K39" s="44">
        <v>2678045.87</v>
      </c>
      <c r="L39" s="45"/>
      <c r="M39" s="44">
        <v>-2724152</v>
      </c>
      <c r="N39" s="45"/>
      <c r="O39" s="46">
        <v>0</v>
      </c>
      <c r="P39" s="45"/>
      <c r="Q39" s="46">
        <v>0</v>
      </c>
      <c r="R39" s="45"/>
      <c r="S39" s="46">
        <v>0</v>
      </c>
      <c r="T39" s="45"/>
      <c r="U39" s="46">
        <v>0</v>
      </c>
      <c r="V39" s="45"/>
      <c r="W39" s="44">
        <v>-21334288.449999999</v>
      </c>
      <c r="X39" s="45"/>
    </row>
    <row r="40" spans="1:24" ht="13" x14ac:dyDescent="0.25">
      <c r="A40" s="71" t="s">
        <v>44</v>
      </c>
      <c r="B40" s="33"/>
      <c r="C40" s="33"/>
      <c r="D40" s="33"/>
      <c r="E40" s="33"/>
      <c r="F40" s="34"/>
      <c r="G40" s="51">
        <f>98200194.9-16067119.99</f>
        <v>82133074.910000011</v>
      </c>
      <c r="H40" s="34"/>
      <c r="I40" s="51">
        <f>-16067119.99+16067119.99</f>
        <v>0</v>
      </c>
      <c r="J40" s="34"/>
      <c r="K40" s="51">
        <v>48577883.649999999</v>
      </c>
      <c r="L40" s="34"/>
      <c r="M40" s="51">
        <v>-537200.07999999996</v>
      </c>
      <c r="N40" s="34"/>
      <c r="O40" s="51">
        <v>525852.88</v>
      </c>
      <c r="P40" s="34"/>
      <c r="Q40" s="51">
        <v>7396441.3899999997</v>
      </c>
      <c r="R40" s="34"/>
      <c r="S40" s="51">
        <v>0</v>
      </c>
      <c r="T40" s="34"/>
      <c r="U40" s="51">
        <v>0</v>
      </c>
      <c r="V40" s="34"/>
      <c r="W40" s="51">
        <f>SUM(G40:V40)</f>
        <v>138096052.75</v>
      </c>
      <c r="X40" s="34"/>
    </row>
    <row r="41" spans="1:24" ht="13" x14ac:dyDescent="0.25">
      <c r="A41" s="71" t="s">
        <v>45</v>
      </c>
      <c r="B41" s="33"/>
      <c r="C41" s="33"/>
      <c r="D41" s="33"/>
      <c r="E41" s="33"/>
      <c r="F41" s="34"/>
      <c r="G41" s="51">
        <f>+G39+G40</f>
        <v>69964678.050000012</v>
      </c>
      <c r="H41" s="34"/>
      <c r="I41" s="51">
        <f t="shared" ref="I41" si="0">+I39+I40</f>
        <v>-9119785.4600000009</v>
      </c>
      <c r="J41" s="34"/>
      <c r="K41" s="51">
        <f t="shared" ref="K41" si="1">+K39+K40</f>
        <v>51255929.519999996</v>
      </c>
      <c r="L41" s="34"/>
      <c r="M41" s="51">
        <f t="shared" ref="M41" si="2">+M39+M40</f>
        <v>-3261352.08</v>
      </c>
      <c r="N41" s="34"/>
      <c r="O41" s="51">
        <f t="shared" ref="O41" si="3">+O39+O40</f>
        <v>525852.88</v>
      </c>
      <c r="P41" s="34"/>
      <c r="Q41" s="51">
        <f t="shared" ref="Q41" si="4">+Q39+Q40</f>
        <v>7396441.3899999997</v>
      </c>
      <c r="R41" s="34"/>
      <c r="S41" s="51">
        <f t="shared" ref="S41" si="5">+S39+S40</f>
        <v>0</v>
      </c>
      <c r="T41" s="34"/>
      <c r="U41" s="51">
        <f t="shared" ref="U41" si="6">+U39+U40</f>
        <v>0</v>
      </c>
      <c r="V41" s="34"/>
      <c r="W41" s="51">
        <f t="shared" ref="W41" si="7">+W39+W40</f>
        <v>116761764.3</v>
      </c>
      <c r="X41" s="34"/>
    </row>
  </sheetData>
  <mergeCells count="271">
    <mergeCell ref="W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A38:X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A20:F20"/>
    <mergeCell ref="G20:H20"/>
    <mergeCell ref="I20:J20"/>
    <mergeCell ref="K20:L20"/>
    <mergeCell ref="M20:N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16:F16"/>
    <mergeCell ref="G16:H16"/>
    <mergeCell ref="I16:J16"/>
    <mergeCell ref="K16:L16"/>
    <mergeCell ref="M16:N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A19" sqref="A19:E19"/>
    </sheetView>
  </sheetViews>
  <sheetFormatPr defaultRowHeight="12.75" customHeight="1" x14ac:dyDescent="0.25"/>
  <cols>
    <col min="1" max="1" width="35.26953125" bestFit="1" customWidth="1"/>
    <col min="2" max="5" width="6.1796875" bestFit="1" customWidth="1"/>
    <col min="6" max="6" width="10" bestFit="1" customWidth="1"/>
    <col min="7" max="7" width="10.54296875" bestFit="1" customWidth="1"/>
    <col min="8" max="11" width="10" bestFit="1" customWidth="1"/>
    <col min="12" max="12" width="7.7265625" bestFit="1" customWidth="1"/>
    <col min="13" max="13" width="8.90625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2" width="7.54296875" bestFit="1" customWidth="1"/>
    <col min="23" max="23" width="10.54296875" bestFit="1" customWidth="1"/>
  </cols>
  <sheetData>
    <row r="1" spans="1:24" ht="19.5" customHeight="1" x14ac:dyDescent="0.25">
      <c r="A1" s="14" t="s">
        <v>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84"/>
    </row>
    <row r="2" spans="1:24" ht="19.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24" ht="19.5" customHeight="1" x14ac:dyDescent="0.25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4" ht="19.5" customHeight="1" x14ac:dyDescent="0.25">
      <c r="A4" s="16" t="s">
        <v>46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ht="19.5" customHeight="1" x14ac:dyDescent="0.25">
      <c r="A5" s="16" t="s">
        <v>47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4" ht="12.7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4" ht="12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4" ht="13" x14ac:dyDescent="0.25">
      <c r="A8" s="72" t="s">
        <v>3</v>
      </c>
      <c r="B8" s="73"/>
      <c r="C8" s="73"/>
      <c r="D8" s="73"/>
      <c r="E8" s="74"/>
      <c r="F8" s="75" t="s">
        <v>4</v>
      </c>
      <c r="G8" s="74"/>
      <c r="H8" s="75" t="s">
        <v>5</v>
      </c>
      <c r="I8" s="74"/>
      <c r="J8" s="75" t="s">
        <v>6</v>
      </c>
      <c r="K8" s="74"/>
      <c r="L8" s="75" t="s">
        <v>7</v>
      </c>
      <c r="M8" s="74"/>
      <c r="N8" s="75" t="s">
        <v>48</v>
      </c>
      <c r="O8" s="74"/>
      <c r="P8" s="75" t="s">
        <v>49</v>
      </c>
      <c r="Q8" s="74"/>
      <c r="R8" s="75" t="s">
        <v>10</v>
      </c>
      <c r="S8" s="74"/>
      <c r="T8" s="75" t="s">
        <v>11</v>
      </c>
      <c r="U8" s="74"/>
      <c r="V8" s="75" t="s">
        <v>12</v>
      </c>
      <c r="W8" s="76"/>
    </row>
    <row r="9" spans="1:24" ht="13" x14ac:dyDescent="0.25">
      <c r="A9" s="77" t="s">
        <v>50</v>
      </c>
      <c r="B9" s="33"/>
      <c r="C9" s="33"/>
      <c r="D9" s="33"/>
      <c r="E9" s="34"/>
      <c r="F9" s="78"/>
      <c r="G9" s="34"/>
      <c r="H9" s="78"/>
      <c r="I9" s="34"/>
      <c r="J9" s="78"/>
      <c r="K9" s="34"/>
      <c r="L9" s="78"/>
      <c r="M9" s="34"/>
      <c r="N9" s="78"/>
      <c r="O9" s="34"/>
      <c r="P9" s="78"/>
      <c r="Q9" s="34"/>
      <c r="R9" s="78"/>
      <c r="S9" s="34"/>
      <c r="T9" s="78"/>
      <c r="U9" s="34"/>
      <c r="V9" s="78"/>
      <c r="W9" s="34"/>
    </row>
    <row r="10" spans="1:24" ht="13.5" thickBot="1" x14ac:dyDescent="0.3">
      <c r="A10" s="79" t="s">
        <v>51</v>
      </c>
      <c r="B10" s="80"/>
      <c r="C10" s="80"/>
      <c r="D10" s="80"/>
      <c r="E10" s="81"/>
      <c r="F10" s="82"/>
      <c r="G10" s="81"/>
      <c r="H10" s="82"/>
      <c r="I10" s="81"/>
      <c r="J10" s="82"/>
      <c r="K10" s="81"/>
      <c r="L10" s="82"/>
      <c r="M10" s="81"/>
      <c r="N10" s="82"/>
      <c r="O10" s="81"/>
      <c r="P10" s="82"/>
      <c r="Q10" s="81"/>
      <c r="R10" s="82"/>
      <c r="S10" s="81"/>
      <c r="T10" s="82"/>
      <c r="U10" s="81"/>
      <c r="V10" s="82"/>
      <c r="W10" s="81"/>
    </row>
    <row r="11" spans="1:24" ht="13" thickBot="1" x14ac:dyDescent="0.3">
      <c r="A11" s="13" t="s">
        <v>52</v>
      </c>
      <c r="B11" s="8"/>
      <c r="C11" s="8"/>
      <c r="D11" s="8"/>
      <c r="E11" s="9"/>
      <c r="F11" s="44">
        <f>-13850522.14+106310541.95-9419858.81-27101557.85+10249804</f>
        <v>66188407.149999999</v>
      </c>
      <c r="G11" s="45"/>
      <c r="H11" s="44">
        <f>-9419858.81-8311924.46+8311924.46+922360.04</f>
        <v>-8497498.7699999996</v>
      </c>
      <c r="I11" s="45"/>
      <c r="J11" s="44">
        <f>-3999202.79+37652832.87</f>
        <v>33653630.079999998</v>
      </c>
      <c r="K11" s="45"/>
      <c r="L11" s="44">
        <f>-3225940.35-15072.21</f>
        <v>-3241012.56</v>
      </c>
      <c r="M11" s="45"/>
      <c r="N11" s="88">
        <v>525852.88</v>
      </c>
      <c r="O11" s="89"/>
      <c r="P11" s="88">
        <f>7400335.79-3894.4</f>
        <v>7396441.3899999997</v>
      </c>
      <c r="Q11" s="89"/>
      <c r="R11" s="44">
        <v>-688371.14</v>
      </c>
      <c r="S11" s="45"/>
      <c r="T11" s="46" t="s">
        <v>16</v>
      </c>
      <c r="U11" s="45"/>
      <c r="V11" s="44">
        <f t="shared" ref="V11:V12" si="0">SUM(F11:U11)</f>
        <v>95337449.029999986</v>
      </c>
      <c r="W11" s="45"/>
    </row>
    <row r="12" spans="1:24" ht="13" thickBot="1" x14ac:dyDescent="0.3">
      <c r="A12" s="13" t="s">
        <v>53</v>
      </c>
      <c r="B12" s="11"/>
      <c r="C12" s="11"/>
      <c r="D12" s="11"/>
      <c r="E12" s="12"/>
      <c r="F12" s="49"/>
      <c r="G12" s="48"/>
      <c r="H12" s="49"/>
      <c r="I12" s="48"/>
      <c r="J12" s="47">
        <f>7031948.13+10548029.37</f>
        <v>17579977.5</v>
      </c>
      <c r="K12" s="48"/>
      <c r="L12" s="49"/>
      <c r="M12" s="48"/>
      <c r="N12" s="49"/>
      <c r="O12" s="48"/>
      <c r="P12" s="49"/>
      <c r="Q12" s="48"/>
      <c r="R12" s="49"/>
      <c r="S12" s="48"/>
      <c r="T12" s="49" t="s">
        <v>16</v>
      </c>
      <c r="U12" s="48"/>
      <c r="V12" s="44">
        <f t="shared" si="0"/>
        <v>17579977.5</v>
      </c>
      <c r="W12" s="45"/>
    </row>
    <row r="13" spans="1:24" ht="13.5" thickBot="1" x14ac:dyDescent="0.3">
      <c r="A13" s="32" t="s">
        <v>54</v>
      </c>
      <c r="B13" s="33"/>
      <c r="C13" s="33"/>
      <c r="D13" s="33"/>
      <c r="E13" s="34"/>
      <c r="F13" s="51">
        <f>+F11+F12</f>
        <v>66188407.149999999</v>
      </c>
      <c r="G13" s="34"/>
      <c r="H13" s="51">
        <f>+H11+H12</f>
        <v>-8497498.7699999996</v>
      </c>
      <c r="I13" s="34"/>
      <c r="J13" s="51">
        <f t="shared" ref="J13" si="1">+J11+J12</f>
        <v>51233607.579999998</v>
      </c>
      <c r="K13" s="34"/>
      <c r="L13" s="51">
        <f t="shared" ref="L13" si="2">+L11+L12</f>
        <v>-3241012.56</v>
      </c>
      <c r="M13" s="34"/>
      <c r="N13" s="51">
        <f t="shared" ref="N13" si="3">+N11+N12</f>
        <v>525852.88</v>
      </c>
      <c r="O13" s="34"/>
      <c r="P13" s="51">
        <f t="shared" ref="P13" si="4">+P11+P12</f>
        <v>7396441.3899999997</v>
      </c>
      <c r="Q13" s="34"/>
      <c r="R13" s="51">
        <f t="shared" ref="R13" si="5">+R11+R12</f>
        <v>-688371.14</v>
      </c>
      <c r="S13" s="34"/>
      <c r="T13" s="52" t="s">
        <v>16</v>
      </c>
      <c r="U13" s="34"/>
      <c r="V13" s="51">
        <f t="shared" ref="V13" si="6">SUM(F13:U13)</f>
        <v>112917426.52999999</v>
      </c>
      <c r="W13" s="34"/>
    </row>
    <row r="14" spans="1:24" ht="13.5" thickBot="1" x14ac:dyDescent="0.3">
      <c r="A14" s="79" t="s">
        <v>55</v>
      </c>
      <c r="B14" s="80"/>
      <c r="C14" s="80"/>
      <c r="D14" s="80"/>
      <c r="E14" s="81"/>
      <c r="F14" s="82"/>
      <c r="G14" s="81"/>
      <c r="H14" s="82"/>
      <c r="I14" s="81"/>
      <c r="J14" s="82"/>
      <c r="K14" s="81"/>
      <c r="L14" s="82"/>
      <c r="M14" s="81"/>
      <c r="N14" s="82"/>
      <c r="O14" s="81"/>
      <c r="P14" s="82"/>
      <c r="Q14" s="81"/>
      <c r="R14" s="82"/>
      <c r="S14" s="81"/>
      <c r="T14" s="82"/>
      <c r="U14" s="81"/>
      <c r="V14" s="82"/>
      <c r="W14" s="81"/>
    </row>
    <row r="15" spans="1:24" ht="13" thickBot="1" x14ac:dyDescent="0.3">
      <c r="A15" s="13" t="s">
        <v>56</v>
      </c>
      <c r="B15" s="8"/>
      <c r="C15" s="8"/>
      <c r="D15" s="8"/>
      <c r="E15" s="9"/>
      <c r="F15" s="44">
        <f>-1853705.82+11428833.3</f>
        <v>9575127.4800000004</v>
      </c>
      <c r="G15" s="45"/>
      <c r="H15" s="44">
        <f>102254-757442.71</f>
        <v>-655188.71</v>
      </c>
      <c r="I15" s="45"/>
      <c r="J15" s="46"/>
      <c r="K15" s="45"/>
      <c r="L15" s="46"/>
      <c r="M15" s="45"/>
      <c r="N15" s="46"/>
      <c r="O15" s="45"/>
      <c r="P15" s="46"/>
      <c r="Q15" s="45"/>
      <c r="R15" s="46"/>
      <c r="S15" s="45"/>
      <c r="T15" s="46" t="s">
        <v>16</v>
      </c>
      <c r="U15" s="45"/>
      <c r="V15" s="44">
        <f t="shared" ref="V15:V18" si="7">SUM(F15:U15)</f>
        <v>8919938.7699999996</v>
      </c>
      <c r="W15" s="45"/>
    </row>
    <row r="16" spans="1:24" ht="13" thickBot="1" x14ac:dyDescent="0.3">
      <c r="A16" s="13" t="s">
        <v>57</v>
      </c>
      <c r="B16" s="11"/>
      <c r="C16" s="11"/>
      <c r="D16" s="11"/>
      <c r="E16" s="12"/>
      <c r="F16" s="47">
        <f>-6937930.23+20833753.23</f>
        <v>13895823</v>
      </c>
      <c r="G16" s="48"/>
      <c r="H16" s="49"/>
      <c r="I16" s="48"/>
      <c r="J16" s="47">
        <f>-319266.74+2176640.74</f>
        <v>1857374.0000000002</v>
      </c>
      <c r="K16" s="48"/>
      <c r="L16" s="49"/>
      <c r="M16" s="48"/>
      <c r="N16" s="49"/>
      <c r="O16" s="48"/>
      <c r="P16" s="49"/>
      <c r="Q16" s="48"/>
      <c r="R16" s="49"/>
      <c r="S16" s="48"/>
      <c r="T16" s="49" t="s">
        <v>16</v>
      </c>
      <c r="U16" s="48"/>
      <c r="V16" s="44">
        <f t="shared" si="7"/>
        <v>15753197</v>
      </c>
      <c r="W16" s="45"/>
    </row>
    <row r="17" spans="1:23" ht="13" thickBot="1" x14ac:dyDescent="0.3">
      <c r="A17" s="13" t="s">
        <v>58</v>
      </c>
      <c r="B17" s="11"/>
      <c r="C17" s="11"/>
      <c r="D17" s="11"/>
      <c r="E17" s="12"/>
      <c r="F17" s="47">
        <f>-318034.48-5408767.42</f>
        <v>-5726801.9000000004</v>
      </c>
      <c r="G17" s="48"/>
      <c r="H17" s="47"/>
      <c r="I17" s="48"/>
      <c r="J17" s="47">
        <f>-35432.73+57754.67</f>
        <v>22321.939999999995</v>
      </c>
      <c r="K17" s="48"/>
      <c r="L17" s="47">
        <v>-1823</v>
      </c>
      <c r="M17" s="48"/>
      <c r="N17" s="49"/>
      <c r="O17" s="48"/>
      <c r="P17" s="49"/>
      <c r="Q17" s="48"/>
      <c r="R17" s="47">
        <v>4872.26</v>
      </c>
      <c r="S17" s="48"/>
      <c r="T17" s="49" t="s">
        <v>16</v>
      </c>
      <c r="U17" s="48"/>
      <c r="V17" s="44">
        <f t="shared" si="7"/>
        <v>-5701430.7000000002</v>
      </c>
      <c r="W17" s="45"/>
    </row>
    <row r="18" spans="1:23" ht="13.5" thickBot="1" x14ac:dyDescent="0.3">
      <c r="A18" s="32" t="s">
        <v>59</v>
      </c>
      <c r="B18" s="33"/>
      <c r="C18" s="33"/>
      <c r="D18" s="33"/>
      <c r="E18" s="34"/>
      <c r="F18" s="51">
        <f>+F17+F16+F15</f>
        <v>17744148.579999998</v>
      </c>
      <c r="G18" s="34"/>
      <c r="H18" s="51">
        <f t="shared" ref="H18" si="8">+H17+H16+H15</f>
        <v>-655188.71</v>
      </c>
      <c r="I18" s="34"/>
      <c r="J18" s="51">
        <f t="shared" ref="J18" si="9">+J17+J16+J15</f>
        <v>1879695.9400000002</v>
      </c>
      <c r="K18" s="34"/>
      <c r="L18" s="51">
        <f t="shared" ref="L18" si="10">+L17+L16+L15</f>
        <v>-1823</v>
      </c>
      <c r="M18" s="34"/>
      <c r="N18" s="51">
        <f t="shared" ref="N18" si="11">+N17+N16+N15</f>
        <v>0</v>
      </c>
      <c r="O18" s="34"/>
      <c r="P18" s="51">
        <f t="shared" ref="P18" si="12">+P17+P16+P15</f>
        <v>0</v>
      </c>
      <c r="Q18" s="34"/>
      <c r="R18" s="51">
        <f t="shared" ref="R18" si="13">+R17+R16+R15</f>
        <v>4872.26</v>
      </c>
      <c r="S18" s="34"/>
      <c r="T18" s="52" t="s">
        <v>16</v>
      </c>
      <c r="U18" s="34"/>
      <c r="V18" s="51">
        <f t="shared" si="7"/>
        <v>18971705.07</v>
      </c>
      <c r="W18" s="34"/>
    </row>
    <row r="19" spans="1:23" ht="13.5" thickBot="1" x14ac:dyDescent="0.3">
      <c r="A19" s="79" t="s">
        <v>60</v>
      </c>
      <c r="B19" s="80"/>
      <c r="C19" s="80"/>
      <c r="D19" s="80"/>
      <c r="E19" s="81"/>
      <c r="F19" s="82"/>
      <c r="G19" s="81"/>
      <c r="H19" s="82"/>
      <c r="I19" s="81"/>
      <c r="J19" s="82"/>
      <c r="K19" s="81"/>
      <c r="L19" s="82"/>
      <c r="M19" s="81"/>
      <c r="N19" s="82"/>
      <c r="O19" s="81"/>
      <c r="P19" s="82"/>
      <c r="Q19" s="81"/>
      <c r="R19" s="82"/>
      <c r="S19" s="81"/>
      <c r="T19" s="82"/>
      <c r="U19" s="81"/>
      <c r="V19" s="82"/>
      <c r="W19" s="81"/>
    </row>
    <row r="20" spans="1:23" ht="13" thickBot="1" x14ac:dyDescent="0.3">
      <c r="A20" s="13" t="s">
        <v>73</v>
      </c>
      <c r="B20" s="8"/>
      <c r="C20" s="8"/>
      <c r="D20" s="8"/>
      <c r="E20" s="9"/>
      <c r="F20" s="44">
        <f>-224.11+9865.29</f>
        <v>9641.18</v>
      </c>
      <c r="G20" s="45"/>
      <c r="H20" s="46"/>
      <c r="I20" s="45"/>
      <c r="J20" s="46"/>
      <c r="K20" s="45"/>
      <c r="L20" s="46"/>
      <c r="M20" s="45"/>
      <c r="N20" s="46"/>
      <c r="O20" s="45"/>
      <c r="P20" s="46"/>
      <c r="Q20" s="45"/>
      <c r="R20" s="46"/>
      <c r="S20" s="45"/>
      <c r="T20" s="46" t="s">
        <v>16</v>
      </c>
      <c r="U20" s="45"/>
      <c r="V20" s="44">
        <f t="shared" ref="V20:V22" si="14">SUM(F20:U20)</f>
        <v>9641.18</v>
      </c>
      <c r="W20" s="45"/>
    </row>
    <row r="21" spans="1:23" ht="13.5" thickBot="1" x14ac:dyDescent="0.3">
      <c r="A21" s="32" t="s">
        <v>61</v>
      </c>
      <c r="B21" s="33"/>
      <c r="C21" s="33"/>
      <c r="D21" s="33"/>
      <c r="E21" s="34"/>
      <c r="F21" s="51">
        <f>+F20</f>
        <v>9641.18</v>
      </c>
      <c r="G21" s="34"/>
      <c r="H21" s="51">
        <f t="shared" ref="H21" si="15">+H20</f>
        <v>0</v>
      </c>
      <c r="I21" s="34"/>
      <c r="J21" s="51">
        <f t="shared" ref="J21" si="16">+J20</f>
        <v>0</v>
      </c>
      <c r="K21" s="34"/>
      <c r="L21" s="51">
        <f t="shared" ref="L21" si="17">+L20</f>
        <v>0</v>
      </c>
      <c r="M21" s="34"/>
      <c r="N21" s="51">
        <f t="shared" ref="N21" si="18">+N20</f>
        <v>0</v>
      </c>
      <c r="O21" s="34"/>
      <c r="P21" s="51">
        <f t="shared" ref="P21" si="19">+P20</f>
        <v>0</v>
      </c>
      <c r="Q21" s="34"/>
      <c r="R21" s="51">
        <f t="shared" ref="R21" si="20">+R20</f>
        <v>0</v>
      </c>
      <c r="S21" s="34"/>
      <c r="T21" s="52" t="s">
        <v>16</v>
      </c>
      <c r="U21" s="34"/>
      <c r="V21" s="51">
        <f t="shared" si="14"/>
        <v>9641.18</v>
      </c>
      <c r="W21" s="34"/>
    </row>
    <row r="22" spans="1:23" ht="13.5" thickBot="1" x14ac:dyDescent="0.3">
      <c r="A22" s="32" t="s">
        <v>62</v>
      </c>
      <c r="B22" s="33"/>
      <c r="C22" s="33"/>
      <c r="D22" s="33"/>
      <c r="E22" s="34"/>
      <c r="F22" s="51">
        <f>+F13+F18+F21</f>
        <v>83942196.909999996</v>
      </c>
      <c r="G22" s="34"/>
      <c r="H22" s="51">
        <f t="shared" ref="H22" si="21">+H13+H18+H21</f>
        <v>-9152687.4800000004</v>
      </c>
      <c r="I22" s="34"/>
      <c r="J22" s="51">
        <f t="shared" ref="J22" si="22">+J13+J18+J21</f>
        <v>53113303.519999996</v>
      </c>
      <c r="K22" s="34"/>
      <c r="L22" s="51">
        <f t="shared" ref="L22" si="23">+L13+L18+L21</f>
        <v>-3242835.56</v>
      </c>
      <c r="M22" s="34"/>
      <c r="N22" s="51">
        <f t="shared" ref="N22" si="24">+N13+N18+N21</f>
        <v>525852.88</v>
      </c>
      <c r="O22" s="34"/>
      <c r="P22" s="51">
        <f t="shared" ref="P22" si="25">+P13+P18+P21</f>
        <v>7396441.3899999997</v>
      </c>
      <c r="Q22" s="34"/>
      <c r="R22" s="51">
        <f t="shared" ref="R22" si="26">+R13+R18+R21</f>
        <v>-683498.88</v>
      </c>
      <c r="S22" s="34"/>
      <c r="T22" s="52" t="s">
        <v>16</v>
      </c>
      <c r="U22" s="34"/>
      <c r="V22" s="51">
        <f t="shared" si="14"/>
        <v>131898772.77999999</v>
      </c>
      <c r="W22" s="34"/>
    </row>
    <row r="23" spans="1:23" ht="13.5" thickBot="1" x14ac:dyDescent="0.3">
      <c r="A23" s="83" t="s">
        <v>63</v>
      </c>
      <c r="B23" s="58"/>
      <c r="C23" s="58"/>
      <c r="D23" s="58"/>
      <c r="E23" s="59"/>
      <c r="F23" s="70"/>
      <c r="G23" s="59"/>
      <c r="H23" s="70"/>
      <c r="I23" s="59"/>
      <c r="J23" s="70"/>
      <c r="K23" s="59"/>
      <c r="L23" s="70"/>
      <c r="M23" s="59"/>
      <c r="N23" s="70"/>
      <c r="O23" s="59"/>
      <c r="P23" s="70"/>
      <c r="Q23" s="59"/>
      <c r="R23" s="70"/>
      <c r="S23" s="59"/>
      <c r="T23" s="70"/>
      <c r="U23" s="59"/>
      <c r="V23" s="70"/>
      <c r="W23" s="59"/>
    </row>
    <row r="24" spans="1:23" ht="13.5" thickBot="1" x14ac:dyDescent="0.3">
      <c r="A24" s="79" t="s">
        <v>64</v>
      </c>
      <c r="B24" s="80"/>
      <c r="C24" s="80"/>
      <c r="D24" s="80"/>
      <c r="E24" s="81"/>
      <c r="F24" s="82"/>
      <c r="G24" s="81"/>
      <c r="H24" s="82"/>
      <c r="I24" s="81"/>
      <c r="J24" s="82"/>
      <c r="K24" s="81"/>
      <c r="L24" s="82"/>
      <c r="M24" s="81"/>
      <c r="N24" s="82"/>
      <c r="O24" s="81"/>
      <c r="P24" s="82"/>
      <c r="Q24" s="81"/>
      <c r="R24" s="82"/>
      <c r="S24" s="81"/>
      <c r="T24" s="82"/>
      <c r="U24" s="81"/>
      <c r="V24" s="82"/>
      <c r="W24" s="81"/>
    </row>
    <row r="25" spans="1:23" ht="13" thickBot="1" x14ac:dyDescent="0.3">
      <c r="A25" s="10" t="s">
        <v>65</v>
      </c>
      <c r="B25" s="8"/>
      <c r="C25" s="8"/>
      <c r="D25" s="8"/>
      <c r="E25" s="9"/>
      <c r="F25" s="44">
        <f>-10187153.79+10548908.06</f>
        <v>361754.27000000142</v>
      </c>
      <c r="G25" s="45"/>
      <c r="H25" s="44">
        <f>-147926.85+115024.83</f>
        <v>-32902.020000000004</v>
      </c>
      <c r="I25" s="45"/>
      <c r="J25" s="46">
        <v>0</v>
      </c>
      <c r="K25" s="45"/>
      <c r="L25" s="44">
        <f>-503611.35+515049.77</f>
        <v>11438.420000000042</v>
      </c>
      <c r="M25" s="45"/>
      <c r="N25" s="46" t="s">
        <v>16</v>
      </c>
      <c r="O25" s="45"/>
      <c r="P25" s="46" t="s">
        <v>16</v>
      </c>
      <c r="Q25" s="45"/>
      <c r="R25" s="44">
        <v>-2291518.83</v>
      </c>
      <c r="S25" s="45"/>
      <c r="T25" s="46" t="s">
        <v>16</v>
      </c>
      <c r="U25" s="45"/>
      <c r="V25" s="44">
        <f t="shared" ref="V25:V29" si="27">SUM(F25:U25)</f>
        <v>-1951228.1599999988</v>
      </c>
      <c r="W25" s="45"/>
    </row>
    <row r="26" spans="1:23" ht="13" thickBot="1" x14ac:dyDescent="0.3">
      <c r="A26" s="10" t="s">
        <v>74</v>
      </c>
      <c r="B26" s="11"/>
      <c r="C26" s="11"/>
      <c r="D26" s="11"/>
      <c r="E26" s="12"/>
      <c r="F26" s="85">
        <v>10249804</v>
      </c>
      <c r="G26" s="86"/>
      <c r="H26" s="49" t="s">
        <v>16</v>
      </c>
      <c r="I26" s="48"/>
      <c r="J26" s="85">
        <v>0</v>
      </c>
      <c r="K26" s="86"/>
      <c r="L26" s="49" t="s">
        <v>16</v>
      </c>
      <c r="M26" s="48"/>
      <c r="N26" s="49" t="s">
        <v>16</v>
      </c>
      <c r="O26" s="48"/>
      <c r="P26" s="49" t="s">
        <v>16</v>
      </c>
      <c r="Q26" s="48"/>
      <c r="R26" s="47">
        <v>0</v>
      </c>
      <c r="S26" s="48"/>
      <c r="T26" s="49" t="s">
        <v>16</v>
      </c>
      <c r="U26" s="48"/>
      <c r="V26" s="44">
        <f t="shared" ref="V26" si="28">SUM(F26:U26)</f>
        <v>10249804</v>
      </c>
      <c r="W26" s="45"/>
    </row>
    <row r="27" spans="1:23" ht="13" thickBot="1" x14ac:dyDescent="0.3">
      <c r="A27" s="10" t="s">
        <v>72</v>
      </c>
      <c r="B27" s="11"/>
      <c r="C27" s="11"/>
      <c r="D27" s="11"/>
      <c r="E27" s="12"/>
      <c r="F27" s="49" t="s">
        <v>16</v>
      </c>
      <c r="G27" s="48"/>
      <c r="H27" s="49" t="s">
        <v>16</v>
      </c>
      <c r="I27" s="48"/>
      <c r="J27" s="85">
        <v>1857374</v>
      </c>
      <c r="K27" s="86"/>
      <c r="L27" s="49" t="s">
        <v>16</v>
      </c>
      <c r="M27" s="48"/>
      <c r="N27" s="49" t="s">
        <v>16</v>
      </c>
      <c r="O27" s="48"/>
      <c r="P27" s="49" t="s">
        <v>16</v>
      </c>
      <c r="Q27" s="48"/>
      <c r="R27" s="47">
        <v>-2313518.69</v>
      </c>
      <c r="S27" s="48"/>
      <c r="T27" s="49" t="s">
        <v>16</v>
      </c>
      <c r="U27" s="48"/>
      <c r="V27" s="44">
        <f t="shared" si="27"/>
        <v>-456144.68999999994</v>
      </c>
      <c r="W27" s="45"/>
    </row>
    <row r="28" spans="1:23" ht="13" thickBot="1" x14ac:dyDescent="0.3">
      <c r="A28" s="10" t="s">
        <v>66</v>
      </c>
      <c r="B28" s="11"/>
      <c r="C28" s="11"/>
      <c r="D28" s="11"/>
      <c r="E28" s="12"/>
      <c r="F28" s="47">
        <f>-604866.13+2063101.06</f>
        <v>1458234.9300000002</v>
      </c>
      <c r="G28" s="48"/>
      <c r="H28" s="47">
        <f>-49892.5+49892.5</f>
        <v>0</v>
      </c>
      <c r="I28" s="48"/>
      <c r="J28" s="49" t="s">
        <v>16</v>
      </c>
      <c r="K28" s="48"/>
      <c r="L28" s="85">
        <v>7078.1</v>
      </c>
      <c r="M28" s="86"/>
      <c r="N28" s="49" t="s">
        <v>16</v>
      </c>
      <c r="O28" s="48"/>
      <c r="P28" s="49" t="s">
        <v>16</v>
      </c>
      <c r="Q28" s="48"/>
      <c r="R28" s="49" t="s">
        <v>16</v>
      </c>
      <c r="S28" s="48"/>
      <c r="T28" s="49" t="s">
        <v>16</v>
      </c>
      <c r="U28" s="48"/>
      <c r="V28" s="44">
        <f t="shared" si="27"/>
        <v>1465313.0300000003</v>
      </c>
      <c r="W28" s="45"/>
    </row>
    <row r="29" spans="1:23" ht="13" thickBot="1" x14ac:dyDescent="0.3">
      <c r="A29" s="10" t="s">
        <v>67</v>
      </c>
      <c r="B29" s="11"/>
      <c r="C29" s="11"/>
      <c r="D29" s="11"/>
      <c r="E29" s="12"/>
      <c r="F29" s="85">
        <v>1907725.66</v>
      </c>
      <c r="G29" s="86"/>
      <c r="H29" s="49" t="s">
        <v>16</v>
      </c>
      <c r="I29" s="48"/>
      <c r="J29" s="49" t="s">
        <v>16</v>
      </c>
      <c r="K29" s="48"/>
      <c r="L29" s="49" t="s">
        <v>16</v>
      </c>
      <c r="M29" s="48"/>
      <c r="N29" s="49" t="s">
        <v>16</v>
      </c>
      <c r="O29" s="48"/>
      <c r="P29" s="49" t="s">
        <v>16</v>
      </c>
      <c r="Q29" s="48"/>
      <c r="R29" s="47">
        <v>3921538.64</v>
      </c>
      <c r="S29" s="48"/>
      <c r="T29" s="49" t="s">
        <v>16</v>
      </c>
      <c r="U29" s="48"/>
      <c r="V29" s="44">
        <f t="shared" si="27"/>
        <v>5829264.2999999998</v>
      </c>
      <c r="W29" s="45"/>
    </row>
    <row r="30" spans="1:23" ht="13.5" thickBot="1" x14ac:dyDescent="0.3">
      <c r="A30" s="32" t="s">
        <v>68</v>
      </c>
      <c r="B30" s="33"/>
      <c r="C30" s="33"/>
      <c r="D30" s="33"/>
      <c r="E30" s="34"/>
      <c r="F30" s="51">
        <f>SUM(F25:G29)</f>
        <v>13977518.860000001</v>
      </c>
      <c r="G30" s="34"/>
      <c r="H30" s="51">
        <f t="shared" ref="H30:S30" si="29">SUM(H25:I29)</f>
        <v>-32902.020000000004</v>
      </c>
      <c r="I30" s="34"/>
      <c r="J30" s="51">
        <f t="shared" ref="J30:S30" si="30">SUM(J25:K29)</f>
        <v>1857374</v>
      </c>
      <c r="K30" s="34"/>
      <c r="L30" s="51">
        <f t="shared" ref="L30:S30" si="31">SUM(L25:M29)</f>
        <v>18516.52000000004</v>
      </c>
      <c r="M30" s="34"/>
      <c r="N30" s="51">
        <f t="shared" ref="N30:S30" si="32">SUM(N25:O29)</f>
        <v>0</v>
      </c>
      <c r="O30" s="34"/>
      <c r="P30" s="51">
        <f t="shared" ref="P30:S30" si="33">SUM(P25:Q29)</f>
        <v>0</v>
      </c>
      <c r="Q30" s="34"/>
      <c r="R30" s="51">
        <f t="shared" ref="R30:S30" si="34">SUM(R25:S29)</f>
        <v>-683498.87999999942</v>
      </c>
      <c r="S30" s="34"/>
      <c r="T30" s="52" t="s">
        <v>16</v>
      </c>
      <c r="U30" s="34"/>
      <c r="V30" s="51">
        <f>SUM(F30:U30)</f>
        <v>15137008.480000002</v>
      </c>
      <c r="W30" s="34"/>
    </row>
    <row r="31" spans="1:23" ht="13.5" thickBot="1" x14ac:dyDescent="0.3">
      <c r="A31" s="32" t="s">
        <v>69</v>
      </c>
      <c r="B31" s="33"/>
      <c r="C31" s="33"/>
      <c r="D31" s="33"/>
      <c r="E31" s="34"/>
      <c r="F31" s="51">
        <f>+F30</f>
        <v>13977518.860000001</v>
      </c>
      <c r="G31" s="34"/>
      <c r="H31" s="51">
        <f t="shared" ref="H31" si="35">+H30</f>
        <v>-32902.020000000004</v>
      </c>
      <c r="I31" s="34"/>
      <c r="J31" s="51">
        <f t="shared" ref="J31" si="36">+J30</f>
        <v>1857374</v>
      </c>
      <c r="K31" s="34"/>
      <c r="L31" s="51">
        <f t="shared" ref="L31" si="37">+L30</f>
        <v>18516.52000000004</v>
      </c>
      <c r="M31" s="34"/>
      <c r="N31" s="51">
        <f t="shared" ref="N31" si="38">+N30</f>
        <v>0</v>
      </c>
      <c r="O31" s="34"/>
      <c r="P31" s="51">
        <f t="shared" ref="P31" si="39">+P30</f>
        <v>0</v>
      </c>
      <c r="Q31" s="34"/>
      <c r="R31" s="51">
        <f t="shared" ref="R31" si="40">+R30</f>
        <v>-683498.87999999942</v>
      </c>
      <c r="S31" s="34"/>
      <c r="T31" s="52" t="s">
        <v>16</v>
      </c>
      <c r="U31" s="34"/>
      <c r="V31" s="51">
        <f>SUM(F31:U31)</f>
        <v>15137008.480000002</v>
      </c>
      <c r="W31" s="34"/>
    </row>
    <row r="32" spans="1:23" ht="13.5" thickBot="1" x14ac:dyDescent="0.3">
      <c r="A32" s="83" t="s">
        <v>70</v>
      </c>
      <c r="B32" s="58"/>
      <c r="C32" s="58"/>
      <c r="D32" s="58"/>
      <c r="E32" s="59"/>
      <c r="F32" s="44">
        <f>+'Inc Stmt_1'!G41:G41</f>
        <v>69964678.050000012</v>
      </c>
      <c r="G32" s="45"/>
      <c r="H32" s="44">
        <f>+'Inc Stmt_1'!I41:I41</f>
        <v>-9119785.4600000009</v>
      </c>
      <c r="I32" s="45"/>
      <c r="J32" s="44">
        <f>+'Inc Stmt_1'!K41:K41</f>
        <v>51255929.519999996</v>
      </c>
      <c r="K32" s="45"/>
      <c r="L32" s="44">
        <f>+'Inc Stmt_1'!M41:M41</f>
        <v>-3261352.08</v>
      </c>
      <c r="M32" s="45"/>
      <c r="N32" s="44">
        <f>+'Inc Stmt_1'!O41:O41</f>
        <v>525852.88</v>
      </c>
      <c r="O32" s="45"/>
      <c r="P32" s="44">
        <f>+'Inc Stmt_1'!Q41:Q41</f>
        <v>7396441.3899999997</v>
      </c>
      <c r="Q32" s="45"/>
      <c r="R32" s="44">
        <v>0</v>
      </c>
      <c r="S32" s="45"/>
      <c r="T32" s="44">
        <v>0</v>
      </c>
      <c r="U32" s="45"/>
      <c r="V32" s="44">
        <f>SUM(F32:U32)</f>
        <v>116761764.30000001</v>
      </c>
      <c r="W32" s="45"/>
    </row>
    <row r="33" spans="1:23" ht="13" thickBot="1" x14ac:dyDescent="0.3">
      <c r="A33" s="78"/>
      <c r="B33" s="33"/>
      <c r="C33" s="33"/>
      <c r="D33" s="33"/>
      <c r="E33" s="34"/>
      <c r="F33" s="78"/>
      <c r="G33" s="34"/>
      <c r="H33" s="78"/>
      <c r="I33" s="34"/>
      <c r="J33" s="78"/>
      <c r="K33" s="34"/>
      <c r="L33" s="78"/>
      <c r="M33" s="34"/>
      <c r="N33" s="78"/>
      <c r="O33" s="34"/>
      <c r="P33" s="78"/>
      <c r="Q33" s="34"/>
      <c r="R33" s="78"/>
      <c r="S33" s="34"/>
      <c r="T33" s="78"/>
      <c r="U33" s="34"/>
      <c r="V33" s="78"/>
      <c r="W33" s="34"/>
    </row>
    <row r="34" spans="1:23" ht="13.5" thickBot="1" x14ac:dyDescent="0.3">
      <c r="A34" s="83" t="s">
        <v>63</v>
      </c>
      <c r="B34" s="58"/>
      <c r="C34" s="58"/>
      <c r="D34" s="58"/>
      <c r="E34" s="59"/>
      <c r="F34" s="44">
        <f>+F31+F32</f>
        <v>83942196.910000011</v>
      </c>
      <c r="G34" s="45"/>
      <c r="H34" s="44">
        <f t="shared" ref="H34:M34" si="41">+H31+H32</f>
        <v>-9152687.4800000004</v>
      </c>
      <c r="I34" s="45"/>
      <c r="J34" s="44">
        <f>+J31+J32</f>
        <v>53113303.519999996</v>
      </c>
      <c r="K34" s="45"/>
      <c r="L34" s="44">
        <f t="shared" ref="L34:P34" si="42">+L31+L32</f>
        <v>-3242835.56</v>
      </c>
      <c r="M34" s="45"/>
      <c r="N34" s="44">
        <f t="shared" si="42"/>
        <v>525852.88</v>
      </c>
      <c r="O34" s="45"/>
      <c r="P34" s="44">
        <f t="shared" si="42"/>
        <v>7396441.3899999997</v>
      </c>
      <c r="Q34" s="45"/>
      <c r="R34" s="44">
        <v>-683498.88</v>
      </c>
      <c r="S34" s="45"/>
      <c r="T34" s="44">
        <v>0</v>
      </c>
      <c r="U34" s="45"/>
      <c r="V34" s="44">
        <f>SUM(F34:U34)</f>
        <v>131898772.78</v>
      </c>
      <c r="W34" s="45"/>
    </row>
    <row r="35" spans="1:23" ht="12.75" customHeight="1" x14ac:dyDescent="0.25">
      <c r="G35" s="87">
        <f>+F34-F22</f>
        <v>0</v>
      </c>
      <c r="I35" s="87">
        <f>+H34-H22</f>
        <v>0</v>
      </c>
      <c r="K35" s="87">
        <f>+J34-J22</f>
        <v>0</v>
      </c>
      <c r="M35" s="87">
        <f>+L34-L22</f>
        <v>0</v>
      </c>
      <c r="O35" s="87">
        <f>+N34-N22</f>
        <v>0</v>
      </c>
      <c r="Q35" s="87">
        <f>+P34-P22</f>
        <v>0</v>
      </c>
      <c r="S35" s="87">
        <f>+R34-R22</f>
        <v>0</v>
      </c>
      <c r="W35" s="87">
        <f>+V34-V22</f>
        <v>0</v>
      </c>
    </row>
  </sheetData>
  <mergeCells count="265">
    <mergeCell ref="V34:W34"/>
    <mergeCell ref="A1:W1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2:W32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0:W30"/>
    <mergeCell ref="A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A30:E30"/>
    <mergeCell ref="F30:G30"/>
    <mergeCell ref="H30:I30"/>
    <mergeCell ref="J30:K30"/>
    <mergeCell ref="L30:M30"/>
    <mergeCell ref="N30:O30"/>
    <mergeCell ref="P30:Q30"/>
    <mergeCell ref="R30:S30"/>
    <mergeCell ref="T30:U30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1:W21"/>
    <mergeCell ref="A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V18:W18"/>
    <mergeCell ref="A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A18:E18"/>
    <mergeCell ref="F18:G18"/>
    <mergeCell ref="H18:I18"/>
    <mergeCell ref="J18:K18"/>
    <mergeCell ref="L18:M18"/>
    <mergeCell ref="N18:O18"/>
    <mergeCell ref="P18:Q18"/>
    <mergeCell ref="R18:S18"/>
    <mergeCell ref="T18:U18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2019-09-30T16:18:30Z</dcterms:created>
  <dcterms:modified xsi:type="dcterms:W3CDTF">2019-09-30T20:02:47Z</dcterms:modified>
</cp:coreProperties>
</file>