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W:\Charter Schools\!!FEFP\FY 26 - FEFP Funding\!Payments 2025-26\2025-08\"/>
    </mc:Choice>
  </mc:AlternateContent>
  <xr:revisionPtr revIDLastSave="0" documentId="13_ncr:1_{8C7CC0D8-5CB6-403E-974B-0EE86A59EDA9}" xr6:coauthVersionLast="47" xr6:coauthVersionMax="47" xr10:uidLastSave="{00000000-0000-0000-0000-000000000000}"/>
  <bookViews>
    <workbookView xWindow="28680" yWindow="-120" windowWidth="29040" windowHeight="15720" xr2:uid="{00000000-000D-0000-FFFF-FFFF00000000}"/>
    <workbookView xWindow="28680" yWindow="-120" windowWidth="29040" windowHeight="15720" activeTab="5" xr2:uid="{00000000-000D-0000-FFFF-FFFF01000000}"/>
  </bookViews>
  <sheets>
    <sheet name="Net Payment" sheetId="64" r:id="rId1"/>
    <sheet name="Annual Rev &amp; Fees" sheetId="72" state="hidden" r:id="rId2"/>
    <sheet name="Charter Schools" sheetId="65" r:id="rId3"/>
    <sheet name="Consolidated" sheetId="60" r:id="rId4"/>
    <sheet name="Cumulative Payments" sheetId="79" state="hidden" r:id="rId5"/>
    <sheet name="0040" sheetId="81" r:id="rId6"/>
    <sheet name="0100" sheetId="80" r:id="rId7"/>
    <sheet name="1461" sheetId="7" r:id="rId8"/>
    <sheet name="1571" sheetId="16" r:id="rId9"/>
    <sheet name="2521" sheetId="17" r:id="rId10"/>
    <sheet name="2531" sheetId="18" r:id="rId11"/>
    <sheet name="2791" sheetId="20" r:id="rId12"/>
    <sheet name="2801" sheetId="21" r:id="rId13"/>
    <sheet name="2911" sheetId="25" r:id="rId14"/>
    <sheet name="2941" sheetId="24" r:id="rId15"/>
    <sheet name="3083" sheetId="22" r:id="rId16"/>
    <sheet name="3345" sheetId="26" r:id="rId17"/>
    <sheet name="3362" sheetId="82" state="hidden" r:id="rId18"/>
    <sheet name="3381" sheetId="27" r:id="rId19"/>
    <sheet name="3382" sheetId="28" r:id="rId20"/>
    <sheet name="3391" sheetId="31" r:id="rId21"/>
    <sheet name="3394" sheetId="32" r:id="rId22"/>
    <sheet name="3395" sheetId="33" r:id="rId23"/>
    <sheet name="3396" sheetId="34" r:id="rId24"/>
    <sheet name="3398" sheetId="35" r:id="rId25"/>
    <sheet name="3400" sheetId="23" r:id="rId26"/>
    <sheet name="3401" sheetId="36" r:id="rId27"/>
    <sheet name="3413" sheetId="37" r:id="rId28"/>
    <sheet name="3421" sheetId="38" r:id="rId29"/>
    <sheet name="3431" sheetId="39" r:id="rId30"/>
    <sheet name="3441" sheetId="40" r:id="rId31"/>
    <sheet name="3924" sheetId="42" r:id="rId32"/>
    <sheet name="3941" sheetId="43" r:id="rId33"/>
    <sheet name="3961" sheetId="44" r:id="rId34"/>
    <sheet name="3971" sheetId="45" r:id="rId35"/>
    <sheet name="4001" sheetId="47" r:id="rId36"/>
    <sheet name="4002" sheetId="48" r:id="rId37"/>
    <sheet name="4012" sheetId="50" r:id="rId38"/>
    <sheet name="4013" sheetId="51" r:id="rId39"/>
    <sheet name="4020" sheetId="52" r:id="rId40"/>
    <sheet name="4030" sheetId="75" r:id="rId41"/>
    <sheet name="4031" sheetId="76" r:id="rId42"/>
    <sheet name="4041" sheetId="55" r:id="rId43"/>
    <sheet name="4050" sheetId="56" r:id="rId44"/>
    <sheet name="4051" sheetId="57" r:id="rId45"/>
    <sheet name="4061" sheetId="58" r:id="rId46"/>
    <sheet name="4080" sheetId="66" r:id="rId47"/>
    <sheet name="4081" sheetId="67" r:id="rId48"/>
    <sheet name="4090" sheetId="69" r:id="rId49"/>
    <sheet name="4091" sheetId="70" r:id="rId50"/>
    <sheet name="4100" sheetId="71" r:id="rId51"/>
    <sheet name="4102" sheetId="68" r:id="rId52"/>
    <sheet name="4103" sheetId="77" r:id="rId53"/>
    <sheet name="4111" sheetId="78" r:id="rId54"/>
    <sheet name="4131" sheetId="30" r:id="rId55"/>
    <sheet name="Virtual" sheetId="62" state="hidden" r:id="rId56"/>
  </sheets>
  <definedNames>
    <definedName name="_xlnm._FilterDatabase" localSheetId="1" hidden="1">'Annual Rev &amp; Fees'!$A$5:$W$53</definedName>
    <definedName name="_xlnm._FilterDatabase" localSheetId="0" hidden="1">'Net Payment'!$A$4:$G$451</definedName>
    <definedName name="CAP" localSheetId="5"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PRACTICE" localSheetId="5"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'0040'!$A$6:$I$145</definedName>
    <definedName name="_xlnm.Print_Area" localSheetId="6">'0100'!$A$6:$I$145</definedName>
    <definedName name="_xlnm.Print_Area" localSheetId="7">'1461'!$A$6:$I$145</definedName>
    <definedName name="_xlnm.Print_Area" localSheetId="3">Consolidated!$A$2:$I$147</definedName>
    <definedName name="_xlnm.Print_Area" localSheetId="0">'Net Payment'!$A$1:$G$515</definedName>
    <definedName name="_xlnm.Print_Area" localSheetId="55">Virtual!$B$2:$G$38</definedName>
    <definedName name="_xlnm.Print_Titles" localSheetId="5">'0040'!$2:$5</definedName>
    <definedName name="_xlnm.Print_Titles" localSheetId="6">'0100'!$2:$5</definedName>
    <definedName name="_xlnm.Print_Titles" localSheetId="7">'1461'!$2:$5</definedName>
    <definedName name="_xlnm.Print_Titles" localSheetId="0">'Net Payment'!$1:$4</definedName>
    <definedName name="wrn.Base._.Data._.Comparison." localSheetId="5"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80" l="1"/>
  <c r="I51" i="81"/>
  <c r="F99" i="60"/>
  <c r="K92" i="60"/>
  <c r="L92" i="60" s="1"/>
  <c r="K94" i="60"/>
  <c r="L94" i="60" s="1"/>
  <c r="F53" i="60"/>
  <c r="D122" i="79" l="1"/>
  <c r="Q115" i="79"/>
  <c r="R98" i="79"/>
  <c r="E55" i="79"/>
  <c r="E122" i="79"/>
  <c r="R55" i="79"/>
  <c r="F55" i="79"/>
  <c r="F462" i="64" l="1"/>
  <c r="E113" i="81" l="1"/>
  <c r="E113" i="67"/>
  <c r="E113" i="66"/>
  <c r="E113" i="58"/>
  <c r="E113" i="52"/>
  <c r="E113" i="50"/>
  <c r="E113" i="47"/>
  <c r="E113" i="45"/>
  <c r="E113" i="43"/>
  <c r="E113" i="42"/>
  <c r="E113" i="40"/>
  <c r="E113" i="39"/>
  <c r="E113" i="38"/>
  <c r="E113" i="36"/>
  <c r="E113" i="23"/>
  <c r="E113" i="35"/>
  <c r="E113" i="34"/>
  <c r="E113" i="33"/>
  <c r="E113" i="32"/>
  <c r="E113" i="28"/>
  <c r="E113" i="27"/>
  <c r="E113" i="26"/>
  <c r="E114" i="22"/>
  <c r="E113" i="22"/>
  <c r="E114" i="24"/>
  <c r="E113" i="24"/>
  <c r="E113" i="21"/>
  <c r="E114" i="18"/>
  <c r="E113" i="18"/>
  <c r="E113" i="17"/>
  <c r="E114" i="17"/>
  <c r="E113" i="16"/>
  <c r="E113" i="7"/>
  <c r="I113" i="7" s="1"/>
  <c r="H52" i="30"/>
  <c r="H51" i="30"/>
  <c r="B52" i="30"/>
  <c r="B51" i="30"/>
  <c r="H52" i="78"/>
  <c r="H51" i="78"/>
  <c r="B52" i="78"/>
  <c r="B51" i="78"/>
  <c r="H52" i="77"/>
  <c r="H51" i="77"/>
  <c r="B52" i="77"/>
  <c r="B51" i="77"/>
  <c r="H52" i="68"/>
  <c r="H51" i="68"/>
  <c r="I51" i="68" s="1"/>
  <c r="B52" i="68"/>
  <c r="B51" i="68"/>
  <c r="H52" i="71"/>
  <c r="H51" i="71"/>
  <c r="B52" i="71"/>
  <c r="B51" i="71"/>
  <c r="H52" i="70"/>
  <c r="H51" i="70"/>
  <c r="B52" i="70"/>
  <c r="B51" i="70"/>
  <c r="H52" i="69"/>
  <c r="H51" i="69"/>
  <c r="B52" i="69"/>
  <c r="B51" i="69"/>
  <c r="H52" i="67"/>
  <c r="H51" i="67"/>
  <c r="B52" i="67"/>
  <c r="B51" i="67"/>
  <c r="H52" i="66"/>
  <c r="H51" i="66"/>
  <c r="B52" i="66"/>
  <c r="B51" i="66"/>
  <c r="H52" i="58"/>
  <c r="H51" i="58"/>
  <c r="F52" i="58"/>
  <c r="F54" i="60" s="1"/>
  <c r="K54" i="60" s="1"/>
  <c r="B52" i="58"/>
  <c r="B51" i="58"/>
  <c r="H52" i="57"/>
  <c r="H51" i="57"/>
  <c r="B52" i="57"/>
  <c r="B51" i="57"/>
  <c r="H52" i="56"/>
  <c r="H51" i="56"/>
  <c r="B52" i="56"/>
  <c r="B51" i="56"/>
  <c r="H52" i="55"/>
  <c r="H51" i="55"/>
  <c r="B52" i="55"/>
  <c r="B51" i="55"/>
  <c r="H52" i="76"/>
  <c r="H51" i="76"/>
  <c r="B52" i="76"/>
  <c r="B51" i="76"/>
  <c r="H52" i="75"/>
  <c r="H51" i="75"/>
  <c r="B52" i="75"/>
  <c r="B51" i="75"/>
  <c r="H52" i="52"/>
  <c r="H51" i="52"/>
  <c r="B52" i="52"/>
  <c r="B51" i="52"/>
  <c r="H52" i="51"/>
  <c r="H51" i="51"/>
  <c r="B52" i="51"/>
  <c r="B51" i="51"/>
  <c r="H52" i="50"/>
  <c r="H51" i="50"/>
  <c r="I51" i="50" s="1"/>
  <c r="B52" i="50"/>
  <c r="B51" i="50"/>
  <c r="H52" i="48"/>
  <c r="H51" i="48"/>
  <c r="B52" i="48"/>
  <c r="B51" i="48"/>
  <c r="H51" i="47"/>
  <c r="H52" i="47"/>
  <c r="B52" i="47"/>
  <c r="B51" i="47"/>
  <c r="H52" i="45"/>
  <c r="H51" i="45"/>
  <c r="B52" i="45"/>
  <c r="B51" i="45"/>
  <c r="B52" i="44"/>
  <c r="B51" i="44"/>
  <c r="H52" i="43"/>
  <c r="H51" i="43"/>
  <c r="B52" i="43"/>
  <c r="B51" i="43"/>
  <c r="H52" i="42"/>
  <c r="H51" i="42"/>
  <c r="B52" i="42"/>
  <c r="B51" i="42"/>
  <c r="H52" i="40"/>
  <c r="H51" i="40"/>
  <c r="B52" i="40"/>
  <c r="B51" i="40"/>
  <c r="H52" i="39"/>
  <c r="H51" i="39"/>
  <c r="B52" i="39"/>
  <c r="B51" i="39"/>
  <c r="H52" i="38"/>
  <c r="H51" i="38"/>
  <c r="B52" i="38"/>
  <c r="B51" i="38"/>
  <c r="H52" i="37"/>
  <c r="H51" i="37"/>
  <c r="B52" i="37"/>
  <c r="B51" i="37"/>
  <c r="H52" i="36"/>
  <c r="H51" i="36"/>
  <c r="B52" i="36"/>
  <c r="B51" i="36"/>
  <c r="H52" i="23"/>
  <c r="H51" i="23"/>
  <c r="B52" i="23"/>
  <c r="B51" i="23"/>
  <c r="H52" i="35"/>
  <c r="H51" i="35"/>
  <c r="I51" i="35" s="1"/>
  <c r="B52" i="35"/>
  <c r="B51" i="35"/>
  <c r="H52" i="34"/>
  <c r="H51" i="34"/>
  <c r="B52" i="34"/>
  <c r="B51" i="34"/>
  <c r="H52" i="33"/>
  <c r="H51" i="33"/>
  <c r="B52" i="33"/>
  <c r="B51" i="33"/>
  <c r="H52" i="32"/>
  <c r="H51" i="32"/>
  <c r="B52" i="32"/>
  <c r="B51" i="32"/>
  <c r="H52" i="28"/>
  <c r="H51" i="28"/>
  <c r="B52" i="28"/>
  <c r="B51" i="28"/>
  <c r="H52" i="27"/>
  <c r="H51" i="27"/>
  <c r="I51" i="27" s="1"/>
  <c r="B52" i="27"/>
  <c r="B51" i="27"/>
  <c r="H52" i="26"/>
  <c r="H51" i="26"/>
  <c r="B52" i="26"/>
  <c r="B51" i="26"/>
  <c r="H52" i="22"/>
  <c r="H51" i="22"/>
  <c r="B52" i="22"/>
  <c r="B51" i="22"/>
  <c r="H52" i="24"/>
  <c r="H51" i="24"/>
  <c r="B52" i="24"/>
  <c r="B51" i="24"/>
  <c r="H52" i="25"/>
  <c r="H51" i="25"/>
  <c r="B52" i="25"/>
  <c r="B51" i="25"/>
  <c r="H52" i="21"/>
  <c r="H51" i="21"/>
  <c r="B52" i="21"/>
  <c r="B51" i="21"/>
  <c r="H52" i="20"/>
  <c r="H51" i="20"/>
  <c r="B52" i="20"/>
  <c r="B51" i="20"/>
  <c r="H52" i="18"/>
  <c r="H51" i="18"/>
  <c r="B52" i="18"/>
  <c r="B51" i="18"/>
  <c r="H52" i="17"/>
  <c r="H51" i="17"/>
  <c r="B52" i="17"/>
  <c r="B51" i="17"/>
  <c r="H52" i="16"/>
  <c r="H51" i="16"/>
  <c r="I51" i="16" s="1"/>
  <c r="B52" i="16"/>
  <c r="B51" i="16"/>
  <c r="I52" i="80"/>
  <c r="I52" i="81"/>
  <c r="H9" i="80"/>
  <c r="H8" i="80"/>
  <c r="H9" i="81"/>
  <c r="H8" i="81"/>
  <c r="E104" i="81" s="1"/>
  <c r="J60" i="79"/>
  <c r="Q72" i="79" l="1"/>
  <c r="I52" i="68"/>
  <c r="A185" i="82" l="1"/>
  <c r="A184" i="82"/>
  <c r="A183" i="82"/>
  <c r="A182" i="82"/>
  <c r="A180" i="82"/>
  <c r="A179" i="82"/>
  <c r="A178" i="82"/>
  <c r="A174" i="82"/>
  <c r="A173" i="82"/>
  <c r="A172" i="82"/>
  <c r="A168" i="82"/>
  <c r="A164" i="82"/>
  <c r="A162" i="82"/>
  <c r="A152" i="82"/>
  <c r="I143" i="82"/>
  <c r="H123" i="82"/>
  <c r="T123" i="82" s="1"/>
  <c r="E123" i="82"/>
  <c r="T122" i="82"/>
  <c r="R122" i="82"/>
  <c r="I122" i="82"/>
  <c r="H122" i="82"/>
  <c r="F122" i="82"/>
  <c r="E122" i="82"/>
  <c r="R121" i="82"/>
  <c r="H121" i="82"/>
  <c r="T121" i="82" s="1"/>
  <c r="G114" i="82"/>
  <c r="E114" i="82"/>
  <c r="G113" i="82"/>
  <c r="T113" i="82" s="1"/>
  <c r="E113" i="82"/>
  <c r="F106" i="82"/>
  <c r="R106" i="82" s="1"/>
  <c r="F105" i="82"/>
  <c r="R105" i="82" s="1"/>
  <c r="F104" i="82"/>
  <c r="R104" i="82" s="1"/>
  <c r="E104" i="82"/>
  <c r="F98" i="82"/>
  <c r="R98" i="82" s="1"/>
  <c r="F96" i="82"/>
  <c r="R96" i="82" s="1"/>
  <c r="F94" i="82"/>
  <c r="R94" i="82" s="1"/>
  <c r="F92" i="82"/>
  <c r="R92" i="82" s="1"/>
  <c r="F90" i="82"/>
  <c r="R90" i="82" s="1"/>
  <c r="F88" i="82"/>
  <c r="R88" i="82" s="1"/>
  <c r="F85" i="82"/>
  <c r="R85" i="82" s="1"/>
  <c r="H81" i="82"/>
  <c r="T81" i="82" s="1"/>
  <c r="H78" i="82"/>
  <c r="T78" i="82" s="1"/>
  <c r="H75" i="82"/>
  <c r="T75" i="82" s="1"/>
  <c r="H72" i="82"/>
  <c r="T72" i="82" s="1"/>
  <c r="H69" i="82"/>
  <c r="T69" i="82" s="1"/>
  <c r="P66" i="82"/>
  <c r="D66" i="82"/>
  <c r="E63" i="82" s="1"/>
  <c r="C66" i="82"/>
  <c r="H65" i="82"/>
  <c r="T65" i="82" s="1"/>
  <c r="U65" i="82" s="1"/>
  <c r="H64" i="82"/>
  <c r="T64" i="82" s="1"/>
  <c r="U64" i="82" s="1"/>
  <c r="E64" i="82"/>
  <c r="H63" i="82"/>
  <c r="T63" i="82" s="1"/>
  <c r="U63" i="82" s="1"/>
  <c r="H62" i="82"/>
  <c r="T62" i="82" s="1"/>
  <c r="U62" i="82" s="1"/>
  <c r="H61" i="82"/>
  <c r="T61" i="82" s="1"/>
  <c r="U61" i="82" s="1"/>
  <c r="H60" i="82"/>
  <c r="T60" i="82" s="1"/>
  <c r="U60" i="82" s="1"/>
  <c r="H59" i="82"/>
  <c r="T59" i="82" s="1"/>
  <c r="U59" i="82" s="1"/>
  <c r="H58" i="82"/>
  <c r="T58" i="82" s="1"/>
  <c r="U58" i="82" s="1"/>
  <c r="H57" i="82"/>
  <c r="T57" i="82" s="1"/>
  <c r="U57" i="82" s="1"/>
  <c r="D56" i="82"/>
  <c r="C56" i="82"/>
  <c r="D55" i="82"/>
  <c r="C55" i="82"/>
  <c r="Q54" i="82"/>
  <c r="P54" i="82"/>
  <c r="D54" i="82"/>
  <c r="C54" i="82"/>
  <c r="I53" i="82"/>
  <c r="D44" i="82"/>
  <c r="E43" i="82" s="1"/>
  <c r="C44" i="82"/>
  <c r="E39" i="82"/>
  <c r="U37" i="82"/>
  <c r="U35" i="82"/>
  <c r="D30" i="82"/>
  <c r="E29" i="82" s="1"/>
  <c r="C30" i="82"/>
  <c r="F29" i="82"/>
  <c r="F28" i="82"/>
  <c r="F27" i="82"/>
  <c r="F26" i="82"/>
  <c r="F25" i="82"/>
  <c r="F24" i="82"/>
  <c r="F23" i="82"/>
  <c r="F22" i="82"/>
  <c r="F21" i="82"/>
  <c r="F20" i="82"/>
  <c r="F19" i="82"/>
  <c r="F18" i="82"/>
  <c r="F17" i="82"/>
  <c r="F16" i="82"/>
  <c r="E16" i="82"/>
  <c r="H16" i="82" s="1"/>
  <c r="F15" i="82"/>
  <c r="F14" i="82"/>
  <c r="U12" i="82"/>
  <c r="D12" i="82"/>
  <c r="C12" i="82"/>
  <c r="D11" i="82"/>
  <c r="C11" i="82"/>
  <c r="I10" i="82"/>
  <c r="U10" i="82" s="1"/>
  <c r="D10" i="82"/>
  <c r="C10" i="82"/>
  <c r="H9" i="82"/>
  <c r="T9" i="82" s="1"/>
  <c r="H8" i="82"/>
  <c r="T8" i="82" s="1"/>
  <c r="C8" i="82"/>
  <c r="P8" i="82" s="1"/>
  <c r="N7" i="82"/>
  <c r="P4" i="82"/>
  <c r="F4" i="82"/>
  <c r="A3" i="82"/>
  <c r="N3" i="82" s="1"/>
  <c r="N1" i="82"/>
  <c r="E60" i="82" l="1"/>
  <c r="E61" i="82"/>
  <c r="I61" i="82" s="1"/>
  <c r="E105" i="82"/>
  <c r="E65" i="82"/>
  <c r="I65" i="82" s="1"/>
  <c r="E24" i="82"/>
  <c r="H24" i="82" s="1"/>
  <c r="I24" i="82" s="1"/>
  <c r="E57" i="82"/>
  <c r="I57" i="82" s="1"/>
  <c r="E18" i="82"/>
  <c r="H18" i="82" s="1"/>
  <c r="I18" i="82" s="1"/>
  <c r="E21" i="82"/>
  <c r="H21" i="82" s="1"/>
  <c r="I21" i="82" s="1"/>
  <c r="E106" i="82"/>
  <c r="I63" i="82"/>
  <c r="I114" i="82"/>
  <c r="E27" i="82"/>
  <c r="H27" i="82" s="1"/>
  <c r="I27" i="82" s="1"/>
  <c r="I60" i="82"/>
  <c r="U66" i="82"/>
  <c r="I64" i="82"/>
  <c r="P104" i="82"/>
  <c r="P105" i="82"/>
  <c r="I39" i="82"/>
  <c r="I43" i="82"/>
  <c r="H29" i="82"/>
  <c r="I29" i="82" s="1"/>
  <c r="I113" i="82"/>
  <c r="I16" i="82"/>
  <c r="E40" i="82"/>
  <c r="I40" i="82" s="1"/>
  <c r="E19" i="82"/>
  <c r="E121" i="82"/>
  <c r="I121" i="82" s="1"/>
  <c r="E22" i="82"/>
  <c r="H22" i="82" s="1"/>
  <c r="I22" i="82" s="1"/>
  <c r="P106" i="82"/>
  <c r="E14" i="82"/>
  <c r="E25" i="82"/>
  <c r="H25" i="82" s="1"/>
  <c r="I25" i="82" s="1"/>
  <c r="E58" i="82"/>
  <c r="I58" i="82" s="1"/>
  <c r="E62" i="82"/>
  <c r="I62" i="82" s="1"/>
  <c r="E41" i="82"/>
  <c r="I41" i="82" s="1"/>
  <c r="I123" i="82"/>
  <c r="T114" i="82"/>
  <c r="U114" i="82" s="1"/>
  <c r="E42" i="82"/>
  <c r="I42" i="82" s="1"/>
  <c r="E17" i="82"/>
  <c r="E20" i="82"/>
  <c r="H20" i="82" s="1"/>
  <c r="I20" i="82" s="1"/>
  <c r="E38" i="82"/>
  <c r="E59" i="82"/>
  <c r="I59" i="82" s="1"/>
  <c r="E23" i="82"/>
  <c r="H23" i="82" s="1"/>
  <c r="I23" i="82" s="1"/>
  <c r="E28" i="82"/>
  <c r="H28" i="82" s="1"/>
  <c r="I28" i="82" s="1"/>
  <c r="E15" i="82"/>
  <c r="E26" i="82"/>
  <c r="H26" i="82" s="1"/>
  <c r="I26" i="82" s="1"/>
  <c r="I124" i="82" l="1"/>
  <c r="I66" i="82"/>
  <c r="E66" i="82"/>
  <c r="J19" i="82"/>
  <c r="H19" i="82"/>
  <c r="I38" i="82"/>
  <c r="I44" i="82" s="1"/>
  <c r="E44" i="82"/>
  <c r="J15" i="82"/>
  <c r="H15" i="82"/>
  <c r="I15" i="82" s="1"/>
  <c r="E30" i="82"/>
  <c r="H14" i="82"/>
  <c r="J17" i="82"/>
  <c r="H17" i="82"/>
  <c r="C104" i="82" l="1"/>
  <c r="H30" i="82"/>
  <c r="I14" i="82"/>
  <c r="I19" i="82"/>
  <c r="C106" i="82"/>
  <c r="H106" i="82" s="1"/>
  <c r="I17" i="82"/>
  <c r="C105" i="82"/>
  <c r="H105" i="82" s="1"/>
  <c r="C81" i="82"/>
  <c r="H82" i="82" s="1"/>
  <c r="H90" i="82" s="1"/>
  <c r="I90" i="82" s="1"/>
  <c r="C69" i="82"/>
  <c r="H70" i="82" s="1"/>
  <c r="H133" i="82"/>
  <c r="C78" i="82"/>
  <c r="H79" i="82" s="1"/>
  <c r="H85" i="82" s="1"/>
  <c r="I85" i="82" s="1"/>
  <c r="C75" i="82"/>
  <c r="H76" i="82" s="1"/>
  <c r="H92" i="82" s="1"/>
  <c r="I92" i="82" s="1"/>
  <c r="F470" i="64"/>
  <c r="P122" i="82" l="1"/>
  <c r="U122" i="82" s="1"/>
  <c r="P43" i="82"/>
  <c r="U43" i="82" s="1"/>
  <c r="P17" i="82"/>
  <c r="T17" i="82" s="1"/>
  <c r="U17" i="82" s="1"/>
  <c r="P24" i="82"/>
  <c r="T24" i="82" s="1"/>
  <c r="U24" i="82" s="1"/>
  <c r="P26" i="82"/>
  <c r="T26" i="82" s="1"/>
  <c r="U26" i="82" s="1"/>
  <c r="P23" i="82"/>
  <c r="T23" i="82" s="1"/>
  <c r="U23" i="82" s="1"/>
  <c r="P38" i="82"/>
  <c r="P123" i="82"/>
  <c r="U123" i="82" s="1"/>
  <c r="P18" i="82"/>
  <c r="T18" i="82" s="1"/>
  <c r="P29" i="82"/>
  <c r="T29" i="82" s="1"/>
  <c r="U29" i="82" s="1"/>
  <c r="P20" i="82"/>
  <c r="T20" i="82" s="1"/>
  <c r="U20" i="82" s="1"/>
  <c r="P28" i="82"/>
  <c r="T28" i="82" s="1"/>
  <c r="U28" i="82" s="1"/>
  <c r="P22" i="82"/>
  <c r="T22" i="82" s="1"/>
  <c r="U22" i="82" s="1"/>
  <c r="P19" i="82"/>
  <c r="T19" i="82" s="1"/>
  <c r="U19" i="82" s="1"/>
  <c r="P27" i="82"/>
  <c r="T27" i="82" s="1"/>
  <c r="U27" i="82" s="1"/>
  <c r="P15" i="82"/>
  <c r="T15" i="82" s="1"/>
  <c r="U15" i="82" s="1"/>
  <c r="P39" i="82"/>
  <c r="U39" i="82" s="1"/>
  <c r="P25" i="82"/>
  <c r="T25" i="82" s="1"/>
  <c r="U25" i="82" s="1"/>
  <c r="P14" i="82"/>
  <c r="P42" i="82"/>
  <c r="U42" i="82" s="1"/>
  <c r="P113" i="82"/>
  <c r="U113" i="82" s="1"/>
  <c r="U126" i="82"/>
  <c r="P121" i="82"/>
  <c r="U121" i="82" s="1"/>
  <c r="P41" i="82"/>
  <c r="U41" i="82" s="1"/>
  <c r="P16" i="82"/>
  <c r="T16" i="82" s="1"/>
  <c r="P21" i="82"/>
  <c r="T21" i="82" s="1"/>
  <c r="U21" i="82" s="1"/>
  <c r="P40" i="82"/>
  <c r="U40" i="82" s="1"/>
  <c r="E46" i="82"/>
  <c r="C72" i="82"/>
  <c r="H73" i="82" s="1"/>
  <c r="H88" i="82"/>
  <c r="I88" i="82" s="1"/>
  <c r="H98" i="82"/>
  <c r="I98" i="82" s="1"/>
  <c r="I30" i="82"/>
  <c r="I46" i="82" s="1"/>
  <c r="H104" i="82"/>
  <c r="I107" i="82" s="1"/>
  <c r="C107" i="82"/>
  <c r="E124" i="79" l="1"/>
  <c r="T14" i="82"/>
  <c r="P30" i="82"/>
  <c r="O106" i="82"/>
  <c r="T106" i="82" s="1"/>
  <c r="U18" i="82"/>
  <c r="H96" i="82"/>
  <c r="I96" i="82" s="1"/>
  <c r="H94" i="82"/>
  <c r="I94" i="82" s="1"/>
  <c r="I128" i="82" s="1"/>
  <c r="U38" i="82"/>
  <c r="U44" i="82" s="1"/>
  <c r="R44" i="82"/>
  <c r="U16" i="82"/>
  <c r="O105" i="82"/>
  <c r="T105" i="82" s="1"/>
  <c r="U124" i="82"/>
  <c r="R54" i="79"/>
  <c r="Q5" i="79"/>
  <c r="R70" i="79"/>
  <c r="Q70" i="79"/>
  <c r="I139" i="81" s="1"/>
  <c r="R71" i="79"/>
  <c r="R72" i="79"/>
  <c r="R73" i="79"/>
  <c r="R74" i="79"/>
  <c r="R75" i="79"/>
  <c r="R76" i="79"/>
  <c r="R77" i="79"/>
  <c r="R78" i="79"/>
  <c r="R79" i="79"/>
  <c r="R80" i="79"/>
  <c r="R81" i="79"/>
  <c r="R82" i="79"/>
  <c r="R83" i="79"/>
  <c r="R84" i="79"/>
  <c r="R85" i="79"/>
  <c r="R86" i="79"/>
  <c r="R87" i="79"/>
  <c r="R88" i="79"/>
  <c r="R89" i="79"/>
  <c r="R90" i="79"/>
  <c r="R91" i="79"/>
  <c r="R92" i="79"/>
  <c r="R93" i="79"/>
  <c r="R94" i="79"/>
  <c r="R95" i="79"/>
  <c r="R96" i="79"/>
  <c r="R99" i="79"/>
  <c r="R100" i="79"/>
  <c r="R101" i="79"/>
  <c r="R102" i="79"/>
  <c r="R103" i="79"/>
  <c r="R104" i="79"/>
  <c r="R105" i="79"/>
  <c r="R106" i="79"/>
  <c r="R107" i="79"/>
  <c r="R108" i="79"/>
  <c r="R109" i="79"/>
  <c r="R110" i="79"/>
  <c r="R111" i="79"/>
  <c r="R112" i="79"/>
  <c r="R113" i="79"/>
  <c r="R114" i="79"/>
  <c r="R115" i="79"/>
  <c r="I139" i="68" s="1"/>
  <c r="Q71" i="79"/>
  <c r="I130" i="82" l="1"/>
  <c r="H135" i="82" s="1"/>
  <c r="P69" i="82"/>
  <c r="T70" i="82" s="1"/>
  <c r="P81" i="82"/>
  <c r="T82" i="82" s="1"/>
  <c r="T90" i="82" s="1"/>
  <c r="U90" i="82" s="1"/>
  <c r="P78" i="82"/>
  <c r="T79" i="82" s="1"/>
  <c r="T85" i="82" s="1"/>
  <c r="U85" i="82" s="1"/>
  <c r="P75" i="82"/>
  <c r="T76" i="82" s="1"/>
  <c r="T92" i="82" s="1"/>
  <c r="U92" i="82" s="1"/>
  <c r="U14" i="82"/>
  <c r="U30" i="82" s="1"/>
  <c r="U46" i="82" s="1"/>
  <c r="O104" i="82"/>
  <c r="T30" i="82"/>
  <c r="P72" i="82" s="1"/>
  <c r="T73" i="82" s="1"/>
  <c r="I96" i="60"/>
  <c r="T94" i="82" l="1"/>
  <c r="U94" i="82" s="1"/>
  <c r="T96" i="82"/>
  <c r="U96" i="82" s="1"/>
  <c r="T104" i="82"/>
  <c r="U107" i="82" s="1"/>
  <c r="O107" i="82"/>
  <c r="R52" i="82"/>
  <c r="U52" i="82" s="1"/>
  <c r="R51" i="82"/>
  <c r="U51" i="82" s="1"/>
  <c r="T88" i="82"/>
  <c r="U88" i="82" s="1"/>
  <c r="T98" i="82"/>
  <c r="U98" i="82" s="1"/>
  <c r="R46" i="82"/>
  <c r="I135" i="82"/>
  <c r="I137" i="82" s="1"/>
  <c r="F98" i="30"/>
  <c r="F98" i="78"/>
  <c r="F98" i="77"/>
  <c r="F98" i="68"/>
  <c r="F98" i="71"/>
  <c r="F98" i="70"/>
  <c r="F98" i="69"/>
  <c r="F98" i="67"/>
  <c r="F98" i="66"/>
  <c r="F98" i="58"/>
  <c r="F98" i="57"/>
  <c r="F98" i="56"/>
  <c r="F98" i="55"/>
  <c r="F98" i="76"/>
  <c r="F98" i="75"/>
  <c r="F98" i="52"/>
  <c r="F98" i="51"/>
  <c r="F98" i="50"/>
  <c r="F98" i="48"/>
  <c r="F98" i="47"/>
  <c r="F98" i="45"/>
  <c r="F98" i="44"/>
  <c r="F98" i="43"/>
  <c r="F98" i="42"/>
  <c r="F98" i="40"/>
  <c r="F98" i="39"/>
  <c r="F98" i="38"/>
  <c r="F98" i="37"/>
  <c r="F98" i="36"/>
  <c r="F98" i="23"/>
  <c r="F98" i="35"/>
  <c r="F98" i="34"/>
  <c r="F98" i="33"/>
  <c r="F98" i="32"/>
  <c r="F98" i="31"/>
  <c r="F98" i="28"/>
  <c r="F98" i="27"/>
  <c r="F98" i="26"/>
  <c r="F98" i="22"/>
  <c r="F98" i="24"/>
  <c r="F98" i="25"/>
  <c r="F98" i="21"/>
  <c r="F98" i="20"/>
  <c r="F98" i="18"/>
  <c r="F98" i="17"/>
  <c r="F98" i="16"/>
  <c r="U128" i="82" l="1"/>
  <c r="U53" i="82"/>
  <c r="I147" i="82"/>
  <c r="Q47" i="79"/>
  <c r="N122" i="79"/>
  <c r="U130" i="82" l="1"/>
  <c r="I133" i="82" s="1"/>
  <c r="K55" i="79"/>
  <c r="L122" i="79"/>
  <c r="M122" i="79"/>
  <c r="L55" i="79"/>
  <c r="N55" i="79" l="1"/>
  <c r="O122" i="79"/>
  <c r="P122" i="79"/>
  <c r="F4" i="81"/>
  <c r="M55" i="79" l="1"/>
  <c r="Q6" i="79"/>
  <c r="Q7" i="79"/>
  <c r="Q8" i="79"/>
  <c r="Q9" i="79"/>
  <c r="Q11" i="79"/>
  <c r="Q12" i="79"/>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8" i="79"/>
  <c r="Q49" i="79"/>
  <c r="Q50" i="79"/>
  <c r="Q51" i="79"/>
  <c r="Q52" i="79"/>
  <c r="Q53" i="79"/>
  <c r="A3" i="81"/>
  <c r="A3" i="80"/>
  <c r="Q73" i="79"/>
  <c r="D279" i="64" l="1"/>
  <c r="O55" i="79" l="1"/>
  <c r="P55" i="79"/>
  <c r="R116" i="79"/>
  <c r="R117" i="79"/>
  <c r="R118" i="79"/>
  <c r="R122" i="79" l="1"/>
  <c r="D55" i="79"/>
  <c r="J58" i="79" s="1"/>
  <c r="J59" i="79" s="1"/>
  <c r="J61" i="79" l="1"/>
  <c r="C66" i="48"/>
  <c r="C23" i="24"/>
  <c r="C25" i="24"/>
  <c r="C24" i="24"/>
  <c r="J55" i="79" l="1"/>
  <c r="H55" i="79" l="1"/>
  <c r="I55" i="79" l="1"/>
  <c r="E59" i="18" l="1"/>
  <c r="Q74" i="79"/>
  <c r="Q75" i="79"/>
  <c r="Q76" i="79"/>
  <c r="Q77" i="79"/>
  <c r="Q78" i="79"/>
  <c r="Q79" i="79"/>
  <c r="Q80" i="79"/>
  <c r="Q81" i="79"/>
  <c r="Q82" i="79"/>
  <c r="I141" i="82" s="1"/>
  <c r="Q83" i="79"/>
  <c r="Q84" i="79"/>
  <c r="Q85" i="79"/>
  <c r="Q86" i="79"/>
  <c r="Q87" i="79"/>
  <c r="Q88" i="79"/>
  <c r="Q89" i="79"/>
  <c r="Q90" i="79"/>
  <c r="Q91" i="79"/>
  <c r="Q92" i="79"/>
  <c r="Q93" i="79"/>
  <c r="Q94" i="79"/>
  <c r="Q95" i="79"/>
  <c r="Q96" i="79"/>
  <c r="Q97" i="79"/>
  <c r="Q98" i="79"/>
  <c r="I139" i="45" s="1"/>
  <c r="Q99" i="79"/>
  <c r="Q100" i="79"/>
  <c r="Q101" i="79"/>
  <c r="Q102" i="79"/>
  <c r="Q103" i="79"/>
  <c r="Q104" i="79"/>
  <c r="Q105" i="79"/>
  <c r="Q106" i="79"/>
  <c r="Q107" i="79"/>
  <c r="Q108" i="79"/>
  <c r="Q109" i="79"/>
  <c r="Q110" i="79"/>
  <c r="Q111" i="79"/>
  <c r="Q112" i="79"/>
  <c r="Q113" i="79"/>
  <c r="Q114" i="79"/>
  <c r="I122" i="79"/>
  <c r="Q10" i="79" l="1"/>
  <c r="Q55" i="79" s="1"/>
  <c r="F4" i="80"/>
  <c r="I143" i="80"/>
  <c r="I143" i="81"/>
  <c r="H122" i="79"/>
  <c r="I139" i="80"/>
  <c r="D115" i="60" l="1"/>
  <c r="C115" i="60"/>
  <c r="D114" i="60"/>
  <c r="C114" i="60"/>
  <c r="H71" i="60"/>
  <c r="D67" i="60"/>
  <c r="D66" i="60"/>
  <c r="D65" i="60"/>
  <c r="D64" i="60"/>
  <c r="D63" i="60"/>
  <c r="D62" i="60"/>
  <c r="D61" i="60"/>
  <c r="D60" i="60"/>
  <c r="D59" i="60"/>
  <c r="C67" i="60"/>
  <c r="C66" i="60"/>
  <c r="C65" i="60"/>
  <c r="C64" i="60"/>
  <c r="C63" i="60"/>
  <c r="C62" i="60"/>
  <c r="C61" i="60"/>
  <c r="C60" i="60"/>
  <c r="C59" i="60"/>
  <c r="D29" i="60"/>
  <c r="D28" i="60"/>
  <c r="D27" i="60"/>
  <c r="D26" i="60"/>
  <c r="D25" i="60"/>
  <c r="D24" i="60"/>
  <c r="D23" i="60"/>
  <c r="D22" i="60"/>
  <c r="D21" i="60"/>
  <c r="D20" i="60"/>
  <c r="D19" i="60"/>
  <c r="D18" i="60"/>
  <c r="D17" i="60"/>
  <c r="D16" i="60"/>
  <c r="D15" i="60"/>
  <c r="D14" i="60"/>
  <c r="C29" i="60"/>
  <c r="C28" i="60"/>
  <c r="C27" i="60"/>
  <c r="C26" i="60"/>
  <c r="C25" i="60"/>
  <c r="C24" i="60"/>
  <c r="C23" i="60"/>
  <c r="C22" i="60"/>
  <c r="C21" i="60"/>
  <c r="C20" i="60"/>
  <c r="C19" i="60"/>
  <c r="C18" i="60"/>
  <c r="C17" i="60"/>
  <c r="C16" i="60"/>
  <c r="C15" i="60"/>
  <c r="C14" i="60"/>
  <c r="V7" i="72" l="1"/>
  <c r="U7" i="72"/>
  <c r="V6" i="72"/>
  <c r="U6" i="72"/>
  <c r="D8" i="64"/>
  <c r="E123" i="81" l="1"/>
  <c r="H122" i="81"/>
  <c r="F122" i="81"/>
  <c r="E122" i="81"/>
  <c r="R121" i="81"/>
  <c r="R122" i="81" s="1"/>
  <c r="H121" i="81"/>
  <c r="H123" i="81" s="1"/>
  <c r="T123" i="81" s="1"/>
  <c r="T114" i="81"/>
  <c r="U114" i="81" s="1"/>
  <c r="E114" i="81"/>
  <c r="I114" i="81" s="1"/>
  <c r="T113" i="81"/>
  <c r="I113" i="81"/>
  <c r="R106" i="81"/>
  <c r="E106" i="81"/>
  <c r="R105" i="81"/>
  <c r="E105" i="81"/>
  <c r="R104" i="81"/>
  <c r="R98" i="81"/>
  <c r="R96" i="81"/>
  <c r="R94" i="81"/>
  <c r="R92" i="81"/>
  <c r="R90" i="81"/>
  <c r="R88" i="81"/>
  <c r="R85" i="81"/>
  <c r="T81" i="81"/>
  <c r="T78" i="81"/>
  <c r="T75" i="81"/>
  <c r="T72" i="81"/>
  <c r="T69" i="81"/>
  <c r="P66" i="81"/>
  <c r="D66" i="81"/>
  <c r="C66" i="81"/>
  <c r="T65" i="81"/>
  <c r="U65" i="81" s="1"/>
  <c r="T64" i="81"/>
  <c r="U64" i="81" s="1"/>
  <c r="T63" i="81"/>
  <c r="U63" i="81" s="1"/>
  <c r="T62" i="81"/>
  <c r="U62" i="81" s="1"/>
  <c r="T61" i="81"/>
  <c r="U61" i="81" s="1"/>
  <c r="T60" i="81"/>
  <c r="U60" i="81" s="1"/>
  <c r="T59" i="81"/>
  <c r="U59" i="81" s="1"/>
  <c r="E59" i="81"/>
  <c r="T58" i="81"/>
  <c r="U58" i="81" s="1"/>
  <c r="E58" i="81"/>
  <c r="I58" i="81" s="1"/>
  <c r="T57" i="81"/>
  <c r="U57" i="81" s="1"/>
  <c r="E57" i="81"/>
  <c r="I57" i="81" s="1"/>
  <c r="D44" i="81"/>
  <c r="E43" i="81" s="1"/>
  <c r="I43" i="81" s="1"/>
  <c r="C44" i="81"/>
  <c r="U37" i="81"/>
  <c r="I35" i="81"/>
  <c r="U35" i="81" s="1"/>
  <c r="D30" i="81"/>
  <c r="E121" i="81" s="1"/>
  <c r="C30" i="81"/>
  <c r="U12" i="81"/>
  <c r="U10" i="81"/>
  <c r="T9" i="81"/>
  <c r="T8" i="81"/>
  <c r="P106" i="81" s="1"/>
  <c r="P8" i="81"/>
  <c r="N7" i="81"/>
  <c r="P4" i="81"/>
  <c r="N3" i="81"/>
  <c r="N1" i="81"/>
  <c r="E123" i="80"/>
  <c r="H122" i="80"/>
  <c r="T122" i="80" s="1"/>
  <c r="F122" i="80"/>
  <c r="E122" i="80"/>
  <c r="R121" i="80"/>
  <c r="R122" i="80" s="1"/>
  <c r="H121" i="80"/>
  <c r="T121" i="80" s="1"/>
  <c r="T114" i="80"/>
  <c r="U114" i="80" s="1"/>
  <c r="E114" i="80"/>
  <c r="I114" i="80" s="1"/>
  <c r="T113" i="80"/>
  <c r="E113" i="80"/>
  <c r="I113" i="80" s="1"/>
  <c r="R106" i="80"/>
  <c r="E106" i="80"/>
  <c r="R105" i="80"/>
  <c r="E105" i="80"/>
  <c r="R104" i="80"/>
  <c r="E104" i="80"/>
  <c r="R98" i="80"/>
  <c r="R96" i="80"/>
  <c r="R94" i="80"/>
  <c r="R92" i="80"/>
  <c r="R90" i="80"/>
  <c r="R88" i="80"/>
  <c r="R85" i="80"/>
  <c r="T81" i="80"/>
  <c r="T78" i="80"/>
  <c r="T75" i="80"/>
  <c r="T72" i="80"/>
  <c r="T69" i="80"/>
  <c r="P66" i="80"/>
  <c r="D66" i="80"/>
  <c r="C66" i="80"/>
  <c r="T65" i="80"/>
  <c r="U65" i="80" s="1"/>
  <c r="T64" i="80"/>
  <c r="U64" i="80" s="1"/>
  <c r="T63" i="80"/>
  <c r="U63" i="80" s="1"/>
  <c r="T62" i="80"/>
  <c r="U62" i="80" s="1"/>
  <c r="T61" i="80"/>
  <c r="U61" i="80" s="1"/>
  <c r="T60" i="80"/>
  <c r="U60" i="80" s="1"/>
  <c r="T59" i="80"/>
  <c r="U59" i="80" s="1"/>
  <c r="E59" i="80"/>
  <c r="I59" i="80" s="1"/>
  <c r="T58" i="80"/>
  <c r="U58" i="80" s="1"/>
  <c r="E58" i="80"/>
  <c r="I58" i="80" s="1"/>
  <c r="T57" i="80"/>
  <c r="U57" i="80" s="1"/>
  <c r="E57" i="80"/>
  <c r="I57" i="80" s="1"/>
  <c r="D44" i="80"/>
  <c r="E42" i="80" s="1"/>
  <c r="I42" i="80" s="1"/>
  <c r="C44" i="80"/>
  <c r="U37" i="80"/>
  <c r="I35" i="80"/>
  <c r="U35" i="80" s="1"/>
  <c r="D30" i="80"/>
  <c r="E121" i="80" s="1"/>
  <c r="C30" i="80"/>
  <c r="U12" i="80"/>
  <c r="U10" i="80"/>
  <c r="T9" i="80"/>
  <c r="T8" i="80"/>
  <c r="P106" i="80" s="1"/>
  <c r="P8" i="80"/>
  <c r="N7" i="80"/>
  <c r="P4" i="80"/>
  <c r="N3" i="80"/>
  <c r="N1" i="80"/>
  <c r="E38" i="81" l="1"/>
  <c r="I121" i="81"/>
  <c r="I122" i="81"/>
  <c r="H123" i="80"/>
  <c r="T123" i="80" s="1"/>
  <c r="I121" i="80"/>
  <c r="T121" i="81"/>
  <c r="E63" i="80"/>
  <c r="I63" i="80" s="1"/>
  <c r="E60" i="80"/>
  <c r="I60" i="80" s="1"/>
  <c r="E62" i="80"/>
  <c r="I62" i="80" s="1"/>
  <c r="E61" i="80"/>
  <c r="I61" i="80" s="1"/>
  <c r="E64" i="81"/>
  <c r="I64" i="81" s="1"/>
  <c r="E60" i="81"/>
  <c r="I60" i="81" s="1"/>
  <c r="E62" i="81"/>
  <c r="I62" i="81" s="1"/>
  <c r="E61" i="81"/>
  <c r="I61" i="81" s="1"/>
  <c r="I122" i="80"/>
  <c r="E41" i="81"/>
  <c r="I41" i="81" s="1"/>
  <c r="I53" i="81"/>
  <c r="E20" i="81"/>
  <c r="E21" i="81"/>
  <c r="E22" i="81"/>
  <c r="E23" i="81"/>
  <c r="E24" i="81"/>
  <c r="E18" i="81"/>
  <c r="E25" i="81"/>
  <c r="E26" i="81"/>
  <c r="E27" i="81"/>
  <c r="E28" i="81"/>
  <c r="E29" i="81"/>
  <c r="U66" i="81"/>
  <c r="E16" i="81"/>
  <c r="P105" i="81"/>
  <c r="T122" i="81"/>
  <c r="I38" i="81"/>
  <c r="E65" i="81"/>
  <c r="I65" i="81" s="1"/>
  <c r="I59" i="81"/>
  <c r="I123" i="81"/>
  <c r="E15" i="81"/>
  <c r="E39" i="81"/>
  <c r="I39" i="81" s="1"/>
  <c r="E42" i="81"/>
  <c r="I42" i="81" s="1"/>
  <c r="P104" i="81"/>
  <c r="E17" i="81"/>
  <c r="E19" i="81"/>
  <c r="E63" i="81"/>
  <c r="I63" i="81" s="1"/>
  <c r="E40" i="81"/>
  <c r="I40" i="81" s="1"/>
  <c r="E14" i="81"/>
  <c r="I53" i="80"/>
  <c r="E38" i="80"/>
  <c r="I38" i="80" s="1"/>
  <c r="E40" i="80"/>
  <c r="I40" i="80" s="1"/>
  <c r="E41" i="80"/>
  <c r="I41" i="80" s="1"/>
  <c r="E43" i="80"/>
  <c r="I43" i="80" s="1"/>
  <c r="E64" i="80"/>
  <c r="E65" i="80"/>
  <c r="E18" i="80"/>
  <c r="H18" i="80" s="1"/>
  <c r="I18" i="80" s="1"/>
  <c r="U66" i="80"/>
  <c r="E19" i="80"/>
  <c r="E16" i="80"/>
  <c r="H16" i="80" s="1"/>
  <c r="P105" i="80"/>
  <c r="E20" i="80"/>
  <c r="H20" i="80" s="1"/>
  <c r="I20" i="80" s="1"/>
  <c r="E22" i="80"/>
  <c r="H22" i="80" s="1"/>
  <c r="I22" i="80" s="1"/>
  <c r="E24" i="80"/>
  <c r="H24" i="80" s="1"/>
  <c r="I24" i="80" s="1"/>
  <c r="E26" i="80"/>
  <c r="H26" i="80" s="1"/>
  <c r="I26" i="80" s="1"/>
  <c r="E28" i="80"/>
  <c r="H28" i="80" s="1"/>
  <c r="I28" i="80" s="1"/>
  <c r="E15" i="80"/>
  <c r="E39" i="80"/>
  <c r="I39" i="80" s="1"/>
  <c r="P104" i="80"/>
  <c r="I123" i="80"/>
  <c r="E17" i="80"/>
  <c r="E21" i="80"/>
  <c r="H21" i="80" s="1"/>
  <c r="I21" i="80" s="1"/>
  <c r="E23" i="80"/>
  <c r="H23" i="80" s="1"/>
  <c r="I23" i="80" s="1"/>
  <c r="E25" i="80"/>
  <c r="H25" i="80" s="1"/>
  <c r="I25" i="80" s="1"/>
  <c r="E27" i="80"/>
  <c r="H27" i="80" s="1"/>
  <c r="I27" i="80" s="1"/>
  <c r="E29" i="80"/>
  <c r="H29" i="80" s="1"/>
  <c r="I29" i="80" s="1"/>
  <c r="E14" i="80"/>
  <c r="I124" i="81" l="1"/>
  <c r="I124" i="80"/>
  <c r="I44" i="80"/>
  <c r="I65" i="80"/>
  <c r="I64" i="80"/>
  <c r="H29" i="81"/>
  <c r="H28" i="81"/>
  <c r="I28" i="81" s="1"/>
  <c r="H27" i="81"/>
  <c r="I27" i="81" s="1"/>
  <c r="H25" i="81"/>
  <c r="I25" i="81" s="1"/>
  <c r="H26" i="81"/>
  <c r="I26" i="81" s="1"/>
  <c r="H18" i="81"/>
  <c r="I18" i="81" s="1"/>
  <c r="H24" i="81"/>
  <c r="I24" i="81" s="1"/>
  <c r="H23" i="81"/>
  <c r="I23" i="81" s="1"/>
  <c r="H22" i="81"/>
  <c r="I22" i="81" s="1"/>
  <c r="H21" i="81"/>
  <c r="I21" i="81" s="1"/>
  <c r="H16" i="81"/>
  <c r="H20" i="81"/>
  <c r="I20" i="81" s="1"/>
  <c r="I66" i="81"/>
  <c r="J17" i="81"/>
  <c r="H17" i="81"/>
  <c r="I17" i="81" s="1"/>
  <c r="J19" i="81"/>
  <c r="H19" i="81"/>
  <c r="I19" i="81" s="1"/>
  <c r="E44" i="81"/>
  <c r="J15" i="81"/>
  <c r="H15" i="81"/>
  <c r="I15" i="81" s="1"/>
  <c r="E66" i="81"/>
  <c r="E30" i="81"/>
  <c r="H14" i="81"/>
  <c r="I44" i="81"/>
  <c r="E44" i="80"/>
  <c r="J19" i="80"/>
  <c r="E66" i="80"/>
  <c r="H19" i="80"/>
  <c r="I19" i="80" s="1"/>
  <c r="J15" i="80"/>
  <c r="H15" i="80"/>
  <c r="I15" i="80" s="1"/>
  <c r="E30" i="80"/>
  <c r="H133" i="80" s="1"/>
  <c r="H14" i="80"/>
  <c r="I16" i="80"/>
  <c r="H17" i="80"/>
  <c r="I17" i="80" s="1"/>
  <c r="J17" i="80"/>
  <c r="C105" i="81" l="1"/>
  <c r="I16" i="81"/>
  <c r="I29" i="81"/>
  <c r="O6" i="72"/>
  <c r="I66" i="80"/>
  <c r="G55" i="79"/>
  <c r="C78" i="80"/>
  <c r="H79" i="80" s="1"/>
  <c r="O7" i="72"/>
  <c r="H105" i="81"/>
  <c r="C104" i="81"/>
  <c r="H30" i="81"/>
  <c r="I14" i="81"/>
  <c r="I30" i="81" s="1"/>
  <c r="C75" i="81"/>
  <c r="C81" i="81"/>
  <c r="C78" i="81"/>
  <c r="H133" i="81"/>
  <c r="C69" i="81"/>
  <c r="C106" i="81"/>
  <c r="C105" i="80"/>
  <c r="H105" i="80" s="1"/>
  <c r="C106" i="80"/>
  <c r="H106" i="80" s="1"/>
  <c r="H30" i="80"/>
  <c r="C104" i="80"/>
  <c r="I14" i="80"/>
  <c r="I30" i="80" s="1"/>
  <c r="I46" i="80" s="1"/>
  <c r="C75" i="80"/>
  <c r="H76" i="80" s="1"/>
  <c r="H92" i="80" s="1"/>
  <c r="I92" i="80" s="1"/>
  <c r="C81" i="80"/>
  <c r="H82" i="80" s="1"/>
  <c r="H90" i="80" s="1"/>
  <c r="I90" i="80" s="1"/>
  <c r="C69" i="80"/>
  <c r="H70" i="80" s="1"/>
  <c r="H106" i="81" l="1"/>
  <c r="I85" i="80"/>
  <c r="H85" i="80"/>
  <c r="H79" i="81"/>
  <c r="H82" i="81"/>
  <c r="H90" i="81" s="1"/>
  <c r="I90" i="81" s="1"/>
  <c r="H76" i="81"/>
  <c r="H92" i="81" s="1"/>
  <c r="I92" i="81" s="1"/>
  <c r="H70" i="81"/>
  <c r="H98" i="81" s="1"/>
  <c r="I98" i="81" s="1"/>
  <c r="H85" i="81"/>
  <c r="I85" i="81" s="1"/>
  <c r="P43" i="81"/>
  <c r="U43" i="81" s="1"/>
  <c r="P40" i="81"/>
  <c r="U40" i="81" s="1"/>
  <c r="P29" i="81"/>
  <c r="T29" i="81" s="1"/>
  <c r="U29" i="81" s="1"/>
  <c r="P27" i="81"/>
  <c r="T27" i="81" s="1"/>
  <c r="U27" i="81" s="1"/>
  <c r="P25" i="81"/>
  <c r="T25" i="81" s="1"/>
  <c r="U25" i="81" s="1"/>
  <c r="P23" i="81"/>
  <c r="T23" i="81" s="1"/>
  <c r="U23" i="81" s="1"/>
  <c r="P21" i="81"/>
  <c r="T21" i="81" s="1"/>
  <c r="U21" i="81" s="1"/>
  <c r="P19" i="81"/>
  <c r="T19" i="81" s="1"/>
  <c r="U19" i="81" s="1"/>
  <c r="U126" i="81"/>
  <c r="P122" i="81"/>
  <c r="U122" i="81" s="1"/>
  <c r="P17" i="81"/>
  <c r="T17" i="81" s="1"/>
  <c r="U17" i="81" s="1"/>
  <c r="P15" i="81"/>
  <c r="T15" i="81" s="1"/>
  <c r="U15" i="81" s="1"/>
  <c r="P42" i="81"/>
  <c r="U42" i="81" s="1"/>
  <c r="P39" i="81"/>
  <c r="U39" i="81" s="1"/>
  <c r="P123" i="81"/>
  <c r="U123" i="81" s="1"/>
  <c r="P28" i="81"/>
  <c r="T28" i="81" s="1"/>
  <c r="U28" i="81" s="1"/>
  <c r="P26" i="81"/>
  <c r="T26" i="81" s="1"/>
  <c r="U26" i="81" s="1"/>
  <c r="P24" i="81"/>
  <c r="T24" i="81" s="1"/>
  <c r="U24" i="81" s="1"/>
  <c r="P22" i="81"/>
  <c r="T22" i="81" s="1"/>
  <c r="U22" i="81" s="1"/>
  <c r="P20" i="81"/>
  <c r="T20" i="81" s="1"/>
  <c r="U20" i="81" s="1"/>
  <c r="P113" i="81"/>
  <c r="U113" i="81" s="1"/>
  <c r="P18" i="81"/>
  <c r="T18" i="81" s="1"/>
  <c r="P41" i="81"/>
  <c r="U41" i="81" s="1"/>
  <c r="P38" i="81"/>
  <c r="P16" i="81"/>
  <c r="T16" i="81" s="1"/>
  <c r="P121" i="81"/>
  <c r="U121" i="81" s="1"/>
  <c r="P14" i="81"/>
  <c r="I46" i="81"/>
  <c r="E46" i="81"/>
  <c r="C72" i="81"/>
  <c r="C107" i="81"/>
  <c r="H104" i="81"/>
  <c r="I107" i="81" s="1"/>
  <c r="H88" i="80"/>
  <c r="I88" i="80" s="1"/>
  <c r="H98" i="80"/>
  <c r="I98" i="80" s="1"/>
  <c r="C107" i="80"/>
  <c r="H104" i="80"/>
  <c r="I107" i="80" s="1"/>
  <c r="E46" i="80"/>
  <c r="C72" i="80"/>
  <c r="H73" i="80" s="1"/>
  <c r="P43" i="80"/>
  <c r="U43" i="80" s="1"/>
  <c r="P40" i="80"/>
  <c r="U40" i="80" s="1"/>
  <c r="P29" i="80"/>
  <c r="T29" i="80" s="1"/>
  <c r="U29" i="80" s="1"/>
  <c r="P27" i="80"/>
  <c r="T27" i="80" s="1"/>
  <c r="U27" i="80" s="1"/>
  <c r="P25" i="80"/>
  <c r="T25" i="80" s="1"/>
  <c r="U25" i="80" s="1"/>
  <c r="P23" i="80"/>
  <c r="T23" i="80" s="1"/>
  <c r="U23" i="80" s="1"/>
  <c r="P21" i="80"/>
  <c r="T21" i="80" s="1"/>
  <c r="U21" i="80" s="1"/>
  <c r="P19" i="80"/>
  <c r="T19" i="80" s="1"/>
  <c r="U19" i="80" s="1"/>
  <c r="U126" i="80"/>
  <c r="P122" i="80"/>
  <c r="U122" i="80" s="1"/>
  <c r="P17" i="80"/>
  <c r="T17" i="80" s="1"/>
  <c r="U17" i="80" s="1"/>
  <c r="P15" i="80"/>
  <c r="T15" i="80" s="1"/>
  <c r="U15" i="80" s="1"/>
  <c r="P38" i="80"/>
  <c r="P42" i="80"/>
  <c r="U42" i="80" s="1"/>
  <c r="P41" i="80"/>
  <c r="U41" i="80" s="1"/>
  <c r="P123" i="80"/>
  <c r="U123" i="80" s="1"/>
  <c r="P28" i="80"/>
  <c r="T28" i="80" s="1"/>
  <c r="U28" i="80" s="1"/>
  <c r="P26" i="80"/>
  <c r="T26" i="80" s="1"/>
  <c r="U26" i="80" s="1"/>
  <c r="P24" i="80"/>
  <c r="T24" i="80" s="1"/>
  <c r="U24" i="80" s="1"/>
  <c r="P22" i="80"/>
  <c r="T22" i="80" s="1"/>
  <c r="U22" i="80" s="1"/>
  <c r="P20" i="80"/>
  <c r="T20" i="80" s="1"/>
  <c r="U20" i="80" s="1"/>
  <c r="P113" i="80"/>
  <c r="U113" i="80" s="1"/>
  <c r="P18" i="80"/>
  <c r="T18" i="80" s="1"/>
  <c r="P16" i="80"/>
  <c r="T16" i="80" s="1"/>
  <c r="P121" i="80"/>
  <c r="U121" i="80" s="1"/>
  <c r="P14" i="80"/>
  <c r="P39" i="80"/>
  <c r="U39" i="80" s="1"/>
  <c r="H88" i="81" l="1"/>
  <c r="I88" i="81" s="1"/>
  <c r="H73" i="81"/>
  <c r="H96" i="81" s="1"/>
  <c r="I96" i="81" s="1"/>
  <c r="O106" i="81"/>
  <c r="T106" i="81" s="1"/>
  <c r="U18" i="81"/>
  <c r="P30" i="81"/>
  <c r="T14" i="81"/>
  <c r="U124" i="81"/>
  <c r="O105" i="81"/>
  <c r="T105" i="81" s="1"/>
  <c r="U16" i="81"/>
  <c r="R44" i="81"/>
  <c r="U38" i="81"/>
  <c r="U44" i="81" s="1"/>
  <c r="P30" i="80"/>
  <c r="T14" i="80"/>
  <c r="U124" i="80"/>
  <c r="O105" i="80"/>
  <c r="T105" i="80" s="1"/>
  <c r="U16" i="80"/>
  <c r="R44" i="80"/>
  <c r="U38" i="80"/>
  <c r="U44" i="80" s="1"/>
  <c r="O106" i="80"/>
  <c r="T106" i="80" s="1"/>
  <c r="U18" i="80"/>
  <c r="H94" i="80"/>
  <c r="I94" i="80" s="1"/>
  <c r="H96" i="80"/>
  <c r="I96" i="80" s="1"/>
  <c r="H94" i="81" l="1"/>
  <c r="I94" i="81" s="1"/>
  <c r="I128" i="81" s="1"/>
  <c r="I130" i="81" s="1"/>
  <c r="I128" i="80"/>
  <c r="T30" i="81"/>
  <c r="P72" i="81" s="1"/>
  <c r="T73" i="81" s="1"/>
  <c r="O104" i="81"/>
  <c r="U14" i="81"/>
  <c r="U30" i="81" s="1"/>
  <c r="P81" i="81"/>
  <c r="T82" i="81" s="1"/>
  <c r="T90" i="81" s="1"/>
  <c r="U90" i="81" s="1"/>
  <c r="P78" i="81"/>
  <c r="T79" i="81" s="1"/>
  <c r="T85" i="81" s="1"/>
  <c r="U85" i="81" s="1"/>
  <c r="P69" i="81"/>
  <c r="T70" i="81" s="1"/>
  <c r="P75" i="81"/>
  <c r="T76" i="81" s="1"/>
  <c r="T92" i="81" s="1"/>
  <c r="U92" i="81" s="1"/>
  <c r="P81" i="80"/>
  <c r="T82" i="80" s="1"/>
  <c r="T90" i="80" s="1"/>
  <c r="U90" i="80" s="1"/>
  <c r="P78" i="80"/>
  <c r="T79" i="80" s="1"/>
  <c r="T85" i="80" s="1"/>
  <c r="U85" i="80" s="1"/>
  <c r="P69" i="80"/>
  <c r="T70" i="80" s="1"/>
  <c r="P75" i="80"/>
  <c r="T76" i="80" s="1"/>
  <c r="T92" i="80" s="1"/>
  <c r="U92" i="80" s="1"/>
  <c r="T30" i="80"/>
  <c r="P72" i="80" s="1"/>
  <c r="T73" i="80" s="1"/>
  <c r="U14" i="80"/>
  <c r="U30" i="80" s="1"/>
  <c r="O104" i="80"/>
  <c r="I6" i="72" l="1"/>
  <c r="Q6" i="72" s="1"/>
  <c r="I130" i="80"/>
  <c r="I7" i="72"/>
  <c r="T98" i="81"/>
  <c r="U98" i="81" s="1"/>
  <c r="T88" i="81"/>
  <c r="U88" i="81" s="1"/>
  <c r="T104" i="81"/>
  <c r="U107" i="81" s="1"/>
  <c r="O107" i="81"/>
  <c r="R52" i="81"/>
  <c r="U52" i="81" s="1"/>
  <c r="R51" i="81"/>
  <c r="U51" i="81" s="1"/>
  <c r="T94" i="81"/>
  <c r="U94" i="81" s="1"/>
  <c r="T96" i="81"/>
  <c r="U96" i="81" s="1"/>
  <c r="R46" i="81"/>
  <c r="U46" i="81"/>
  <c r="R52" i="80"/>
  <c r="U52" i="80" s="1"/>
  <c r="R51" i="80"/>
  <c r="U51" i="80" s="1"/>
  <c r="R46" i="80"/>
  <c r="T98" i="80"/>
  <c r="U98" i="80" s="1"/>
  <c r="T88" i="80"/>
  <c r="U88" i="80" s="1"/>
  <c r="T104" i="80"/>
  <c r="U107" i="80" s="1"/>
  <c r="O107" i="80"/>
  <c r="T96" i="80"/>
  <c r="U96" i="80" s="1"/>
  <c r="T94" i="80"/>
  <c r="U94" i="80" s="1"/>
  <c r="U46" i="80"/>
  <c r="J6" i="72" l="1"/>
  <c r="Q7" i="72"/>
  <c r="J7" i="72"/>
  <c r="U53" i="81"/>
  <c r="U128" i="81"/>
  <c r="U53" i="80"/>
  <c r="U128" i="80"/>
  <c r="U130" i="80" s="1"/>
  <c r="F21" i="71"/>
  <c r="U130" i="81" l="1"/>
  <c r="I133" i="81" s="1"/>
  <c r="H135" i="81" s="1"/>
  <c r="I135" i="81" s="1"/>
  <c r="I137" i="81" s="1"/>
  <c r="I141" i="81" s="1"/>
  <c r="I133" i="80"/>
  <c r="H135" i="80" s="1"/>
  <c r="E114" i="34"/>
  <c r="E113" i="78"/>
  <c r="E113" i="77"/>
  <c r="E114" i="71"/>
  <c r="E113" i="71"/>
  <c r="E113" i="70"/>
  <c r="E113" i="69"/>
  <c r="E113" i="57"/>
  <c r="E114" i="56"/>
  <c r="E113" i="56"/>
  <c r="E113" i="76"/>
  <c r="E113" i="75"/>
  <c r="E113" i="51"/>
  <c r="E114" i="48"/>
  <c r="E113" i="48"/>
  <c r="E113" i="31"/>
  <c r="E113" i="25"/>
  <c r="E113" i="20"/>
  <c r="E114" i="16"/>
  <c r="I139" i="7"/>
  <c r="G122" i="79"/>
  <c r="F122" i="79"/>
  <c r="Q117" i="79"/>
  <c r="I139" i="78" s="1"/>
  <c r="I139" i="70"/>
  <c r="I139" i="69"/>
  <c r="I139" i="67"/>
  <c r="I139" i="58"/>
  <c r="I139" i="57"/>
  <c r="I139" i="56"/>
  <c r="I139" i="55"/>
  <c r="I139" i="76"/>
  <c r="I139" i="75"/>
  <c r="I139" i="52"/>
  <c r="I139" i="51"/>
  <c r="I139" i="50"/>
  <c r="I139" i="48"/>
  <c r="I139" i="47"/>
  <c r="I139" i="44"/>
  <c r="I139" i="43"/>
  <c r="I139" i="42"/>
  <c r="I139" i="40"/>
  <c r="I139" i="39"/>
  <c r="I139" i="38"/>
  <c r="I139" i="37"/>
  <c r="I139" i="36"/>
  <c r="I139" i="23"/>
  <c r="I139" i="35"/>
  <c r="I139" i="34"/>
  <c r="I139" i="33"/>
  <c r="I139" i="32"/>
  <c r="I139" i="31"/>
  <c r="I139" i="28"/>
  <c r="I139" i="27"/>
  <c r="I139" i="26"/>
  <c r="I139" i="22"/>
  <c r="I139" i="24"/>
  <c r="I139" i="25"/>
  <c r="I139" i="21"/>
  <c r="I139" i="20"/>
  <c r="I139" i="18"/>
  <c r="J122" i="79"/>
  <c r="K6" i="72" l="1"/>
  <c r="I147" i="81"/>
  <c r="I135" i="80"/>
  <c r="I139" i="16"/>
  <c r="Q118" i="79"/>
  <c r="I139" i="30" s="1"/>
  <c r="I139" i="71"/>
  <c r="K122" i="79"/>
  <c r="Q116" i="79"/>
  <c r="G6" i="72" l="1"/>
  <c r="L6" i="72"/>
  <c r="I139" i="77"/>
  <c r="Q122" i="79"/>
  <c r="R6" i="72"/>
  <c r="F6" i="72"/>
  <c r="I145" i="81"/>
  <c r="I137" i="80"/>
  <c r="I141" i="80" s="1"/>
  <c r="I145" i="80" s="1"/>
  <c r="K7" i="72"/>
  <c r="I147" i="80"/>
  <c r="I139" i="17"/>
  <c r="I140" i="60" s="1"/>
  <c r="E5" i="64" l="1"/>
  <c r="S6" i="72"/>
  <c r="W6" i="72" s="1"/>
  <c r="G5" i="64"/>
  <c r="M6" i="72"/>
  <c r="M7" i="72"/>
  <c r="E8" i="64"/>
  <c r="G8" i="64" s="1"/>
  <c r="F7" i="72"/>
  <c r="R7" i="72"/>
  <c r="G7" i="72"/>
  <c r="L7" i="72"/>
  <c r="S7" i="72" l="1"/>
  <c r="W7" i="72" s="1"/>
  <c r="I127" i="60" l="1"/>
  <c r="R98" i="30"/>
  <c r="R98" i="78"/>
  <c r="R98" i="77"/>
  <c r="R98" i="68"/>
  <c r="R98" i="71"/>
  <c r="R98" i="70"/>
  <c r="R98" i="69"/>
  <c r="R98" i="67"/>
  <c r="R98" i="66"/>
  <c r="R98" i="58"/>
  <c r="R98" i="57"/>
  <c r="R98" i="56"/>
  <c r="R98" i="55"/>
  <c r="R98" i="76"/>
  <c r="R98" i="75"/>
  <c r="R98" i="52"/>
  <c r="R98" i="51"/>
  <c r="R98" i="50"/>
  <c r="R98" i="48"/>
  <c r="R98" i="47"/>
  <c r="R98" i="45"/>
  <c r="R98" i="44"/>
  <c r="R98" i="43"/>
  <c r="R98" i="42"/>
  <c r="R98" i="40"/>
  <c r="R98" i="39"/>
  <c r="R98" i="38"/>
  <c r="R98" i="37"/>
  <c r="R98" i="36"/>
  <c r="R98" i="23"/>
  <c r="R98" i="35"/>
  <c r="R98" i="34"/>
  <c r="R98" i="33"/>
  <c r="R98" i="32"/>
  <c r="R98" i="31"/>
  <c r="R98" i="28" l="1"/>
  <c r="R98" i="27"/>
  <c r="R98" i="26"/>
  <c r="R98" i="22"/>
  <c r="R98" i="24"/>
  <c r="R98" i="25"/>
  <c r="R98" i="21"/>
  <c r="R98" i="20"/>
  <c r="R98" i="18"/>
  <c r="R98" i="17"/>
  <c r="R98" i="16" l="1"/>
  <c r="R98" i="7"/>
  <c r="E114" i="78" l="1"/>
  <c r="E114" i="77"/>
  <c r="E114" i="70"/>
  <c r="E114" i="66"/>
  <c r="E114" i="57"/>
  <c r="E114" i="55"/>
  <c r="E113" i="55"/>
  <c r="E114" i="25"/>
  <c r="E114" i="21"/>
  <c r="D66" i="24" l="1"/>
  <c r="E65" i="24" l="1"/>
  <c r="E62" i="24"/>
  <c r="E63" i="24"/>
  <c r="E58" i="24"/>
  <c r="E59" i="24"/>
  <c r="E60" i="24"/>
  <c r="E57" i="24"/>
  <c r="E61" i="24"/>
  <c r="E64" i="24"/>
  <c r="C30" i="68" l="1"/>
  <c r="D8" i="72" l="1"/>
  <c r="U126" i="31" l="1"/>
  <c r="U126" i="36"/>
  <c r="H67" i="60"/>
  <c r="H66" i="60"/>
  <c r="H65" i="60"/>
  <c r="H64" i="60"/>
  <c r="H63" i="60"/>
  <c r="H62" i="60"/>
  <c r="H61" i="60"/>
  <c r="H60" i="60"/>
  <c r="H59" i="60"/>
  <c r="D68" i="60" l="1"/>
  <c r="C68" i="60"/>
  <c r="P66" i="16" l="1"/>
  <c r="P66" i="17"/>
  <c r="P66" i="18"/>
  <c r="P66" i="20"/>
  <c r="P66" i="21"/>
  <c r="P66" i="25"/>
  <c r="P66" i="24"/>
  <c r="P66" i="22"/>
  <c r="P66" i="26"/>
  <c r="P66" i="27"/>
  <c r="P66" i="28"/>
  <c r="P66" i="31"/>
  <c r="P66" i="32"/>
  <c r="P66" i="33"/>
  <c r="P66" i="34"/>
  <c r="P66" i="35"/>
  <c r="P66" i="23"/>
  <c r="P66" i="36"/>
  <c r="P66" i="37"/>
  <c r="P66" i="38"/>
  <c r="P66" i="39"/>
  <c r="P66" i="40"/>
  <c r="P66" i="42"/>
  <c r="P66" i="43"/>
  <c r="P66" i="44"/>
  <c r="P66" i="45"/>
  <c r="P66" i="47"/>
  <c r="P66" i="48"/>
  <c r="P66" i="50"/>
  <c r="P66" i="51"/>
  <c r="P66" i="52"/>
  <c r="P66" i="75"/>
  <c r="P66" i="76"/>
  <c r="P66" i="55"/>
  <c r="P66" i="56"/>
  <c r="P66" i="57"/>
  <c r="P66" i="58"/>
  <c r="P66" i="66"/>
  <c r="P66" i="67"/>
  <c r="P66" i="69"/>
  <c r="P66" i="70"/>
  <c r="P66" i="71"/>
  <c r="P66" i="68"/>
  <c r="P66" i="77"/>
  <c r="P66" i="78"/>
  <c r="P66" i="30"/>
  <c r="P66" i="7"/>
  <c r="T65" i="7"/>
  <c r="U65" i="7" s="1"/>
  <c r="T64" i="7"/>
  <c r="U64" i="7" s="1"/>
  <c r="T63" i="7"/>
  <c r="U63" i="7" s="1"/>
  <c r="T62" i="7"/>
  <c r="U62" i="7" s="1"/>
  <c r="T61" i="7"/>
  <c r="U61" i="7" s="1"/>
  <c r="T60" i="7"/>
  <c r="U60" i="7" s="1"/>
  <c r="T59" i="7"/>
  <c r="U59" i="7" s="1"/>
  <c r="T58" i="7"/>
  <c r="U58" i="7" s="1"/>
  <c r="T57" i="7"/>
  <c r="U57" i="7" s="1"/>
  <c r="Q54" i="16"/>
  <c r="P54" i="16"/>
  <c r="Q54" i="17"/>
  <c r="P54" i="17"/>
  <c r="Q54" i="18"/>
  <c r="P54" i="18"/>
  <c r="Q54" i="20"/>
  <c r="P54" i="20"/>
  <c r="Q54" i="21"/>
  <c r="P54" i="21"/>
  <c r="Q54" i="25"/>
  <c r="P54" i="25"/>
  <c r="Q54" i="24"/>
  <c r="P54" i="24"/>
  <c r="Q54" i="22"/>
  <c r="P54" i="22"/>
  <c r="Q54" i="26"/>
  <c r="P54" i="26"/>
  <c r="Q54" i="27"/>
  <c r="P54" i="27"/>
  <c r="Q54" i="28"/>
  <c r="P54" i="28"/>
  <c r="Q54" i="31"/>
  <c r="P54" i="31"/>
  <c r="Q54" i="32"/>
  <c r="P54" i="32"/>
  <c r="Q54" i="33"/>
  <c r="P54" i="33"/>
  <c r="Q54" i="34"/>
  <c r="P54" i="34"/>
  <c r="Q54" i="35"/>
  <c r="P54" i="35"/>
  <c r="Q54" i="23"/>
  <c r="P54" i="23"/>
  <c r="Q54" i="36"/>
  <c r="P54" i="36"/>
  <c r="Q54" i="37"/>
  <c r="P54" i="37"/>
  <c r="Q54" i="38"/>
  <c r="P54" i="38"/>
  <c r="Q54" i="39"/>
  <c r="P54" i="39"/>
  <c r="Q54" i="40"/>
  <c r="P54" i="40"/>
  <c r="Q54" i="42"/>
  <c r="P54" i="42"/>
  <c r="Q54" i="43"/>
  <c r="P54" i="43"/>
  <c r="Q54" i="44"/>
  <c r="P54" i="44"/>
  <c r="Q54" i="45"/>
  <c r="P54" i="45"/>
  <c r="Q54" i="47"/>
  <c r="P54" i="47"/>
  <c r="Q54" i="48"/>
  <c r="P54" i="48"/>
  <c r="Q54" i="50"/>
  <c r="P54" i="50"/>
  <c r="Q54" i="51"/>
  <c r="P54" i="51"/>
  <c r="Q54" i="52"/>
  <c r="P54" i="52"/>
  <c r="Q54" i="75"/>
  <c r="P54" i="75"/>
  <c r="Q54" i="76"/>
  <c r="P54" i="76"/>
  <c r="Q54" i="55"/>
  <c r="P54" i="55"/>
  <c r="Q54" i="56"/>
  <c r="P54" i="56"/>
  <c r="Q54" i="57"/>
  <c r="P54" i="57"/>
  <c r="Q54" i="58"/>
  <c r="P54" i="58"/>
  <c r="Q54" i="66"/>
  <c r="P54" i="66"/>
  <c r="Q54" i="67"/>
  <c r="P54" i="67"/>
  <c r="Q54" i="69"/>
  <c r="P54" i="69"/>
  <c r="Q54" i="70"/>
  <c r="P54" i="70"/>
  <c r="Q54" i="71"/>
  <c r="P54" i="71"/>
  <c r="Q54" i="68"/>
  <c r="P54" i="68"/>
  <c r="Q54" i="77"/>
  <c r="P54" i="77"/>
  <c r="Q54" i="78"/>
  <c r="P54" i="78"/>
  <c r="Q54" i="30"/>
  <c r="P54" i="30"/>
  <c r="U66" i="7" l="1"/>
  <c r="H65" i="16" l="1"/>
  <c r="T65" i="16" s="1"/>
  <c r="U65" i="16" s="1"/>
  <c r="H64" i="16"/>
  <c r="T64" i="16" s="1"/>
  <c r="U64" i="16" s="1"/>
  <c r="H63" i="16"/>
  <c r="T63" i="16" s="1"/>
  <c r="U63" i="16" s="1"/>
  <c r="H62" i="16"/>
  <c r="T62" i="16" s="1"/>
  <c r="U62" i="16" s="1"/>
  <c r="H61" i="16"/>
  <c r="T61" i="16" s="1"/>
  <c r="U61" i="16" s="1"/>
  <c r="H60" i="16"/>
  <c r="T60" i="16" s="1"/>
  <c r="U60" i="16" s="1"/>
  <c r="H59" i="16"/>
  <c r="T59" i="16" s="1"/>
  <c r="U59" i="16" s="1"/>
  <c r="H58" i="16"/>
  <c r="T58" i="16" s="1"/>
  <c r="U58" i="16" s="1"/>
  <c r="H65" i="17"/>
  <c r="T65" i="17" s="1"/>
  <c r="U65" i="17" s="1"/>
  <c r="H64" i="17"/>
  <c r="T64" i="17" s="1"/>
  <c r="U64" i="17" s="1"/>
  <c r="H63" i="17"/>
  <c r="T63" i="17" s="1"/>
  <c r="U63" i="17" s="1"/>
  <c r="H62" i="17"/>
  <c r="T62" i="17" s="1"/>
  <c r="U62" i="17" s="1"/>
  <c r="H61" i="17"/>
  <c r="T61" i="17" s="1"/>
  <c r="U61" i="17" s="1"/>
  <c r="H60" i="17"/>
  <c r="T60" i="17" s="1"/>
  <c r="U60" i="17" s="1"/>
  <c r="H59" i="17"/>
  <c r="T59" i="17" s="1"/>
  <c r="U59" i="17" s="1"/>
  <c r="H58" i="17"/>
  <c r="T58" i="17" s="1"/>
  <c r="U58" i="17" s="1"/>
  <c r="H65" i="18"/>
  <c r="T65" i="18" s="1"/>
  <c r="U65" i="18" s="1"/>
  <c r="H64" i="18"/>
  <c r="T64" i="18" s="1"/>
  <c r="U64" i="18" s="1"/>
  <c r="H63" i="18"/>
  <c r="T63" i="18" s="1"/>
  <c r="U63" i="18" s="1"/>
  <c r="H62" i="18"/>
  <c r="T62" i="18" s="1"/>
  <c r="U62" i="18" s="1"/>
  <c r="H61" i="18"/>
  <c r="T61" i="18" s="1"/>
  <c r="U61" i="18" s="1"/>
  <c r="H60" i="18"/>
  <c r="T60" i="18" s="1"/>
  <c r="U60" i="18" s="1"/>
  <c r="H59" i="18"/>
  <c r="T59" i="18" s="1"/>
  <c r="U59" i="18" s="1"/>
  <c r="H58" i="18"/>
  <c r="T58" i="18" s="1"/>
  <c r="U58" i="18" s="1"/>
  <c r="H65" i="20"/>
  <c r="T65" i="20" s="1"/>
  <c r="U65" i="20" s="1"/>
  <c r="H64" i="20"/>
  <c r="T64" i="20" s="1"/>
  <c r="U64" i="20" s="1"/>
  <c r="H63" i="20"/>
  <c r="T63" i="20" s="1"/>
  <c r="U63" i="20" s="1"/>
  <c r="H62" i="20"/>
  <c r="T62" i="20" s="1"/>
  <c r="U62" i="20" s="1"/>
  <c r="H61" i="20"/>
  <c r="T61" i="20" s="1"/>
  <c r="U61" i="20" s="1"/>
  <c r="H60" i="20"/>
  <c r="T60" i="20" s="1"/>
  <c r="U60" i="20" s="1"/>
  <c r="H59" i="20"/>
  <c r="T59" i="20" s="1"/>
  <c r="U59" i="20" s="1"/>
  <c r="H58" i="20"/>
  <c r="T58" i="20" s="1"/>
  <c r="U58" i="20" s="1"/>
  <c r="H65" i="21"/>
  <c r="T65" i="21" s="1"/>
  <c r="U65" i="21" s="1"/>
  <c r="H64" i="21"/>
  <c r="T64" i="21" s="1"/>
  <c r="U64" i="21" s="1"/>
  <c r="H63" i="21"/>
  <c r="T63" i="21" s="1"/>
  <c r="U63" i="21" s="1"/>
  <c r="H62" i="21"/>
  <c r="T62" i="21" s="1"/>
  <c r="U62" i="21" s="1"/>
  <c r="H61" i="21"/>
  <c r="T61" i="21" s="1"/>
  <c r="U61" i="21" s="1"/>
  <c r="H60" i="21"/>
  <c r="T60" i="21" s="1"/>
  <c r="U60" i="21" s="1"/>
  <c r="H59" i="21"/>
  <c r="T59" i="21" s="1"/>
  <c r="U59" i="21" s="1"/>
  <c r="H58" i="21"/>
  <c r="T58" i="21" s="1"/>
  <c r="U58" i="21" s="1"/>
  <c r="H65" i="25"/>
  <c r="T65" i="25" s="1"/>
  <c r="U65" i="25" s="1"/>
  <c r="H64" i="25"/>
  <c r="T64" i="25" s="1"/>
  <c r="U64" i="25" s="1"/>
  <c r="H63" i="25"/>
  <c r="T63" i="25" s="1"/>
  <c r="U63" i="25" s="1"/>
  <c r="H62" i="25"/>
  <c r="T62" i="25" s="1"/>
  <c r="U62" i="25" s="1"/>
  <c r="H61" i="25"/>
  <c r="T61" i="25" s="1"/>
  <c r="U61" i="25" s="1"/>
  <c r="H60" i="25"/>
  <c r="T60" i="25" s="1"/>
  <c r="U60" i="25" s="1"/>
  <c r="H59" i="25"/>
  <c r="T59" i="25" s="1"/>
  <c r="U59" i="25" s="1"/>
  <c r="H58" i="25"/>
  <c r="T58" i="25" s="1"/>
  <c r="U58" i="25" s="1"/>
  <c r="H65" i="24"/>
  <c r="T65" i="24" s="1"/>
  <c r="U65" i="24" s="1"/>
  <c r="H64" i="24"/>
  <c r="T64" i="24" s="1"/>
  <c r="U64" i="24" s="1"/>
  <c r="H63" i="24"/>
  <c r="T63" i="24" s="1"/>
  <c r="U63" i="24" s="1"/>
  <c r="H62" i="24"/>
  <c r="T62" i="24" s="1"/>
  <c r="U62" i="24" s="1"/>
  <c r="H61" i="24"/>
  <c r="T61" i="24" s="1"/>
  <c r="U61" i="24" s="1"/>
  <c r="H60" i="24"/>
  <c r="T60" i="24" s="1"/>
  <c r="U60" i="24" s="1"/>
  <c r="H59" i="24"/>
  <c r="T59" i="24" s="1"/>
  <c r="U59" i="24" s="1"/>
  <c r="H58" i="24"/>
  <c r="T58" i="24" s="1"/>
  <c r="U58" i="24" s="1"/>
  <c r="H65" i="22"/>
  <c r="T65" i="22" s="1"/>
  <c r="U65" i="22" s="1"/>
  <c r="H64" i="22"/>
  <c r="T64" i="22" s="1"/>
  <c r="U64" i="22" s="1"/>
  <c r="H63" i="22"/>
  <c r="T63" i="22" s="1"/>
  <c r="U63" i="22" s="1"/>
  <c r="H62" i="22"/>
  <c r="T62" i="22" s="1"/>
  <c r="U62" i="22" s="1"/>
  <c r="H61" i="22"/>
  <c r="T61" i="22" s="1"/>
  <c r="U61" i="22" s="1"/>
  <c r="H60" i="22"/>
  <c r="T60" i="22" s="1"/>
  <c r="U60" i="22" s="1"/>
  <c r="H59" i="22"/>
  <c r="T59" i="22" s="1"/>
  <c r="U59" i="22" s="1"/>
  <c r="H58" i="22"/>
  <c r="T58" i="22" s="1"/>
  <c r="U58" i="22" s="1"/>
  <c r="H65" i="26"/>
  <c r="T65" i="26" s="1"/>
  <c r="U65" i="26" s="1"/>
  <c r="H64" i="26"/>
  <c r="T64" i="26" s="1"/>
  <c r="U64" i="26" s="1"/>
  <c r="H63" i="26"/>
  <c r="T63" i="26" s="1"/>
  <c r="U63" i="26" s="1"/>
  <c r="H62" i="26"/>
  <c r="T62" i="26" s="1"/>
  <c r="U62" i="26" s="1"/>
  <c r="H61" i="26"/>
  <c r="T61" i="26" s="1"/>
  <c r="U61" i="26" s="1"/>
  <c r="H60" i="26"/>
  <c r="T60" i="26" s="1"/>
  <c r="U60" i="26" s="1"/>
  <c r="H59" i="26"/>
  <c r="T59" i="26" s="1"/>
  <c r="U59" i="26" s="1"/>
  <c r="H58" i="26"/>
  <c r="T58" i="26" s="1"/>
  <c r="U58" i="26" s="1"/>
  <c r="H65" i="27"/>
  <c r="T65" i="27" s="1"/>
  <c r="U65" i="27" s="1"/>
  <c r="H64" i="27"/>
  <c r="T64" i="27" s="1"/>
  <c r="U64" i="27" s="1"/>
  <c r="H63" i="27"/>
  <c r="T63" i="27" s="1"/>
  <c r="U63" i="27" s="1"/>
  <c r="H62" i="27"/>
  <c r="T62" i="27" s="1"/>
  <c r="U62" i="27" s="1"/>
  <c r="H61" i="27"/>
  <c r="T61" i="27" s="1"/>
  <c r="U61" i="27" s="1"/>
  <c r="H60" i="27"/>
  <c r="T60" i="27" s="1"/>
  <c r="U60" i="27" s="1"/>
  <c r="H59" i="27"/>
  <c r="T59" i="27" s="1"/>
  <c r="U59" i="27" s="1"/>
  <c r="H58" i="27"/>
  <c r="T58" i="27" s="1"/>
  <c r="U58" i="27" s="1"/>
  <c r="H65" i="28"/>
  <c r="T65" i="28" s="1"/>
  <c r="U65" i="28" s="1"/>
  <c r="H64" i="28"/>
  <c r="T64" i="28" s="1"/>
  <c r="U64" i="28" s="1"/>
  <c r="H63" i="28"/>
  <c r="T63" i="28" s="1"/>
  <c r="U63" i="28" s="1"/>
  <c r="H62" i="28"/>
  <c r="T62" i="28" s="1"/>
  <c r="U62" i="28" s="1"/>
  <c r="H61" i="28"/>
  <c r="T61" i="28" s="1"/>
  <c r="U61" i="28" s="1"/>
  <c r="H60" i="28"/>
  <c r="T60" i="28" s="1"/>
  <c r="U60" i="28" s="1"/>
  <c r="H59" i="28"/>
  <c r="T59" i="28" s="1"/>
  <c r="U59" i="28" s="1"/>
  <c r="H58" i="28"/>
  <c r="T58" i="28" s="1"/>
  <c r="U58" i="28" s="1"/>
  <c r="H65" i="31"/>
  <c r="T65" i="31" s="1"/>
  <c r="U65" i="31" s="1"/>
  <c r="H64" i="31"/>
  <c r="T64" i="31" s="1"/>
  <c r="U64" i="31" s="1"/>
  <c r="H63" i="31"/>
  <c r="T63" i="31" s="1"/>
  <c r="U63" i="31" s="1"/>
  <c r="H62" i="31"/>
  <c r="T62" i="31" s="1"/>
  <c r="U62" i="31" s="1"/>
  <c r="H61" i="31"/>
  <c r="T61" i="31" s="1"/>
  <c r="U61" i="31" s="1"/>
  <c r="H60" i="31"/>
  <c r="T60" i="31" s="1"/>
  <c r="U60" i="31" s="1"/>
  <c r="H59" i="31"/>
  <c r="T59" i="31" s="1"/>
  <c r="U59" i="31" s="1"/>
  <c r="H58" i="31"/>
  <c r="T58" i="31" s="1"/>
  <c r="U58" i="31" s="1"/>
  <c r="H65" i="32"/>
  <c r="T65" i="32" s="1"/>
  <c r="U65" i="32" s="1"/>
  <c r="H64" i="32"/>
  <c r="T64" i="32" s="1"/>
  <c r="U64" i="32" s="1"/>
  <c r="H63" i="32"/>
  <c r="T63" i="32" s="1"/>
  <c r="U63" i="32" s="1"/>
  <c r="H62" i="32"/>
  <c r="T62" i="32" s="1"/>
  <c r="U62" i="32" s="1"/>
  <c r="H61" i="32"/>
  <c r="T61" i="32" s="1"/>
  <c r="U61" i="32" s="1"/>
  <c r="H60" i="32"/>
  <c r="T60" i="32" s="1"/>
  <c r="U60" i="32" s="1"/>
  <c r="H59" i="32"/>
  <c r="T59" i="32" s="1"/>
  <c r="U59" i="32" s="1"/>
  <c r="H58" i="32"/>
  <c r="T58" i="32" s="1"/>
  <c r="U58" i="32" s="1"/>
  <c r="H65" i="33"/>
  <c r="T65" i="33" s="1"/>
  <c r="U65" i="33" s="1"/>
  <c r="H64" i="33"/>
  <c r="T64" i="33" s="1"/>
  <c r="U64" i="33" s="1"/>
  <c r="H63" i="33"/>
  <c r="T63" i="33" s="1"/>
  <c r="U63" i="33" s="1"/>
  <c r="H62" i="33"/>
  <c r="T62" i="33" s="1"/>
  <c r="U62" i="33" s="1"/>
  <c r="H61" i="33"/>
  <c r="T61" i="33" s="1"/>
  <c r="U61" i="33" s="1"/>
  <c r="H60" i="33"/>
  <c r="T60" i="33" s="1"/>
  <c r="U60" i="33" s="1"/>
  <c r="H59" i="33"/>
  <c r="T59" i="33" s="1"/>
  <c r="U59" i="33" s="1"/>
  <c r="H58" i="33"/>
  <c r="T58" i="33" s="1"/>
  <c r="U58" i="33" s="1"/>
  <c r="H65" i="34"/>
  <c r="T65" i="34" s="1"/>
  <c r="U65" i="34" s="1"/>
  <c r="H64" i="34"/>
  <c r="T64" i="34" s="1"/>
  <c r="U64" i="34" s="1"/>
  <c r="H63" i="34"/>
  <c r="T63" i="34" s="1"/>
  <c r="U63" i="34" s="1"/>
  <c r="H62" i="34"/>
  <c r="T62" i="34" s="1"/>
  <c r="U62" i="34" s="1"/>
  <c r="H61" i="34"/>
  <c r="T61" i="34" s="1"/>
  <c r="U61" i="34" s="1"/>
  <c r="H60" i="34"/>
  <c r="T60" i="34" s="1"/>
  <c r="U60" i="34" s="1"/>
  <c r="H59" i="34"/>
  <c r="T59" i="34" s="1"/>
  <c r="U59" i="34" s="1"/>
  <c r="H58" i="34"/>
  <c r="T58" i="34" s="1"/>
  <c r="U58" i="34" s="1"/>
  <c r="H65" i="35"/>
  <c r="T65" i="35" s="1"/>
  <c r="U65" i="35" s="1"/>
  <c r="H64" i="35"/>
  <c r="T64" i="35" s="1"/>
  <c r="U64" i="35" s="1"/>
  <c r="H63" i="35"/>
  <c r="T63" i="35" s="1"/>
  <c r="U63" i="35" s="1"/>
  <c r="H62" i="35"/>
  <c r="T62" i="35" s="1"/>
  <c r="U62" i="35" s="1"/>
  <c r="H61" i="35"/>
  <c r="T61" i="35" s="1"/>
  <c r="U61" i="35" s="1"/>
  <c r="H60" i="35"/>
  <c r="T60" i="35" s="1"/>
  <c r="U60" i="35" s="1"/>
  <c r="H59" i="35"/>
  <c r="T59" i="35" s="1"/>
  <c r="U59" i="35" s="1"/>
  <c r="H58" i="35"/>
  <c r="T58" i="35" s="1"/>
  <c r="U58" i="35" s="1"/>
  <c r="H65" i="23"/>
  <c r="T65" i="23" s="1"/>
  <c r="U65" i="23" s="1"/>
  <c r="H64" i="23"/>
  <c r="T64" i="23" s="1"/>
  <c r="U64" i="23" s="1"/>
  <c r="H63" i="23"/>
  <c r="T63" i="23" s="1"/>
  <c r="U63" i="23" s="1"/>
  <c r="H62" i="23"/>
  <c r="T62" i="23" s="1"/>
  <c r="U62" i="23" s="1"/>
  <c r="H61" i="23"/>
  <c r="T61" i="23" s="1"/>
  <c r="U61" i="23" s="1"/>
  <c r="H60" i="23"/>
  <c r="T60" i="23" s="1"/>
  <c r="U60" i="23" s="1"/>
  <c r="H59" i="23"/>
  <c r="T59" i="23" s="1"/>
  <c r="U59" i="23" s="1"/>
  <c r="H58" i="23"/>
  <c r="T58" i="23" s="1"/>
  <c r="U58" i="23" s="1"/>
  <c r="H65" i="36"/>
  <c r="T65" i="36" s="1"/>
  <c r="U65" i="36" s="1"/>
  <c r="H64" i="36"/>
  <c r="T64" i="36" s="1"/>
  <c r="U64" i="36" s="1"/>
  <c r="H63" i="36"/>
  <c r="T63" i="36" s="1"/>
  <c r="U63" i="36" s="1"/>
  <c r="H62" i="36"/>
  <c r="T62" i="36" s="1"/>
  <c r="U62" i="36" s="1"/>
  <c r="H61" i="36"/>
  <c r="T61" i="36" s="1"/>
  <c r="U61" i="36" s="1"/>
  <c r="H60" i="36"/>
  <c r="T60" i="36" s="1"/>
  <c r="U60" i="36" s="1"/>
  <c r="H59" i="36"/>
  <c r="T59" i="36" s="1"/>
  <c r="U59" i="36" s="1"/>
  <c r="H58" i="36"/>
  <c r="T58" i="36" s="1"/>
  <c r="U58" i="36" s="1"/>
  <c r="H65" i="37"/>
  <c r="T65" i="37" s="1"/>
  <c r="U65" i="37" s="1"/>
  <c r="H64" i="37"/>
  <c r="T64" i="37" s="1"/>
  <c r="U64" i="37" s="1"/>
  <c r="H63" i="37"/>
  <c r="T63" i="37" s="1"/>
  <c r="U63" i="37" s="1"/>
  <c r="H62" i="37"/>
  <c r="T62" i="37" s="1"/>
  <c r="U62" i="37" s="1"/>
  <c r="H61" i="37"/>
  <c r="T61" i="37" s="1"/>
  <c r="U61" i="37" s="1"/>
  <c r="H60" i="37"/>
  <c r="T60" i="37" s="1"/>
  <c r="U60" i="37" s="1"/>
  <c r="H59" i="37"/>
  <c r="T59" i="37" s="1"/>
  <c r="U59" i="37" s="1"/>
  <c r="H58" i="37"/>
  <c r="T58" i="37" s="1"/>
  <c r="U58" i="37" s="1"/>
  <c r="H65" i="38"/>
  <c r="T65" i="38" s="1"/>
  <c r="U65" i="38" s="1"/>
  <c r="H64" i="38"/>
  <c r="T64" i="38" s="1"/>
  <c r="U64" i="38" s="1"/>
  <c r="H63" i="38"/>
  <c r="T63" i="38" s="1"/>
  <c r="U63" i="38" s="1"/>
  <c r="H62" i="38"/>
  <c r="T62" i="38" s="1"/>
  <c r="U62" i="38" s="1"/>
  <c r="H61" i="38"/>
  <c r="T61" i="38" s="1"/>
  <c r="U61" i="38" s="1"/>
  <c r="H60" i="38"/>
  <c r="T60" i="38" s="1"/>
  <c r="U60" i="38" s="1"/>
  <c r="H59" i="38"/>
  <c r="T59" i="38" s="1"/>
  <c r="U59" i="38" s="1"/>
  <c r="H58" i="38"/>
  <c r="T58" i="38" s="1"/>
  <c r="U58" i="38" s="1"/>
  <c r="H65" i="39"/>
  <c r="T65" i="39" s="1"/>
  <c r="U65" i="39" s="1"/>
  <c r="H64" i="39"/>
  <c r="T64" i="39" s="1"/>
  <c r="U64" i="39" s="1"/>
  <c r="H63" i="39"/>
  <c r="T63" i="39" s="1"/>
  <c r="U63" i="39" s="1"/>
  <c r="H62" i="39"/>
  <c r="T62" i="39" s="1"/>
  <c r="U62" i="39" s="1"/>
  <c r="H61" i="39"/>
  <c r="T61" i="39" s="1"/>
  <c r="U61" i="39" s="1"/>
  <c r="H60" i="39"/>
  <c r="T60" i="39" s="1"/>
  <c r="U60" i="39" s="1"/>
  <c r="H59" i="39"/>
  <c r="T59" i="39" s="1"/>
  <c r="U59" i="39" s="1"/>
  <c r="H58" i="39"/>
  <c r="T58" i="39" s="1"/>
  <c r="U58" i="39" s="1"/>
  <c r="H65" i="40"/>
  <c r="T65" i="40" s="1"/>
  <c r="U65" i="40" s="1"/>
  <c r="H64" i="40"/>
  <c r="T64" i="40" s="1"/>
  <c r="U64" i="40" s="1"/>
  <c r="H63" i="40"/>
  <c r="T63" i="40" s="1"/>
  <c r="U63" i="40" s="1"/>
  <c r="H62" i="40"/>
  <c r="T62" i="40" s="1"/>
  <c r="U62" i="40" s="1"/>
  <c r="H61" i="40"/>
  <c r="T61" i="40" s="1"/>
  <c r="U61" i="40" s="1"/>
  <c r="H60" i="40"/>
  <c r="T60" i="40" s="1"/>
  <c r="U60" i="40" s="1"/>
  <c r="H59" i="40"/>
  <c r="T59" i="40" s="1"/>
  <c r="U59" i="40" s="1"/>
  <c r="H58" i="40"/>
  <c r="T58" i="40" s="1"/>
  <c r="U58" i="40" s="1"/>
  <c r="H65" i="42"/>
  <c r="T65" i="42" s="1"/>
  <c r="U65" i="42" s="1"/>
  <c r="H64" i="42"/>
  <c r="T64" i="42" s="1"/>
  <c r="U64" i="42" s="1"/>
  <c r="H63" i="42"/>
  <c r="T63" i="42" s="1"/>
  <c r="U63" i="42" s="1"/>
  <c r="H62" i="42"/>
  <c r="T62" i="42" s="1"/>
  <c r="U62" i="42" s="1"/>
  <c r="H61" i="42"/>
  <c r="T61" i="42" s="1"/>
  <c r="U61" i="42" s="1"/>
  <c r="H60" i="42"/>
  <c r="T60" i="42" s="1"/>
  <c r="U60" i="42" s="1"/>
  <c r="H59" i="42"/>
  <c r="T59" i="42" s="1"/>
  <c r="U59" i="42" s="1"/>
  <c r="H58" i="42"/>
  <c r="T58" i="42" s="1"/>
  <c r="U58" i="42" s="1"/>
  <c r="H65" i="43"/>
  <c r="T65" i="43" s="1"/>
  <c r="U65" i="43" s="1"/>
  <c r="H64" i="43"/>
  <c r="T64" i="43" s="1"/>
  <c r="U64" i="43" s="1"/>
  <c r="H63" i="43"/>
  <c r="T63" i="43" s="1"/>
  <c r="U63" i="43" s="1"/>
  <c r="H62" i="43"/>
  <c r="T62" i="43" s="1"/>
  <c r="U62" i="43" s="1"/>
  <c r="H61" i="43"/>
  <c r="T61" i="43" s="1"/>
  <c r="U61" i="43" s="1"/>
  <c r="H60" i="43"/>
  <c r="T60" i="43" s="1"/>
  <c r="U60" i="43" s="1"/>
  <c r="H59" i="43"/>
  <c r="T59" i="43" s="1"/>
  <c r="U59" i="43" s="1"/>
  <c r="H58" i="43"/>
  <c r="T58" i="43" s="1"/>
  <c r="U58" i="43" s="1"/>
  <c r="H65" i="44"/>
  <c r="T65" i="44" s="1"/>
  <c r="U65" i="44" s="1"/>
  <c r="H64" i="44"/>
  <c r="T64" i="44" s="1"/>
  <c r="U64" i="44" s="1"/>
  <c r="H63" i="44"/>
  <c r="T63" i="44" s="1"/>
  <c r="U63" i="44" s="1"/>
  <c r="H62" i="44"/>
  <c r="T62" i="44" s="1"/>
  <c r="U62" i="44" s="1"/>
  <c r="H61" i="44"/>
  <c r="T61" i="44" s="1"/>
  <c r="U61" i="44" s="1"/>
  <c r="H60" i="44"/>
  <c r="T60" i="44" s="1"/>
  <c r="U60" i="44" s="1"/>
  <c r="H59" i="44"/>
  <c r="T59" i="44" s="1"/>
  <c r="U59" i="44" s="1"/>
  <c r="H58" i="44"/>
  <c r="T58" i="44" s="1"/>
  <c r="U58" i="44" s="1"/>
  <c r="H65" i="45"/>
  <c r="T65" i="45" s="1"/>
  <c r="U65" i="45" s="1"/>
  <c r="H64" i="45"/>
  <c r="T64" i="45" s="1"/>
  <c r="U64" i="45" s="1"/>
  <c r="H63" i="45"/>
  <c r="T63" i="45" s="1"/>
  <c r="U63" i="45" s="1"/>
  <c r="H62" i="45"/>
  <c r="T62" i="45" s="1"/>
  <c r="U62" i="45" s="1"/>
  <c r="H61" i="45"/>
  <c r="T61" i="45" s="1"/>
  <c r="U61" i="45" s="1"/>
  <c r="H60" i="45"/>
  <c r="T60" i="45" s="1"/>
  <c r="U60" i="45" s="1"/>
  <c r="H59" i="45"/>
  <c r="T59" i="45" s="1"/>
  <c r="U59" i="45" s="1"/>
  <c r="H58" i="45"/>
  <c r="T58" i="45" s="1"/>
  <c r="U58" i="45" s="1"/>
  <c r="H65" i="47"/>
  <c r="T65" i="47" s="1"/>
  <c r="U65" i="47" s="1"/>
  <c r="H64" i="47"/>
  <c r="T64" i="47" s="1"/>
  <c r="U64" i="47" s="1"/>
  <c r="H63" i="47"/>
  <c r="T63" i="47" s="1"/>
  <c r="U63" i="47" s="1"/>
  <c r="H62" i="47"/>
  <c r="T62" i="47" s="1"/>
  <c r="U62" i="47" s="1"/>
  <c r="H61" i="47"/>
  <c r="T61" i="47" s="1"/>
  <c r="U61" i="47" s="1"/>
  <c r="H60" i="47"/>
  <c r="T60" i="47" s="1"/>
  <c r="U60" i="47" s="1"/>
  <c r="H59" i="47"/>
  <c r="T59" i="47" s="1"/>
  <c r="U59" i="47" s="1"/>
  <c r="H58" i="47"/>
  <c r="T58" i="47" s="1"/>
  <c r="U58" i="47" s="1"/>
  <c r="H65" i="48"/>
  <c r="T65" i="48" s="1"/>
  <c r="U65" i="48" s="1"/>
  <c r="H64" i="48"/>
  <c r="T64" i="48" s="1"/>
  <c r="U64" i="48" s="1"/>
  <c r="H63" i="48"/>
  <c r="T63" i="48" s="1"/>
  <c r="U63" i="48" s="1"/>
  <c r="H62" i="48"/>
  <c r="T62" i="48" s="1"/>
  <c r="U62" i="48" s="1"/>
  <c r="H61" i="48"/>
  <c r="T61" i="48" s="1"/>
  <c r="U61" i="48" s="1"/>
  <c r="H60" i="48"/>
  <c r="T60" i="48" s="1"/>
  <c r="U60" i="48" s="1"/>
  <c r="H59" i="48"/>
  <c r="T59" i="48" s="1"/>
  <c r="U59" i="48" s="1"/>
  <c r="H58" i="48"/>
  <c r="T58" i="48" s="1"/>
  <c r="U58" i="48" s="1"/>
  <c r="H65" i="50"/>
  <c r="T65" i="50" s="1"/>
  <c r="U65" i="50" s="1"/>
  <c r="H64" i="50"/>
  <c r="T64" i="50" s="1"/>
  <c r="U64" i="50" s="1"/>
  <c r="H63" i="50"/>
  <c r="T63" i="50" s="1"/>
  <c r="U63" i="50" s="1"/>
  <c r="H62" i="50"/>
  <c r="T62" i="50" s="1"/>
  <c r="U62" i="50" s="1"/>
  <c r="H61" i="50"/>
  <c r="T61" i="50" s="1"/>
  <c r="U61" i="50" s="1"/>
  <c r="H60" i="50"/>
  <c r="T60" i="50" s="1"/>
  <c r="U60" i="50" s="1"/>
  <c r="H59" i="50"/>
  <c r="T59" i="50" s="1"/>
  <c r="U59" i="50" s="1"/>
  <c r="H58" i="50"/>
  <c r="T58" i="50" s="1"/>
  <c r="U58" i="50" s="1"/>
  <c r="H65" i="51"/>
  <c r="T65" i="51" s="1"/>
  <c r="U65" i="51" s="1"/>
  <c r="H64" i="51"/>
  <c r="T64" i="51" s="1"/>
  <c r="U64" i="51" s="1"/>
  <c r="H63" i="51"/>
  <c r="T63" i="51" s="1"/>
  <c r="U63" i="51" s="1"/>
  <c r="H62" i="51"/>
  <c r="T62" i="51" s="1"/>
  <c r="U62" i="51" s="1"/>
  <c r="H61" i="51"/>
  <c r="T61" i="51" s="1"/>
  <c r="U61" i="51" s="1"/>
  <c r="H60" i="51"/>
  <c r="T60" i="51" s="1"/>
  <c r="U60" i="51" s="1"/>
  <c r="H59" i="51"/>
  <c r="T59" i="51" s="1"/>
  <c r="U59" i="51" s="1"/>
  <c r="H58" i="51"/>
  <c r="T58" i="51" s="1"/>
  <c r="U58" i="51" s="1"/>
  <c r="H65" i="52"/>
  <c r="T65" i="52" s="1"/>
  <c r="U65" i="52" s="1"/>
  <c r="H64" i="52"/>
  <c r="T64" i="52" s="1"/>
  <c r="U64" i="52" s="1"/>
  <c r="H63" i="52"/>
  <c r="T63" i="52" s="1"/>
  <c r="U63" i="52" s="1"/>
  <c r="H62" i="52"/>
  <c r="T62" i="52" s="1"/>
  <c r="U62" i="52" s="1"/>
  <c r="H61" i="52"/>
  <c r="T61" i="52" s="1"/>
  <c r="U61" i="52" s="1"/>
  <c r="H60" i="52"/>
  <c r="T60" i="52" s="1"/>
  <c r="U60" i="52" s="1"/>
  <c r="H59" i="52"/>
  <c r="T59" i="52" s="1"/>
  <c r="U59" i="52" s="1"/>
  <c r="H58" i="52"/>
  <c r="T58" i="52" s="1"/>
  <c r="U58" i="52" s="1"/>
  <c r="H65" i="75"/>
  <c r="T65" i="75" s="1"/>
  <c r="U65" i="75" s="1"/>
  <c r="H64" i="75"/>
  <c r="T64" i="75" s="1"/>
  <c r="U64" i="75" s="1"/>
  <c r="H63" i="75"/>
  <c r="T63" i="75" s="1"/>
  <c r="U63" i="75" s="1"/>
  <c r="H62" i="75"/>
  <c r="T62" i="75" s="1"/>
  <c r="U62" i="75" s="1"/>
  <c r="H61" i="75"/>
  <c r="T61" i="75" s="1"/>
  <c r="U61" i="75" s="1"/>
  <c r="H60" i="75"/>
  <c r="T60" i="75" s="1"/>
  <c r="U60" i="75" s="1"/>
  <c r="H59" i="75"/>
  <c r="T59" i="75" s="1"/>
  <c r="U59" i="75" s="1"/>
  <c r="H58" i="75"/>
  <c r="T58" i="75" s="1"/>
  <c r="U58" i="75" s="1"/>
  <c r="H65" i="76"/>
  <c r="T65" i="76" s="1"/>
  <c r="U65" i="76" s="1"/>
  <c r="H64" i="76"/>
  <c r="T64" i="76" s="1"/>
  <c r="U64" i="76" s="1"/>
  <c r="H63" i="76"/>
  <c r="T63" i="76" s="1"/>
  <c r="U63" i="76" s="1"/>
  <c r="H62" i="76"/>
  <c r="T62" i="76" s="1"/>
  <c r="U62" i="76" s="1"/>
  <c r="H61" i="76"/>
  <c r="T61" i="76" s="1"/>
  <c r="U61" i="76" s="1"/>
  <c r="H60" i="76"/>
  <c r="T60" i="76" s="1"/>
  <c r="U60" i="76" s="1"/>
  <c r="H59" i="76"/>
  <c r="T59" i="76" s="1"/>
  <c r="U59" i="76" s="1"/>
  <c r="H58" i="76"/>
  <c r="T58" i="76" s="1"/>
  <c r="U58" i="76" s="1"/>
  <c r="H65" i="55"/>
  <c r="T65" i="55" s="1"/>
  <c r="U65" i="55" s="1"/>
  <c r="H64" i="55"/>
  <c r="T64" i="55" s="1"/>
  <c r="U64" i="55" s="1"/>
  <c r="H63" i="55"/>
  <c r="T63" i="55" s="1"/>
  <c r="U63" i="55" s="1"/>
  <c r="H62" i="55"/>
  <c r="T62" i="55" s="1"/>
  <c r="U62" i="55" s="1"/>
  <c r="H61" i="55"/>
  <c r="T61" i="55" s="1"/>
  <c r="U61" i="55" s="1"/>
  <c r="H60" i="55"/>
  <c r="T60" i="55" s="1"/>
  <c r="U60" i="55" s="1"/>
  <c r="H59" i="55"/>
  <c r="T59" i="55" s="1"/>
  <c r="U59" i="55" s="1"/>
  <c r="H58" i="55"/>
  <c r="T58" i="55" s="1"/>
  <c r="U58" i="55" s="1"/>
  <c r="H65" i="56"/>
  <c r="T65" i="56" s="1"/>
  <c r="U65" i="56" s="1"/>
  <c r="H64" i="56"/>
  <c r="T64" i="56" s="1"/>
  <c r="U64" i="56" s="1"/>
  <c r="H63" i="56"/>
  <c r="T63" i="56" s="1"/>
  <c r="U63" i="56" s="1"/>
  <c r="H62" i="56"/>
  <c r="T62" i="56" s="1"/>
  <c r="U62" i="56" s="1"/>
  <c r="H61" i="56"/>
  <c r="T61" i="56" s="1"/>
  <c r="U61" i="56" s="1"/>
  <c r="H60" i="56"/>
  <c r="T60" i="56" s="1"/>
  <c r="U60" i="56" s="1"/>
  <c r="H59" i="56"/>
  <c r="T59" i="56" s="1"/>
  <c r="U59" i="56" s="1"/>
  <c r="H58" i="56"/>
  <c r="T58" i="56" s="1"/>
  <c r="U58" i="56" s="1"/>
  <c r="H65" i="57"/>
  <c r="T65" i="57" s="1"/>
  <c r="U65" i="57" s="1"/>
  <c r="H64" i="57"/>
  <c r="T64" i="57" s="1"/>
  <c r="U64" i="57" s="1"/>
  <c r="H63" i="57"/>
  <c r="T63" i="57" s="1"/>
  <c r="U63" i="57" s="1"/>
  <c r="H62" i="57"/>
  <c r="T62" i="57" s="1"/>
  <c r="U62" i="57" s="1"/>
  <c r="H61" i="57"/>
  <c r="T61" i="57" s="1"/>
  <c r="U61" i="57" s="1"/>
  <c r="H60" i="57"/>
  <c r="T60" i="57" s="1"/>
  <c r="U60" i="57" s="1"/>
  <c r="H59" i="57"/>
  <c r="T59" i="57" s="1"/>
  <c r="U59" i="57" s="1"/>
  <c r="H58" i="57"/>
  <c r="T58" i="57" s="1"/>
  <c r="U58" i="57" s="1"/>
  <c r="H65" i="58"/>
  <c r="T65" i="58" s="1"/>
  <c r="U65" i="58" s="1"/>
  <c r="H64" i="58"/>
  <c r="T64" i="58" s="1"/>
  <c r="U64" i="58" s="1"/>
  <c r="H63" i="58"/>
  <c r="T63" i="58" s="1"/>
  <c r="U63" i="58" s="1"/>
  <c r="H62" i="58"/>
  <c r="T62" i="58" s="1"/>
  <c r="U62" i="58" s="1"/>
  <c r="H61" i="58"/>
  <c r="T61" i="58" s="1"/>
  <c r="U61" i="58" s="1"/>
  <c r="H60" i="58"/>
  <c r="T60" i="58" s="1"/>
  <c r="U60" i="58" s="1"/>
  <c r="H59" i="58"/>
  <c r="T59" i="58" s="1"/>
  <c r="U59" i="58" s="1"/>
  <c r="H58" i="58"/>
  <c r="T58" i="58" s="1"/>
  <c r="U58" i="58" s="1"/>
  <c r="H65" i="66"/>
  <c r="T65" i="66" s="1"/>
  <c r="U65" i="66" s="1"/>
  <c r="H64" i="66"/>
  <c r="T64" i="66" s="1"/>
  <c r="U64" i="66" s="1"/>
  <c r="H63" i="66"/>
  <c r="T63" i="66" s="1"/>
  <c r="U63" i="66" s="1"/>
  <c r="H62" i="66"/>
  <c r="T62" i="66" s="1"/>
  <c r="U62" i="66" s="1"/>
  <c r="H61" i="66"/>
  <c r="T61" i="66" s="1"/>
  <c r="U61" i="66" s="1"/>
  <c r="H60" i="66"/>
  <c r="T60" i="66" s="1"/>
  <c r="U60" i="66" s="1"/>
  <c r="H59" i="66"/>
  <c r="T59" i="66" s="1"/>
  <c r="U59" i="66" s="1"/>
  <c r="H58" i="66"/>
  <c r="T58" i="66" s="1"/>
  <c r="U58" i="66" s="1"/>
  <c r="H65" i="67"/>
  <c r="T65" i="67" s="1"/>
  <c r="U65" i="67" s="1"/>
  <c r="H64" i="67"/>
  <c r="T64" i="67" s="1"/>
  <c r="U64" i="67" s="1"/>
  <c r="H63" i="67"/>
  <c r="T63" i="67" s="1"/>
  <c r="U63" i="67" s="1"/>
  <c r="H62" i="67"/>
  <c r="T62" i="67" s="1"/>
  <c r="U62" i="67" s="1"/>
  <c r="H61" i="67"/>
  <c r="T61" i="67" s="1"/>
  <c r="U61" i="67" s="1"/>
  <c r="H60" i="67"/>
  <c r="T60" i="67" s="1"/>
  <c r="U60" i="67" s="1"/>
  <c r="H59" i="67"/>
  <c r="T59" i="67" s="1"/>
  <c r="U59" i="67" s="1"/>
  <c r="H58" i="67"/>
  <c r="T58" i="67" s="1"/>
  <c r="U58" i="67" s="1"/>
  <c r="H65" i="69"/>
  <c r="T65" i="69" s="1"/>
  <c r="U65" i="69" s="1"/>
  <c r="H64" i="69"/>
  <c r="T64" i="69" s="1"/>
  <c r="U64" i="69" s="1"/>
  <c r="H63" i="69"/>
  <c r="T63" i="69" s="1"/>
  <c r="U63" i="69" s="1"/>
  <c r="H62" i="69"/>
  <c r="T62" i="69" s="1"/>
  <c r="U62" i="69" s="1"/>
  <c r="H61" i="69"/>
  <c r="T61" i="69" s="1"/>
  <c r="U61" i="69" s="1"/>
  <c r="H60" i="69"/>
  <c r="T60" i="69" s="1"/>
  <c r="U60" i="69" s="1"/>
  <c r="H59" i="69"/>
  <c r="T59" i="69" s="1"/>
  <c r="U59" i="69" s="1"/>
  <c r="H58" i="69"/>
  <c r="T58" i="69" s="1"/>
  <c r="U58" i="69" s="1"/>
  <c r="H65" i="70"/>
  <c r="T65" i="70" s="1"/>
  <c r="U65" i="70" s="1"/>
  <c r="H64" i="70"/>
  <c r="T64" i="70" s="1"/>
  <c r="U64" i="70" s="1"/>
  <c r="H63" i="70"/>
  <c r="T63" i="70" s="1"/>
  <c r="U63" i="70" s="1"/>
  <c r="H62" i="70"/>
  <c r="T62" i="70" s="1"/>
  <c r="U62" i="70" s="1"/>
  <c r="H61" i="70"/>
  <c r="T61" i="70" s="1"/>
  <c r="U61" i="70" s="1"/>
  <c r="H60" i="70"/>
  <c r="T60" i="70" s="1"/>
  <c r="U60" i="70" s="1"/>
  <c r="H59" i="70"/>
  <c r="T59" i="70" s="1"/>
  <c r="U59" i="70" s="1"/>
  <c r="H58" i="70"/>
  <c r="T58" i="70" s="1"/>
  <c r="U58" i="70" s="1"/>
  <c r="H65" i="71"/>
  <c r="T65" i="71" s="1"/>
  <c r="U65" i="71" s="1"/>
  <c r="H64" i="71"/>
  <c r="T64" i="71" s="1"/>
  <c r="U64" i="71" s="1"/>
  <c r="H63" i="71"/>
  <c r="T63" i="71" s="1"/>
  <c r="U63" i="71" s="1"/>
  <c r="H62" i="71"/>
  <c r="T62" i="71" s="1"/>
  <c r="U62" i="71" s="1"/>
  <c r="H61" i="71"/>
  <c r="T61" i="71" s="1"/>
  <c r="U61" i="71" s="1"/>
  <c r="H60" i="71"/>
  <c r="T60" i="71" s="1"/>
  <c r="U60" i="71" s="1"/>
  <c r="H59" i="71"/>
  <c r="T59" i="71" s="1"/>
  <c r="U59" i="71" s="1"/>
  <c r="H58" i="71"/>
  <c r="T58" i="71" s="1"/>
  <c r="U58" i="71" s="1"/>
  <c r="H65" i="68"/>
  <c r="T65" i="68" s="1"/>
  <c r="U65" i="68" s="1"/>
  <c r="H64" i="68"/>
  <c r="T64" i="68" s="1"/>
  <c r="U64" i="68" s="1"/>
  <c r="H63" i="68"/>
  <c r="T63" i="68" s="1"/>
  <c r="U63" i="68" s="1"/>
  <c r="H62" i="68"/>
  <c r="T62" i="68" s="1"/>
  <c r="U62" i="68" s="1"/>
  <c r="H61" i="68"/>
  <c r="T61" i="68" s="1"/>
  <c r="U61" i="68" s="1"/>
  <c r="H60" i="68"/>
  <c r="T60" i="68" s="1"/>
  <c r="U60" i="68" s="1"/>
  <c r="H59" i="68"/>
  <c r="T59" i="68" s="1"/>
  <c r="U59" i="68" s="1"/>
  <c r="H58" i="68"/>
  <c r="T58" i="68" s="1"/>
  <c r="U58" i="68" s="1"/>
  <c r="H65" i="77"/>
  <c r="T65" i="77" s="1"/>
  <c r="U65" i="77" s="1"/>
  <c r="H64" i="77"/>
  <c r="T64" i="77" s="1"/>
  <c r="U64" i="77" s="1"/>
  <c r="H63" i="77"/>
  <c r="T63" i="77" s="1"/>
  <c r="U63" i="77" s="1"/>
  <c r="H62" i="77"/>
  <c r="T62" i="77" s="1"/>
  <c r="U62" i="77" s="1"/>
  <c r="H61" i="77"/>
  <c r="T61" i="77" s="1"/>
  <c r="U61" i="77" s="1"/>
  <c r="H60" i="77"/>
  <c r="T60" i="77" s="1"/>
  <c r="U60" i="77" s="1"/>
  <c r="H59" i="77"/>
  <c r="T59" i="77" s="1"/>
  <c r="U59" i="77" s="1"/>
  <c r="H58" i="77"/>
  <c r="T58" i="77" s="1"/>
  <c r="U58" i="77" s="1"/>
  <c r="H65" i="78"/>
  <c r="T65" i="78" s="1"/>
  <c r="U65" i="78" s="1"/>
  <c r="H64" i="78"/>
  <c r="T64" i="78" s="1"/>
  <c r="U64" i="78" s="1"/>
  <c r="H63" i="78"/>
  <c r="T63" i="78" s="1"/>
  <c r="U63" i="78" s="1"/>
  <c r="H62" i="78"/>
  <c r="T62" i="78" s="1"/>
  <c r="U62" i="78" s="1"/>
  <c r="H61" i="78"/>
  <c r="T61" i="78" s="1"/>
  <c r="U61" i="78" s="1"/>
  <c r="H60" i="78"/>
  <c r="T60" i="78" s="1"/>
  <c r="U60" i="78" s="1"/>
  <c r="H59" i="78"/>
  <c r="T59" i="78" s="1"/>
  <c r="U59" i="78" s="1"/>
  <c r="H58" i="78"/>
  <c r="T58" i="78" s="1"/>
  <c r="U58" i="78" s="1"/>
  <c r="H65" i="30"/>
  <c r="T65" i="30" s="1"/>
  <c r="U65" i="30" s="1"/>
  <c r="H64" i="30"/>
  <c r="T64" i="30" s="1"/>
  <c r="U64" i="30" s="1"/>
  <c r="H63" i="30"/>
  <c r="T63" i="30" s="1"/>
  <c r="U63" i="30" s="1"/>
  <c r="H62" i="30"/>
  <c r="T62" i="30" s="1"/>
  <c r="U62" i="30" s="1"/>
  <c r="H61" i="30"/>
  <c r="T61" i="30" s="1"/>
  <c r="U61" i="30" s="1"/>
  <c r="H60" i="30"/>
  <c r="T60" i="30" s="1"/>
  <c r="U60" i="30" s="1"/>
  <c r="H59" i="30"/>
  <c r="T59" i="30" s="1"/>
  <c r="U59" i="30" s="1"/>
  <c r="H58" i="30"/>
  <c r="T58" i="30" s="1"/>
  <c r="U58" i="30" s="1"/>
  <c r="H57" i="16"/>
  <c r="T57" i="16" s="1"/>
  <c r="U57" i="16" s="1"/>
  <c r="H57" i="17"/>
  <c r="T57" i="17" s="1"/>
  <c r="U57" i="17" s="1"/>
  <c r="H57" i="18"/>
  <c r="T57" i="18" s="1"/>
  <c r="U57" i="18" s="1"/>
  <c r="H57" i="20"/>
  <c r="T57" i="20" s="1"/>
  <c r="U57" i="20" s="1"/>
  <c r="H57" i="21"/>
  <c r="T57" i="21" s="1"/>
  <c r="U57" i="21" s="1"/>
  <c r="H57" i="25"/>
  <c r="T57" i="25" s="1"/>
  <c r="U57" i="25" s="1"/>
  <c r="H57" i="24"/>
  <c r="T57" i="24" s="1"/>
  <c r="U57" i="24" s="1"/>
  <c r="H57" i="22"/>
  <c r="T57" i="22" s="1"/>
  <c r="H57" i="26"/>
  <c r="T57" i="26" s="1"/>
  <c r="U57" i="26" s="1"/>
  <c r="H57" i="27"/>
  <c r="T57" i="27" s="1"/>
  <c r="H57" i="28"/>
  <c r="T57" i="28" s="1"/>
  <c r="U57" i="28" s="1"/>
  <c r="H57" i="31"/>
  <c r="T57" i="31" s="1"/>
  <c r="U57" i="31" s="1"/>
  <c r="H57" i="32"/>
  <c r="T57" i="32" s="1"/>
  <c r="U57" i="32" s="1"/>
  <c r="H57" i="33"/>
  <c r="T57" i="33" s="1"/>
  <c r="U57" i="33" s="1"/>
  <c r="H57" i="34"/>
  <c r="T57" i="34" s="1"/>
  <c r="U57" i="34" s="1"/>
  <c r="H57" i="35"/>
  <c r="T57" i="35" s="1"/>
  <c r="U57" i="35" s="1"/>
  <c r="H57" i="23"/>
  <c r="T57" i="23" s="1"/>
  <c r="U57" i="23" s="1"/>
  <c r="H57" i="36"/>
  <c r="T57" i="36" s="1"/>
  <c r="U57" i="36" s="1"/>
  <c r="H57" i="37"/>
  <c r="T57" i="37" s="1"/>
  <c r="U57" i="37" s="1"/>
  <c r="H57" i="38"/>
  <c r="T57" i="38" s="1"/>
  <c r="H57" i="39"/>
  <c r="T57" i="39" s="1"/>
  <c r="U57" i="39" s="1"/>
  <c r="H57" i="40"/>
  <c r="T57" i="40" s="1"/>
  <c r="U57" i="40" s="1"/>
  <c r="H57" i="42"/>
  <c r="T57" i="42" s="1"/>
  <c r="U57" i="42" s="1"/>
  <c r="H57" i="43"/>
  <c r="T57" i="43" s="1"/>
  <c r="U57" i="43" s="1"/>
  <c r="H57" i="44"/>
  <c r="T57" i="44" s="1"/>
  <c r="U57" i="44" s="1"/>
  <c r="H57" i="45"/>
  <c r="T57" i="45" s="1"/>
  <c r="U57" i="45" s="1"/>
  <c r="H57" i="47"/>
  <c r="T57" i="47" s="1"/>
  <c r="U57" i="47" s="1"/>
  <c r="H57" i="48"/>
  <c r="T57" i="48" s="1"/>
  <c r="U57" i="48" s="1"/>
  <c r="H57" i="50"/>
  <c r="T57" i="50" s="1"/>
  <c r="U57" i="50" s="1"/>
  <c r="H57" i="51"/>
  <c r="T57" i="51" s="1"/>
  <c r="U57" i="51" s="1"/>
  <c r="H57" i="52"/>
  <c r="T57" i="52" s="1"/>
  <c r="U57" i="52" s="1"/>
  <c r="H57" i="75"/>
  <c r="T57" i="75" s="1"/>
  <c r="U57" i="75" s="1"/>
  <c r="H57" i="76"/>
  <c r="T57" i="76" s="1"/>
  <c r="U57" i="76" s="1"/>
  <c r="H57" i="55"/>
  <c r="T57" i="55" s="1"/>
  <c r="U57" i="55" s="1"/>
  <c r="H57" i="56"/>
  <c r="T57" i="56" s="1"/>
  <c r="U57" i="56" s="1"/>
  <c r="H57" i="57"/>
  <c r="T57" i="57" s="1"/>
  <c r="U57" i="57" s="1"/>
  <c r="H57" i="58"/>
  <c r="T57" i="58" s="1"/>
  <c r="U57" i="58" s="1"/>
  <c r="H57" i="66"/>
  <c r="T57" i="66" s="1"/>
  <c r="U57" i="66" s="1"/>
  <c r="H57" i="67"/>
  <c r="T57" i="67" s="1"/>
  <c r="U57" i="67" s="1"/>
  <c r="H57" i="69"/>
  <c r="T57" i="69" s="1"/>
  <c r="U57" i="69" s="1"/>
  <c r="H57" i="70"/>
  <c r="T57" i="70" s="1"/>
  <c r="U57" i="70" s="1"/>
  <c r="H57" i="71"/>
  <c r="T57" i="71" s="1"/>
  <c r="U57" i="71" s="1"/>
  <c r="H57" i="68"/>
  <c r="T57" i="68" s="1"/>
  <c r="U57" i="68" s="1"/>
  <c r="H57" i="77"/>
  <c r="T57" i="77" s="1"/>
  <c r="U57" i="77" s="1"/>
  <c r="H57" i="78"/>
  <c r="T57" i="78" s="1"/>
  <c r="U57" i="78" s="1"/>
  <c r="H57" i="30"/>
  <c r="T57" i="30" s="1"/>
  <c r="U57" i="30" s="1"/>
  <c r="D66" i="16"/>
  <c r="C66" i="16"/>
  <c r="E62" i="16"/>
  <c r="E61" i="16"/>
  <c r="E60" i="16"/>
  <c r="E59" i="16"/>
  <c r="E58" i="16"/>
  <c r="E57" i="16"/>
  <c r="D66" i="17"/>
  <c r="E63" i="17" s="1"/>
  <c r="C66" i="17"/>
  <c r="E62" i="17"/>
  <c r="E61" i="17"/>
  <c r="E60" i="17"/>
  <c r="E59" i="17"/>
  <c r="E58" i="17"/>
  <c r="E57" i="17"/>
  <c r="D66" i="18"/>
  <c r="C66" i="18"/>
  <c r="E62" i="18"/>
  <c r="E61" i="18"/>
  <c r="E60" i="18"/>
  <c r="E58" i="18"/>
  <c r="E57" i="18"/>
  <c r="D66" i="20"/>
  <c r="C66" i="20"/>
  <c r="E65" i="20"/>
  <c r="E64" i="20"/>
  <c r="E63" i="20"/>
  <c r="E58" i="20"/>
  <c r="E57" i="20"/>
  <c r="D66" i="21"/>
  <c r="C66" i="21"/>
  <c r="E65" i="21"/>
  <c r="E64" i="21"/>
  <c r="E63" i="21"/>
  <c r="E62" i="21"/>
  <c r="D66" i="25"/>
  <c r="C66" i="25"/>
  <c r="C66" i="24"/>
  <c r="I61" i="24"/>
  <c r="I60" i="24"/>
  <c r="I58" i="24"/>
  <c r="D66" i="22"/>
  <c r="C66" i="22"/>
  <c r="D66" i="26"/>
  <c r="C66" i="26"/>
  <c r="D66" i="27"/>
  <c r="C66" i="27"/>
  <c r="D66" i="28"/>
  <c r="C66" i="28"/>
  <c r="D66" i="31"/>
  <c r="E61" i="31" s="1"/>
  <c r="C66" i="31"/>
  <c r="D66" i="32"/>
  <c r="C66" i="32"/>
  <c r="D66" i="33"/>
  <c r="C66" i="33"/>
  <c r="D66" i="34"/>
  <c r="C66" i="34"/>
  <c r="D66" i="35"/>
  <c r="C66" i="35"/>
  <c r="D66" i="23"/>
  <c r="C66" i="23"/>
  <c r="D66" i="36"/>
  <c r="C66" i="36"/>
  <c r="D66" i="37"/>
  <c r="C66" i="37"/>
  <c r="D66" i="38"/>
  <c r="C66" i="38"/>
  <c r="D66" i="39"/>
  <c r="C66" i="39"/>
  <c r="D66" i="40"/>
  <c r="C66" i="40"/>
  <c r="D66" i="42"/>
  <c r="C66" i="42"/>
  <c r="D66" i="43"/>
  <c r="C66" i="43"/>
  <c r="D66" i="44"/>
  <c r="C66" i="44"/>
  <c r="D66" i="45"/>
  <c r="C66" i="45"/>
  <c r="D66" i="47"/>
  <c r="C66" i="47"/>
  <c r="D66" i="48"/>
  <c r="D66" i="50"/>
  <c r="C66" i="50"/>
  <c r="E65" i="50"/>
  <c r="E64" i="50"/>
  <c r="E63" i="50"/>
  <c r="E59" i="50"/>
  <c r="E58" i="50"/>
  <c r="E57" i="50"/>
  <c r="D66" i="51"/>
  <c r="C66" i="51"/>
  <c r="D66" i="52"/>
  <c r="C66" i="52"/>
  <c r="D66" i="75"/>
  <c r="E57" i="75" s="1"/>
  <c r="C66" i="75"/>
  <c r="D66" i="76"/>
  <c r="C66" i="76"/>
  <c r="D66" i="55"/>
  <c r="C66" i="55"/>
  <c r="D66" i="56"/>
  <c r="C66" i="56"/>
  <c r="D66" i="57"/>
  <c r="E62" i="57" s="1"/>
  <c r="C66" i="57"/>
  <c r="D66" i="58"/>
  <c r="C66" i="58"/>
  <c r="D66" i="66"/>
  <c r="C66" i="66"/>
  <c r="D66" i="67"/>
  <c r="C66" i="67"/>
  <c r="D66" i="69"/>
  <c r="C66" i="69"/>
  <c r="D66" i="70"/>
  <c r="C66" i="70"/>
  <c r="D66" i="71"/>
  <c r="C66" i="71"/>
  <c r="D66" i="68"/>
  <c r="C66" i="68"/>
  <c r="D66" i="77"/>
  <c r="C66" i="77"/>
  <c r="D66" i="78"/>
  <c r="C66" i="78"/>
  <c r="D66" i="30"/>
  <c r="C66" i="30"/>
  <c r="D66" i="7"/>
  <c r="C66" i="7"/>
  <c r="E62" i="7"/>
  <c r="E61" i="7"/>
  <c r="E60" i="7"/>
  <c r="E59" i="7"/>
  <c r="E58" i="7"/>
  <c r="E57" i="7"/>
  <c r="D54" i="16"/>
  <c r="C54" i="16"/>
  <c r="D54" i="17"/>
  <c r="C54" i="17"/>
  <c r="D54" i="18"/>
  <c r="C54" i="18"/>
  <c r="D54" i="20"/>
  <c r="C54" i="20"/>
  <c r="D54" i="21"/>
  <c r="C54" i="21"/>
  <c r="D54" i="25"/>
  <c r="C54" i="25"/>
  <c r="D54" i="24"/>
  <c r="C54" i="24"/>
  <c r="D54" i="22"/>
  <c r="C54" i="22"/>
  <c r="D54" i="26"/>
  <c r="C54" i="26"/>
  <c r="D54" i="27"/>
  <c r="C54" i="27"/>
  <c r="D54" i="28"/>
  <c r="C54" i="28"/>
  <c r="D54" i="31"/>
  <c r="C54" i="31"/>
  <c r="D54" i="32"/>
  <c r="C54" i="32"/>
  <c r="D54" i="33"/>
  <c r="C54" i="33"/>
  <c r="D54" i="34"/>
  <c r="C54" i="34"/>
  <c r="D54" i="35"/>
  <c r="C54" i="35"/>
  <c r="D54" i="23"/>
  <c r="C54" i="23"/>
  <c r="D54" i="36"/>
  <c r="C54" i="36"/>
  <c r="D54" i="37"/>
  <c r="C54" i="37"/>
  <c r="D54" i="38"/>
  <c r="C54" i="38"/>
  <c r="D54" i="39"/>
  <c r="C54" i="39"/>
  <c r="D54" i="40"/>
  <c r="C54" i="40"/>
  <c r="D54" i="42"/>
  <c r="C54" i="42"/>
  <c r="D54" i="43"/>
  <c r="C54" i="43"/>
  <c r="D54" i="44"/>
  <c r="C54" i="44"/>
  <c r="D54" i="45"/>
  <c r="C54" i="45"/>
  <c r="D54" i="47"/>
  <c r="C54" i="47"/>
  <c r="D54" i="48"/>
  <c r="C54" i="48"/>
  <c r="D54" i="50"/>
  <c r="C54" i="50"/>
  <c r="D54" i="51"/>
  <c r="C54" i="51"/>
  <c r="D54" i="52"/>
  <c r="C54" i="52"/>
  <c r="D54" i="75"/>
  <c r="C54" i="75"/>
  <c r="D54" i="76"/>
  <c r="C54" i="76"/>
  <c r="D54" i="55"/>
  <c r="C54" i="55"/>
  <c r="D54" i="56"/>
  <c r="C54" i="56"/>
  <c r="D54" i="57"/>
  <c r="C54" i="57"/>
  <c r="D54" i="58"/>
  <c r="C54" i="58"/>
  <c r="D54" i="66"/>
  <c r="C54" i="66"/>
  <c r="D54" i="67"/>
  <c r="C54" i="67"/>
  <c r="D54" i="69"/>
  <c r="C54" i="69"/>
  <c r="D54" i="70"/>
  <c r="C54" i="70"/>
  <c r="D54" i="71"/>
  <c r="C54" i="71"/>
  <c r="D54" i="68"/>
  <c r="C54" i="68"/>
  <c r="D54" i="77"/>
  <c r="C54" i="77"/>
  <c r="D54" i="78"/>
  <c r="C54" i="78"/>
  <c r="D54" i="30"/>
  <c r="C54" i="30"/>
  <c r="D56" i="16"/>
  <c r="C56" i="16"/>
  <c r="D55" i="16"/>
  <c r="C55" i="16"/>
  <c r="D56" i="17"/>
  <c r="C56" i="17"/>
  <c r="D55" i="17"/>
  <c r="C55" i="17"/>
  <c r="D56" i="18"/>
  <c r="C56" i="18"/>
  <c r="D55" i="18"/>
  <c r="C55" i="18"/>
  <c r="D56" i="20"/>
  <c r="C56" i="20"/>
  <c r="D55" i="20"/>
  <c r="C55" i="20"/>
  <c r="D56" i="21"/>
  <c r="C56" i="21"/>
  <c r="D55" i="21"/>
  <c r="C55" i="21"/>
  <c r="D56" i="25"/>
  <c r="C56" i="25"/>
  <c r="D55" i="25"/>
  <c r="C55" i="25"/>
  <c r="D56" i="24"/>
  <c r="C56" i="24"/>
  <c r="D55" i="24"/>
  <c r="C55" i="24"/>
  <c r="D56" i="22"/>
  <c r="C56" i="22"/>
  <c r="D55" i="22"/>
  <c r="C55" i="22"/>
  <c r="D56" i="26"/>
  <c r="C56" i="26"/>
  <c r="D55" i="26"/>
  <c r="C55" i="26"/>
  <c r="D56" i="27"/>
  <c r="C56" i="27"/>
  <c r="D55" i="27"/>
  <c r="C55" i="27"/>
  <c r="D56" i="28"/>
  <c r="C56" i="28"/>
  <c r="D55" i="28"/>
  <c r="C55" i="28"/>
  <c r="D56" i="31"/>
  <c r="C56" i="31"/>
  <c r="D55" i="31"/>
  <c r="C55" i="31"/>
  <c r="D56" i="32"/>
  <c r="C56" i="32"/>
  <c r="D55" i="32"/>
  <c r="C55" i="32"/>
  <c r="D56" i="33"/>
  <c r="C56" i="33"/>
  <c r="D55" i="33"/>
  <c r="C55" i="33"/>
  <c r="D56" i="34"/>
  <c r="C56" i="34"/>
  <c r="D55" i="34"/>
  <c r="C55" i="34"/>
  <c r="D56" i="35"/>
  <c r="C56" i="35"/>
  <c r="D55" i="35"/>
  <c r="C55" i="35"/>
  <c r="D56" i="23"/>
  <c r="C56" i="23"/>
  <c r="D55" i="23"/>
  <c r="C55" i="23"/>
  <c r="D56" i="36"/>
  <c r="C56" i="36"/>
  <c r="D55" i="36"/>
  <c r="C55" i="36"/>
  <c r="D56" i="37"/>
  <c r="C56" i="37"/>
  <c r="D55" i="37"/>
  <c r="C55" i="37"/>
  <c r="D56" i="38"/>
  <c r="C56" i="38"/>
  <c r="D55" i="38"/>
  <c r="C55" i="38"/>
  <c r="D56" i="39"/>
  <c r="C56" i="39"/>
  <c r="D55" i="39"/>
  <c r="C55" i="39"/>
  <c r="D56" i="40"/>
  <c r="C56" i="40"/>
  <c r="D55" i="40"/>
  <c r="C55" i="40"/>
  <c r="D56" i="42"/>
  <c r="C56" i="42"/>
  <c r="D55" i="42"/>
  <c r="C55" i="42"/>
  <c r="D56" i="43"/>
  <c r="C56" i="43"/>
  <c r="D55" i="43"/>
  <c r="C55" i="43"/>
  <c r="D56" i="44"/>
  <c r="C56" i="44"/>
  <c r="D55" i="44"/>
  <c r="C55" i="44"/>
  <c r="D56" i="45"/>
  <c r="C56" i="45"/>
  <c r="D55" i="45"/>
  <c r="C55" i="45"/>
  <c r="D56" i="47"/>
  <c r="C56" i="47"/>
  <c r="D55" i="47"/>
  <c r="C55" i="47"/>
  <c r="D56" i="48"/>
  <c r="C56" i="48"/>
  <c r="D55" i="48"/>
  <c r="C55" i="48"/>
  <c r="D56" i="50"/>
  <c r="C56" i="50"/>
  <c r="D55" i="50"/>
  <c r="C55" i="50"/>
  <c r="D56" i="51"/>
  <c r="C56" i="51"/>
  <c r="D55" i="51"/>
  <c r="C55" i="51"/>
  <c r="D56" i="52"/>
  <c r="C56" i="52"/>
  <c r="D55" i="52"/>
  <c r="C55" i="52"/>
  <c r="D56" i="75"/>
  <c r="C56" i="75"/>
  <c r="D55" i="75"/>
  <c r="C55" i="75"/>
  <c r="D56" i="76"/>
  <c r="C56" i="76"/>
  <c r="D55" i="76"/>
  <c r="C55" i="76"/>
  <c r="D56" i="55"/>
  <c r="C56" i="55"/>
  <c r="D55" i="55"/>
  <c r="C55" i="55"/>
  <c r="D56" i="56"/>
  <c r="C56" i="56"/>
  <c r="D55" i="56"/>
  <c r="C55" i="56"/>
  <c r="D56" i="57"/>
  <c r="C56" i="57"/>
  <c r="D55" i="57"/>
  <c r="C55" i="57"/>
  <c r="D56" i="58"/>
  <c r="C56" i="58"/>
  <c r="D55" i="58"/>
  <c r="C55" i="58"/>
  <c r="D56" i="66"/>
  <c r="C56" i="66"/>
  <c r="D55" i="66"/>
  <c r="C55" i="66"/>
  <c r="D56" i="67"/>
  <c r="C56" i="67"/>
  <c r="D55" i="67"/>
  <c r="C55" i="67"/>
  <c r="D56" i="69"/>
  <c r="C56" i="69"/>
  <c r="D55" i="69"/>
  <c r="C55" i="69"/>
  <c r="D56" i="70"/>
  <c r="C56" i="70"/>
  <c r="D55" i="70"/>
  <c r="C55" i="70"/>
  <c r="D56" i="71"/>
  <c r="C56" i="71"/>
  <c r="D55" i="71"/>
  <c r="C55" i="71"/>
  <c r="D56" i="68"/>
  <c r="C56" i="68"/>
  <c r="D55" i="68"/>
  <c r="C55" i="68"/>
  <c r="D56" i="77"/>
  <c r="C56" i="77"/>
  <c r="D55" i="77"/>
  <c r="C55" i="77"/>
  <c r="D56" i="78"/>
  <c r="C56" i="78"/>
  <c r="D55" i="78"/>
  <c r="C55" i="78"/>
  <c r="D56" i="30"/>
  <c r="C56" i="30"/>
  <c r="D55" i="30"/>
  <c r="C55" i="30"/>
  <c r="D12" i="16"/>
  <c r="D11" i="16"/>
  <c r="D10" i="16"/>
  <c r="D12" i="17"/>
  <c r="D11" i="17"/>
  <c r="D10" i="17"/>
  <c r="D12" i="18"/>
  <c r="D11" i="18"/>
  <c r="D10" i="18"/>
  <c r="D12" i="20"/>
  <c r="D11" i="20"/>
  <c r="D10" i="20"/>
  <c r="D12" i="21"/>
  <c r="D11" i="21"/>
  <c r="D10" i="21"/>
  <c r="D12" i="25"/>
  <c r="D11" i="25"/>
  <c r="D10" i="25"/>
  <c r="D12" i="24"/>
  <c r="D11" i="24"/>
  <c r="D10" i="24"/>
  <c r="D12" i="22"/>
  <c r="D11" i="22"/>
  <c r="D10" i="22"/>
  <c r="D12" i="26"/>
  <c r="D11" i="26"/>
  <c r="D10" i="26"/>
  <c r="D12" i="27"/>
  <c r="D11" i="27"/>
  <c r="D10" i="27"/>
  <c r="D12" i="28"/>
  <c r="D11" i="28"/>
  <c r="D10" i="28"/>
  <c r="D12" i="31"/>
  <c r="D11" i="31"/>
  <c r="D10" i="31"/>
  <c r="D12" i="32"/>
  <c r="D11" i="32"/>
  <c r="D10" i="32"/>
  <c r="D12" i="33"/>
  <c r="D11" i="33"/>
  <c r="D10" i="33"/>
  <c r="D12" i="34"/>
  <c r="D11" i="34"/>
  <c r="D10" i="34"/>
  <c r="D12" i="35"/>
  <c r="D11" i="35"/>
  <c r="D10" i="35"/>
  <c r="D12" i="23"/>
  <c r="D11" i="23"/>
  <c r="D10" i="23"/>
  <c r="D12" i="36"/>
  <c r="D11" i="36"/>
  <c r="D10" i="36"/>
  <c r="D12" i="37"/>
  <c r="D11" i="37"/>
  <c r="D10" i="37"/>
  <c r="D12" i="38"/>
  <c r="D11" i="38"/>
  <c r="D10" i="38"/>
  <c r="D12" i="39"/>
  <c r="D11" i="39"/>
  <c r="D10" i="39"/>
  <c r="D12" i="40"/>
  <c r="D11" i="40"/>
  <c r="D10" i="40"/>
  <c r="D12" i="42"/>
  <c r="D11" i="42"/>
  <c r="D10" i="42"/>
  <c r="D12" i="43"/>
  <c r="D11" i="43"/>
  <c r="D10" i="43"/>
  <c r="D12" i="44"/>
  <c r="D11" i="44"/>
  <c r="D10" i="44"/>
  <c r="D12" i="45"/>
  <c r="D11" i="45"/>
  <c r="D10" i="45"/>
  <c r="D12" i="47"/>
  <c r="D11" i="47"/>
  <c r="D10" i="47"/>
  <c r="D12" i="48"/>
  <c r="D11" i="48"/>
  <c r="D10" i="48"/>
  <c r="D12" i="50"/>
  <c r="D11" i="50"/>
  <c r="D10" i="50"/>
  <c r="D12" i="51"/>
  <c r="D11" i="51"/>
  <c r="D10" i="51"/>
  <c r="D12" i="52"/>
  <c r="D11" i="52"/>
  <c r="D10" i="52"/>
  <c r="D12" i="75"/>
  <c r="D11" i="75"/>
  <c r="D10" i="75"/>
  <c r="D12" i="76"/>
  <c r="D11" i="76"/>
  <c r="D10" i="76"/>
  <c r="D12" i="55"/>
  <c r="D11" i="55"/>
  <c r="D10" i="55"/>
  <c r="D12" i="56"/>
  <c r="D11" i="56"/>
  <c r="D10" i="56"/>
  <c r="D12" i="57"/>
  <c r="D11" i="57"/>
  <c r="D10" i="57"/>
  <c r="D12" i="58"/>
  <c r="D11" i="58"/>
  <c r="D10" i="58"/>
  <c r="D12" i="66"/>
  <c r="D11" i="66"/>
  <c r="D10" i="66"/>
  <c r="D12" i="67"/>
  <c r="D11" i="67"/>
  <c r="D10" i="67"/>
  <c r="D12" i="69"/>
  <c r="D11" i="69"/>
  <c r="D10" i="69"/>
  <c r="D12" i="70"/>
  <c r="D11" i="70"/>
  <c r="D10" i="70"/>
  <c r="D12" i="71"/>
  <c r="D11" i="71"/>
  <c r="D10" i="71"/>
  <c r="D12" i="68"/>
  <c r="D10" i="68"/>
  <c r="D12" i="77"/>
  <c r="D11" i="77"/>
  <c r="D10" i="77"/>
  <c r="D12" i="78"/>
  <c r="D11" i="78"/>
  <c r="D10" i="78"/>
  <c r="D12" i="30"/>
  <c r="D11" i="30"/>
  <c r="D10" i="30"/>
  <c r="C12" i="16"/>
  <c r="C11" i="16"/>
  <c r="C12" i="17"/>
  <c r="C11" i="17"/>
  <c r="C12" i="18"/>
  <c r="C11" i="18"/>
  <c r="C12" i="20"/>
  <c r="C11" i="20"/>
  <c r="C12" i="21"/>
  <c r="C11" i="21"/>
  <c r="C12" i="25"/>
  <c r="C11" i="25"/>
  <c r="C12" i="24"/>
  <c r="C11" i="24"/>
  <c r="C12" i="22"/>
  <c r="C11" i="22"/>
  <c r="C12" i="26"/>
  <c r="C11" i="26"/>
  <c r="C12" i="27"/>
  <c r="C11" i="27"/>
  <c r="C12" i="28"/>
  <c r="C11" i="28"/>
  <c r="C12" i="31"/>
  <c r="C11" i="31"/>
  <c r="C12" i="32"/>
  <c r="C11" i="32"/>
  <c r="C12" i="33"/>
  <c r="C11" i="33"/>
  <c r="C12" i="34"/>
  <c r="C11" i="34"/>
  <c r="C12" i="35"/>
  <c r="C11" i="35"/>
  <c r="C12" i="23"/>
  <c r="C11" i="23"/>
  <c r="C12" i="36"/>
  <c r="C11" i="36"/>
  <c r="C12" i="37"/>
  <c r="C11" i="37"/>
  <c r="C12" i="38"/>
  <c r="C11" i="38"/>
  <c r="C12" i="39"/>
  <c r="C11" i="39"/>
  <c r="C12" i="40"/>
  <c r="C11" i="40"/>
  <c r="C12" i="42"/>
  <c r="C11" i="42"/>
  <c r="C12" i="43"/>
  <c r="C11" i="43"/>
  <c r="C12" i="44"/>
  <c r="C11" i="44"/>
  <c r="C12" i="45"/>
  <c r="C11" i="45"/>
  <c r="C12" i="47"/>
  <c r="C11" i="47"/>
  <c r="C12" i="48"/>
  <c r="C11" i="48"/>
  <c r="C12" i="50"/>
  <c r="C11" i="50"/>
  <c r="C12" i="51"/>
  <c r="C11" i="51"/>
  <c r="C12" i="52"/>
  <c r="C11" i="52"/>
  <c r="C12" i="75"/>
  <c r="C11" i="75"/>
  <c r="C12" i="76"/>
  <c r="C11" i="76"/>
  <c r="C12" i="55"/>
  <c r="C11" i="55"/>
  <c r="C12" i="56"/>
  <c r="C11" i="56"/>
  <c r="C12" i="57"/>
  <c r="C11" i="57"/>
  <c r="C12" i="58"/>
  <c r="C11" i="58"/>
  <c r="C12" i="66"/>
  <c r="C11" i="66"/>
  <c r="C12" i="67"/>
  <c r="C11" i="67"/>
  <c r="C12" i="69"/>
  <c r="C11" i="69"/>
  <c r="C12" i="70"/>
  <c r="C11" i="70"/>
  <c r="C12" i="71"/>
  <c r="C11" i="71"/>
  <c r="C12" i="68"/>
  <c r="C12" i="77"/>
  <c r="C11" i="77"/>
  <c r="C12" i="78"/>
  <c r="C11" i="78"/>
  <c r="C12" i="30"/>
  <c r="C11" i="30"/>
  <c r="C10" i="16"/>
  <c r="C10" i="17"/>
  <c r="C10" i="18"/>
  <c r="C10" i="20"/>
  <c r="C10" i="21"/>
  <c r="C10" i="25"/>
  <c r="C10" i="24"/>
  <c r="C10" i="22"/>
  <c r="C10" i="26"/>
  <c r="C10" i="27"/>
  <c r="C10" i="28"/>
  <c r="C10" i="31"/>
  <c r="C10" i="32"/>
  <c r="C10" i="33"/>
  <c r="C10" i="34"/>
  <c r="C10" i="35"/>
  <c r="C10" i="23"/>
  <c r="C10" i="36"/>
  <c r="C10" i="37"/>
  <c r="C10" i="38"/>
  <c r="C10" i="39"/>
  <c r="C10" i="40"/>
  <c r="C10" i="42"/>
  <c r="C10" i="43"/>
  <c r="C10" i="44"/>
  <c r="C10" i="45"/>
  <c r="C10" i="47"/>
  <c r="C10" i="48"/>
  <c r="C10" i="50"/>
  <c r="C10" i="51"/>
  <c r="C10" i="52"/>
  <c r="C10" i="75"/>
  <c r="C10" i="76"/>
  <c r="C10" i="55"/>
  <c r="C10" i="56"/>
  <c r="C10" i="57"/>
  <c r="C10" i="58"/>
  <c r="C10" i="66"/>
  <c r="C10" i="67"/>
  <c r="C10" i="69"/>
  <c r="C10" i="70"/>
  <c r="C10" i="71"/>
  <c r="C10" i="68"/>
  <c r="C10" i="77"/>
  <c r="C10" i="78"/>
  <c r="C10" i="30"/>
  <c r="E65" i="18" l="1"/>
  <c r="E64" i="18"/>
  <c r="E63" i="18"/>
  <c r="I63" i="18" s="1"/>
  <c r="E62" i="50"/>
  <c r="I62" i="50" s="1"/>
  <c r="E61" i="50"/>
  <c r="I61" i="50" s="1"/>
  <c r="E60" i="50"/>
  <c r="I60" i="50" s="1"/>
  <c r="E61" i="20"/>
  <c r="I61" i="20" s="1"/>
  <c r="E60" i="20"/>
  <c r="I60" i="20" s="1"/>
  <c r="E59" i="20"/>
  <c r="E62" i="20"/>
  <c r="I62" i="20" s="1"/>
  <c r="I58" i="17"/>
  <c r="I65" i="18"/>
  <c r="I59" i="50"/>
  <c r="I59" i="17"/>
  <c r="I65" i="20"/>
  <c r="E65" i="7"/>
  <c r="I65" i="7" s="1"/>
  <c r="E63" i="7"/>
  <c r="I59" i="16"/>
  <c r="E65" i="16"/>
  <c r="E64" i="16"/>
  <c r="I57" i="20"/>
  <c r="I64" i="18"/>
  <c r="E58" i="43"/>
  <c r="I58" i="43" s="1"/>
  <c r="E57" i="43"/>
  <c r="I57" i="43" s="1"/>
  <c r="E65" i="43"/>
  <c r="I65" i="43" s="1"/>
  <c r="E60" i="43"/>
  <c r="I60" i="43" s="1"/>
  <c r="E64" i="43"/>
  <c r="I64" i="43" s="1"/>
  <c r="E63" i="43"/>
  <c r="I63" i="43" s="1"/>
  <c r="E62" i="43"/>
  <c r="I62" i="43" s="1"/>
  <c r="E61" i="43"/>
  <c r="I61" i="43" s="1"/>
  <c r="E59" i="43"/>
  <c r="I59" i="43" s="1"/>
  <c r="E64" i="7"/>
  <c r="E62" i="23"/>
  <c r="I62" i="23" s="1"/>
  <c r="E59" i="23"/>
  <c r="I59" i="23" s="1"/>
  <c r="E61" i="23"/>
  <c r="I61" i="23" s="1"/>
  <c r="E60" i="23"/>
  <c r="I60" i="23" s="1"/>
  <c r="E58" i="23"/>
  <c r="I58" i="23" s="1"/>
  <c r="E57" i="23"/>
  <c r="I57" i="23" s="1"/>
  <c r="E64" i="23"/>
  <c r="I64" i="23" s="1"/>
  <c r="E65" i="23"/>
  <c r="I65" i="23" s="1"/>
  <c r="E63" i="23"/>
  <c r="I63" i="23" s="1"/>
  <c r="E62" i="28"/>
  <c r="I62" i="28" s="1"/>
  <c r="E59" i="28"/>
  <c r="I59" i="28" s="1"/>
  <c r="E61" i="28"/>
  <c r="I61" i="28" s="1"/>
  <c r="E60" i="28"/>
  <c r="I60" i="28" s="1"/>
  <c r="E58" i="28"/>
  <c r="I58" i="28" s="1"/>
  <c r="E57" i="28"/>
  <c r="I57" i="28" s="1"/>
  <c r="E64" i="28"/>
  <c r="I64" i="28" s="1"/>
  <c r="E65" i="28"/>
  <c r="I65" i="28" s="1"/>
  <c r="E63" i="28"/>
  <c r="I63" i="28" s="1"/>
  <c r="E65" i="22"/>
  <c r="I65" i="22" s="1"/>
  <c r="E64" i="22"/>
  <c r="I64" i="22" s="1"/>
  <c r="E58" i="22"/>
  <c r="E63" i="22"/>
  <c r="I63" i="22" s="1"/>
  <c r="E62" i="22"/>
  <c r="I62" i="22" s="1"/>
  <c r="E61" i="22"/>
  <c r="I61" i="22" s="1"/>
  <c r="E60" i="22"/>
  <c r="I60" i="22" s="1"/>
  <c r="E59" i="22"/>
  <c r="I59" i="22" s="1"/>
  <c r="E57" i="22"/>
  <c r="I57" i="22" s="1"/>
  <c r="E62" i="77"/>
  <c r="I62" i="77" s="1"/>
  <c r="E61" i="77"/>
  <c r="I61" i="77" s="1"/>
  <c r="E59" i="77"/>
  <c r="I59" i="77" s="1"/>
  <c r="E60" i="77"/>
  <c r="I60" i="77" s="1"/>
  <c r="E58" i="77"/>
  <c r="I58" i="77" s="1"/>
  <c r="E57" i="77"/>
  <c r="I57" i="77" s="1"/>
  <c r="E64" i="77"/>
  <c r="I64" i="77" s="1"/>
  <c r="E65" i="77"/>
  <c r="I65" i="77" s="1"/>
  <c r="E63" i="77"/>
  <c r="I63" i="77" s="1"/>
  <c r="E63" i="70"/>
  <c r="I63" i="70" s="1"/>
  <c r="E65" i="70"/>
  <c r="E64" i="70"/>
  <c r="I64" i="70" s="1"/>
  <c r="E62" i="70"/>
  <c r="I62" i="70" s="1"/>
  <c r="E61" i="70"/>
  <c r="I61" i="70" s="1"/>
  <c r="E60" i="70"/>
  <c r="I60" i="70" s="1"/>
  <c r="E59" i="70"/>
  <c r="I59" i="70" s="1"/>
  <c r="E58" i="70"/>
  <c r="I58" i="70" s="1"/>
  <c r="E57" i="70"/>
  <c r="I57" i="70" s="1"/>
  <c r="E58" i="57"/>
  <c r="I58" i="57" s="1"/>
  <c r="E57" i="57"/>
  <c r="E60" i="57"/>
  <c r="I60" i="57" s="1"/>
  <c r="E65" i="57"/>
  <c r="I65" i="57" s="1"/>
  <c r="E64" i="57"/>
  <c r="I64" i="57" s="1"/>
  <c r="E63" i="57"/>
  <c r="I63" i="57" s="1"/>
  <c r="E61" i="57"/>
  <c r="I61" i="57" s="1"/>
  <c r="E59" i="57"/>
  <c r="I59" i="57" s="1"/>
  <c r="E65" i="51"/>
  <c r="I65" i="51" s="1"/>
  <c r="E64" i="51"/>
  <c r="I64" i="51" s="1"/>
  <c r="E63" i="51"/>
  <c r="I63" i="51" s="1"/>
  <c r="E62" i="51"/>
  <c r="I62" i="51" s="1"/>
  <c r="E61" i="51"/>
  <c r="I61" i="51" s="1"/>
  <c r="E60" i="51"/>
  <c r="I60" i="51" s="1"/>
  <c r="E59" i="51"/>
  <c r="I59" i="51" s="1"/>
  <c r="E58" i="51"/>
  <c r="I58" i="51" s="1"/>
  <c r="E57" i="51"/>
  <c r="I57" i="51" s="1"/>
  <c r="E64" i="33"/>
  <c r="I64" i="33" s="1"/>
  <c r="E63" i="33"/>
  <c r="I63" i="33" s="1"/>
  <c r="E62" i="33"/>
  <c r="I62" i="33" s="1"/>
  <c r="E61" i="33"/>
  <c r="I61" i="33" s="1"/>
  <c r="E60" i="33"/>
  <c r="I60" i="33" s="1"/>
  <c r="E58" i="33"/>
  <c r="I58" i="33" s="1"/>
  <c r="E59" i="33"/>
  <c r="E57" i="33"/>
  <c r="I57" i="33" s="1"/>
  <c r="E65" i="33"/>
  <c r="I65" i="33" s="1"/>
  <c r="E59" i="21"/>
  <c r="E58" i="21"/>
  <c r="I58" i="21" s="1"/>
  <c r="E57" i="21"/>
  <c r="I57" i="21" s="1"/>
  <c r="E61" i="21"/>
  <c r="I61" i="21" s="1"/>
  <c r="E60" i="21"/>
  <c r="I60" i="21" s="1"/>
  <c r="E62" i="76"/>
  <c r="I62" i="76" s="1"/>
  <c r="E61" i="76"/>
  <c r="I61" i="76" s="1"/>
  <c r="E60" i="76"/>
  <c r="I60" i="76" s="1"/>
  <c r="E58" i="76"/>
  <c r="I58" i="76" s="1"/>
  <c r="E57" i="76"/>
  <c r="I57" i="76" s="1"/>
  <c r="E64" i="76"/>
  <c r="I64" i="76" s="1"/>
  <c r="E65" i="76"/>
  <c r="I65" i="76" s="1"/>
  <c r="E63" i="76"/>
  <c r="I63" i="76" s="1"/>
  <c r="E59" i="76"/>
  <c r="I59" i="76" s="1"/>
  <c r="E62" i="45"/>
  <c r="I62" i="45" s="1"/>
  <c r="E61" i="45"/>
  <c r="I61" i="45" s="1"/>
  <c r="E60" i="45"/>
  <c r="I60" i="45" s="1"/>
  <c r="E58" i="45"/>
  <c r="I58" i="45" s="1"/>
  <c r="E57" i="45"/>
  <c r="I57" i="45" s="1"/>
  <c r="E64" i="45"/>
  <c r="I64" i="45" s="1"/>
  <c r="E65" i="45"/>
  <c r="I65" i="45" s="1"/>
  <c r="E63" i="45"/>
  <c r="I63" i="45" s="1"/>
  <c r="E59" i="45"/>
  <c r="I59" i="45" s="1"/>
  <c r="E65" i="42"/>
  <c r="I65" i="42" s="1"/>
  <c r="E64" i="42"/>
  <c r="I64" i="42" s="1"/>
  <c r="E63" i="42"/>
  <c r="I63" i="42" s="1"/>
  <c r="E62" i="42"/>
  <c r="I62" i="42" s="1"/>
  <c r="E61" i="42"/>
  <c r="I61" i="42" s="1"/>
  <c r="E60" i="42"/>
  <c r="I60" i="42" s="1"/>
  <c r="E58" i="42"/>
  <c r="I58" i="42" s="1"/>
  <c r="E59" i="42"/>
  <c r="I59" i="42" s="1"/>
  <c r="E57" i="42"/>
  <c r="I57" i="42" s="1"/>
  <c r="E61" i="66"/>
  <c r="I61" i="66" s="1"/>
  <c r="E60" i="66"/>
  <c r="I60" i="66" s="1"/>
  <c r="E59" i="66"/>
  <c r="I59" i="66" s="1"/>
  <c r="E57" i="66"/>
  <c r="E65" i="66"/>
  <c r="I65" i="66" s="1"/>
  <c r="E64" i="66"/>
  <c r="I64" i="66" s="1"/>
  <c r="E63" i="66"/>
  <c r="E62" i="66"/>
  <c r="I62" i="66" s="1"/>
  <c r="E58" i="66"/>
  <c r="I58" i="66" s="1"/>
  <c r="E65" i="37"/>
  <c r="I65" i="37" s="1"/>
  <c r="E64" i="37"/>
  <c r="I64" i="37" s="1"/>
  <c r="E62" i="37"/>
  <c r="I62" i="37" s="1"/>
  <c r="E61" i="37"/>
  <c r="I61" i="37" s="1"/>
  <c r="E60" i="37"/>
  <c r="I60" i="37" s="1"/>
  <c r="E59" i="37"/>
  <c r="I59" i="37" s="1"/>
  <c r="E58" i="37"/>
  <c r="I58" i="37" s="1"/>
  <c r="E57" i="37"/>
  <c r="E63" i="37"/>
  <c r="I63" i="37" s="1"/>
  <c r="E57" i="48"/>
  <c r="I57" i="48" s="1"/>
  <c r="E65" i="48"/>
  <c r="I65" i="48" s="1"/>
  <c r="E64" i="48"/>
  <c r="I64" i="48" s="1"/>
  <c r="E63" i="48"/>
  <c r="I63" i="48" s="1"/>
  <c r="E62" i="48"/>
  <c r="I62" i="48" s="1"/>
  <c r="E58" i="48"/>
  <c r="I58" i="48" s="1"/>
  <c r="E61" i="48"/>
  <c r="I61" i="48" s="1"/>
  <c r="E60" i="48"/>
  <c r="I60" i="48" s="1"/>
  <c r="E59" i="48"/>
  <c r="I59" i="48" s="1"/>
  <c r="E61" i="27"/>
  <c r="I61" i="27" s="1"/>
  <c r="E60" i="27"/>
  <c r="I60" i="27" s="1"/>
  <c r="E59" i="27"/>
  <c r="I59" i="27" s="1"/>
  <c r="E58" i="27"/>
  <c r="I58" i="27" s="1"/>
  <c r="E57" i="27"/>
  <c r="E65" i="27"/>
  <c r="I65" i="27" s="1"/>
  <c r="E64" i="27"/>
  <c r="I64" i="27" s="1"/>
  <c r="E63" i="27"/>
  <c r="I63" i="27" s="1"/>
  <c r="E62" i="27"/>
  <c r="I62" i="27" s="1"/>
  <c r="E60" i="68"/>
  <c r="I60" i="68" s="1"/>
  <c r="E57" i="68"/>
  <c r="I57" i="68" s="1"/>
  <c r="E59" i="68"/>
  <c r="I59" i="68" s="1"/>
  <c r="E58" i="68"/>
  <c r="I58" i="68" s="1"/>
  <c r="E62" i="68"/>
  <c r="I62" i="68" s="1"/>
  <c r="E65" i="68"/>
  <c r="I65" i="68" s="1"/>
  <c r="E64" i="68"/>
  <c r="I64" i="68" s="1"/>
  <c r="E63" i="68"/>
  <c r="I63" i="68" s="1"/>
  <c r="E61" i="68"/>
  <c r="I61" i="68" s="1"/>
  <c r="E65" i="69"/>
  <c r="I65" i="69" s="1"/>
  <c r="E64" i="69"/>
  <c r="I64" i="69" s="1"/>
  <c r="E62" i="69"/>
  <c r="I62" i="69" s="1"/>
  <c r="E63" i="69"/>
  <c r="I63" i="69" s="1"/>
  <c r="E61" i="69"/>
  <c r="I61" i="69" s="1"/>
  <c r="E60" i="69"/>
  <c r="I60" i="69" s="1"/>
  <c r="E59" i="69"/>
  <c r="I59" i="69" s="1"/>
  <c r="E58" i="69"/>
  <c r="I58" i="69" s="1"/>
  <c r="E57" i="69"/>
  <c r="I57" i="69" s="1"/>
  <c r="E64" i="56"/>
  <c r="I64" i="56" s="1"/>
  <c r="E65" i="56"/>
  <c r="I65" i="56" s="1"/>
  <c r="E63" i="56"/>
  <c r="I63" i="56" s="1"/>
  <c r="E62" i="56"/>
  <c r="I62" i="56" s="1"/>
  <c r="E61" i="56"/>
  <c r="I61" i="56" s="1"/>
  <c r="E60" i="56"/>
  <c r="I60" i="56" s="1"/>
  <c r="E59" i="56"/>
  <c r="I59" i="56" s="1"/>
  <c r="E58" i="56"/>
  <c r="I58" i="56" s="1"/>
  <c r="E57" i="56"/>
  <c r="I57" i="56" s="1"/>
  <c r="E60" i="75"/>
  <c r="I60" i="75" s="1"/>
  <c r="I57" i="75"/>
  <c r="E59" i="75"/>
  <c r="I59" i="75" s="1"/>
  <c r="E58" i="75"/>
  <c r="E62" i="75"/>
  <c r="I62" i="75" s="1"/>
  <c r="E65" i="75"/>
  <c r="I65" i="75" s="1"/>
  <c r="E64" i="75"/>
  <c r="I64" i="75" s="1"/>
  <c r="E63" i="75"/>
  <c r="I63" i="75" s="1"/>
  <c r="E61" i="75"/>
  <c r="I61" i="75" s="1"/>
  <c r="E65" i="40"/>
  <c r="I65" i="40" s="1"/>
  <c r="E64" i="40"/>
  <c r="I64" i="40" s="1"/>
  <c r="E63" i="40"/>
  <c r="I63" i="40" s="1"/>
  <c r="E62" i="40"/>
  <c r="I62" i="40" s="1"/>
  <c r="E61" i="40"/>
  <c r="E60" i="40"/>
  <c r="I60" i="40" s="1"/>
  <c r="E59" i="40"/>
  <c r="I59" i="40" s="1"/>
  <c r="E58" i="40"/>
  <c r="I58" i="40" s="1"/>
  <c r="E57" i="40"/>
  <c r="I57" i="40" s="1"/>
  <c r="E60" i="35"/>
  <c r="I60" i="35" s="1"/>
  <c r="E59" i="35"/>
  <c r="I59" i="35" s="1"/>
  <c r="E58" i="35"/>
  <c r="I58" i="35" s="1"/>
  <c r="E57" i="35"/>
  <c r="I57" i="35" s="1"/>
  <c r="E62" i="35"/>
  <c r="I62" i="35" s="1"/>
  <c r="E65" i="35"/>
  <c r="I65" i="35" s="1"/>
  <c r="E64" i="35"/>
  <c r="I64" i="35" s="1"/>
  <c r="E63" i="35"/>
  <c r="I63" i="35" s="1"/>
  <c r="E61" i="35"/>
  <c r="I61" i="35" s="1"/>
  <c r="E65" i="30"/>
  <c r="I65" i="30" s="1"/>
  <c r="E64" i="30"/>
  <c r="I64" i="30" s="1"/>
  <c r="E63" i="30"/>
  <c r="I63" i="30" s="1"/>
  <c r="E62" i="30"/>
  <c r="I62" i="30" s="1"/>
  <c r="E61" i="30"/>
  <c r="I61" i="30" s="1"/>
  <c r="E57" i="30"/>
  <c r="I57" i="30" s="1"/>
  <c r="E60" i="30"/>
  <c r="I60" i="30" s="1"/>
  <c r="E59" i="30"/>
  <c r="I59" i="30" s="1"/>
  <c r="E58" i="30"/>
  <c r="I58" i="30" s="1"/>
  <c r="E64" i="36"/>
  <c r="I64" i="36" s="1"/>
  <c r="E63" i="36"/>
  <c r="I63" i="36" s="1"/>
  <c r="E61" i="36"/>
  <c r="I61" i="36" s="1"/>
  <c r="E62" i="36"/>
  <c r="I62" i="36" s="1"/>
  <c r="E60" i="36"/>
  <c r="I60" i="36" s="1"/>
  <c r="E59" i="36"/>
  <c r="I59" i="36" s="1"/>
  <c r="E58" i="36"/>
  <c r="I58" i="36" s="1"/>
  <c r="E57" i="36"/>
  <c r="I57" i="36" s="1"/>
  <c r="E65" i="36"/>
  <c r="I65" i="36" s="1"/>
  <c r="E65" i="32"/>
  <c r="I65" i="32" s="1"/>
  <c r="E63" i="32"/>
  <c r="I63" i="32" s="1"/>
  <c r="E64" i="32"/>
  <c r="I64" i="32" s="1"/>
  <c r="E62" i="32"/>
  <c r="I62" i="32" s="1"/>
  <c r="E61" i="32"/>
  <c r="I61" i="32" s="1"/>
  <c r="E60" i="32"/>
  <c r="I60" i="32" s="1"/>
  <c r="E59" i="32"/>
  <c r="I59" i="32" s="1"/>
  <c r="E58" i="32"/>
  <c r="I58" i="32" s="1"/>
  <c r="E57" i="32"/>
  <c r="I57" i="32" s="1"/>
  <c r="E65" i="25"/>
  <c r="I65" i="25" s="1"/>
  <c r="E62" i="25"/>
  <c r="I62" i="25" s="1"/>
  <c r="E64" i="25"/>
  <c r="I64" i="25" s="1"/>
  <c r="E63" i="25"/>
  <c r="I63" i="25" s="1"/>
  <c r="E61" i="25"/>
  <c r="I61" i="25" s="1"/>
  <c r="E60" i="25"/>
  <c r="I60" i="25" s="1"/>
  <c r="E59" i="25"/>
  <c r="I59" i="25" s="1"/>
  <c r="E58" i="25"/>
  <c r="E57" i="25"/>
  <c r="I57" i="25" s="1"/>
  <c r="E60" i="44"/>
  <c r="I60" i="44" s="1"/>
  <c r="E59" i="44"/>
  <c r="I59" i="44" s="1"/>
  <c r="E57" i="44"/>
  <c r="I57" i="44" s="1"/>
  <c r="E58" i="44"/>
  <c r="I58" i="44" s="1"/>
  <c r="E65" i="44"/>
  <c r="I65" i="44" s="1"/>
  <c r="E64" i="44"/>
  <c r="I64" i="44" s="1"/>
  <c r="E63" i="44"/>
  <c r="I63" i="44" s="1"/>
  <c r="E62" i="44"/>
  <c r="I62" i="44" s="1"/>
  <c r="E61" i="44"/>
  <c r="I61" i="44" s="1"/>
  <c r="E58" i="52"/>
  <c r="I58" i="52" s="1"/>
  <c r="E57" i="52"/>
  <c r="E65" i="52"/>
  <c r="I65" i="52" s="1"/>
  <c r="E64" i="52"/>
  <c r="I64" i="52" s="1"/>
  <c r="E63" i="52"/>
  <c r="I63" i="52" s="1"/>
  <c r="E62" i="52"/>
  <c r="I62" i="52" s="1"/>
  <c r="E60" i="52"/>
  <c r="I60" i="52" s="1"/>
  <c r="E61" i="52"/>
  <c r="I61" i="52" s="1"/>
  <c r="E59" i="52"/>
  <c r="I59" i="52" s="1"/>
  <c r="E65" i="47"/>
  <c r="I65" i="47" s="1"/>
  <c r="E62" i="47"/>
  <c r="I62" i="47" s="1"/>
  <c r="E64" i="47"/>
  <c r="I64" i="47" s="1"/>
  <c r="E63" i="47"/>
  <c r="I63" i="47" s="1"/>
  <c r="E61" i="47"/>
  <c r="I61" i="47" s="1"/>
  <c r="E60" i="47"/>
  <c r="I60" i="47" s="1"/>
  <c r="E59" i="47"/>
  <c r="I59" i="47" s="1"/>
  <c r="E58" i="47"/>
  <c r="I58" i="47" s="1"/>
  <c r="E57" i="47"/>
  <c r="I57" i="47" s="1"/>
  <c r="E65" i="39"/>
  <c r="I65" i="39" s="1"/>
  <c r="E63" i="39"/>
  <c r="I63" i="39" s="1"/>
  <c r="E62" i="39"/>
  <c r="I62" i="39" s="1"/>
  <c r="E61" i="39"/>
  <c r="I61" i="39" s="1"/>
  <c r="E60" i="39"/>
  <c r="I60" i="39" s="1"/>
  <c r="E59" i="39"/>
  <c r="I59" i="39" s="1"/>
  <c r="E58" i="39"/>
  <c r="I58" i="39" s="1"/>
  <c r="E57" i="39"/>
  <c r="E64" i="39"/>
  <c r="I64" i="39" s="1"/>
  <c r="E58" i="34"/>
  <c r="I58" i="34" s="1"/>
  <c r="E57" i="34"/>
  <c r="I57" i="34" s="1"/>
  <c r="E65" i="34"/>
  <c r="I65" i="34" s="1"/>
  <c r="E60" i="34"/>
  <c r="I60" i="34" s="1"/>
  <c r="E64" i="34"/>
  <c r="I64" i="34" s="1"/>
  <c r="E63" i="34"/>
  <c r="I63" i="34" s="1"/>
  <c r="E62" i="34"/>
  <c r="I62" i="34" s="1"/>
  <c r="E61" i="34"/>
  <c r="I61" i="34" s="1"/>
  <c r="E59" i="34"/>
  <c r="E64" i="31"/>
  <c r="I64" i="31" s="1"/>
  <c r="E63" i="31"/>
  <c r="I63" i="31" s="1"/>
  <c r="E62" i="31"/>
  <c r="I62" i="31" s="1"/>
  <c r="E60" i="31"/>
  <c r="I60" i="31" s="1"/>
  <c r="E59" i="31"/>
  <c r="I59" i="31" s="1"/>
  <c r="E58" i="31"/>
  <c r="I58" i="31" s="1"/>
  <c r="E57" i="31"/>
  <c r="I57" i="31" s="1"/>
  <c r="E65" i="31"/>
  <c r="I65" i="31" s="1"/>
  <c r="E58" i="26"/>
  <c r="I58" i="26" s="1"/>
  <c r="E57" i="26"/>
  <c r="I57" i="26" s="1"/>
  <c r="E65" i="26"/>
  <c r="I65" i="26" s="1"/>
  <c r="E64" i="26"/>
  <c r="I64" i="26" s="1"/>
  <c r="E63" i="26"/>
  <c r="I63" i="26" s="1"/>
  <c r="E62" i="26"/>
  <c r="I62" i="26" s="1"/>
  <c r="E61" i="26"/>
  <c r="E60" i="26"/>
  <c r="I60" i="26" s="1"/>
  <c r="E59" i="26"/>
  <c r="I59" i="26" s="1"/>
  <c r="E65" i="78"/>
  <c r="I65" i="78" s="1"/>
  <c r="E64" i="78"/>
  <c r="I64" i="78" s="1"/>
  <c r="E63" i="78"/>
  <c r="I63" i="78" s="1"/>
  <c r="E61" i="78"/>
  <c r="I61" i="78" s="1"/>
  <c r="E60" i="78"/>
  <c r="I60" i="78" s="1"/>
  <c r="E59" i="78"/>
  <c r="E58" i="78"/>
  <c r="I58" i="78" s="1"/>
  <c r="E57" i="78"/>
  <c r="I57" i="78" s="1"/>
  <c r="E62" i="78"/>
  <c r="I62" i="78" s="1"/>
  <c r="E57" i="71"/>
  <c r="I57" i="71" s="1"/>
  <c r="E65" i="71"/>
  <c r="I65" i="71" s="1"/>
  <c r="E64" i="71"/>
  <c r="I64" i="71" s="1"/>
  <c r="E63" i="71"/>
  <c r="I63" i="71" s="1"/>
  <c r="E62" i="71"/>
  <c r="I62" i="71" s="1"/>
  <c r="E61" i="71"/>
  <c r="I61" i="71" s="1"/>
  <c r="E60" i="71"/>
  <c r="I60" i="71" s="1"/>
  <c r="E59" i="71"/>
  <c r="I59" i="71" s="1"/>
  <c r="E58" i="71"/>
  <c r="I58" i="71" s="1"/>
  <c r="E63" i="67"/>
  <c r="I63" i="67" s="1"/>
  <c r="E60" i="67"/>
  <c r="I60" i="67" s="1"/>
  <c r="E62" i="67"/>
  <c r="I62" i="67" s="1"/>
  <c r="E61" i="67"/>
  <c r="I61" i="67" s="1"/>
  <c r="E59" i="67"/>
  <c r="I59" i="67" s="1"/>
  <c r="E58" i="67"/>
  <c r="I58" i="67" s="1"/>
  <c r="E57" i="67"/>
  <c r="I57" i="67" s="1"/>
  <c r="E65" i="67"/>
  <c r="I65" i="67" s="1"/>
  <c r="E64" i="67"/>
  <c r="I64" i="67" s="1"/>
  <c r="E59" i="58"/>
  <c r="I59" i="58" s="1"/>
  <c r="E58" i="58"/>
  <c r="I58" i="58" s="1"/>
  <c r="E57" i="58"/>
  <c r="I57" i="58" s="1"/>
  <c r="E65" i="58"/>
  <c r="I65" i="58" s="1"/>
  <c r="E64" i="58"/>
  <c r="I64" i="58" s="1"/>
  <c r="E63" i="58"/>
  <c r="I63" i="58" s="1"/>
  <c r="E62" i="58"/>
  <c r="I62" i="58" s="1"/>
  <c r="E61" i="58"/>
  <c r="I61" i="58" s="1"/>
  <c r="E60" i="58"/>
  <c r="I60" i="58" s="1"/>
  <c r="E65" i="55"/>
  <c r="I65" i="55" s="1"/>
  <c r="E64" i="55"/>
  <c r="I64" i="55" s="1"/>
  <c r="E62" i="55"/>
  <c r="I62" i="55" s="1"/>
  <c r="E63" i="55"/>
  <c r="I63" i="55" s="1"/>
  <c r="E61" i="55"/>
  <c r="I61" i="55" s="1"/>
  <c r="E60" i="55"/>
  <c r="I60" i="55" s="1"/>
  <c r="E59" i="55"/>
  <c r="I59" i="55" s="1"/>
  <c r="E58" i="55"/>
  <c r="I58" i="55" s="1"/>
  <c r="E57" i="55"/>
  <c r="I57" i="55" s="1"/>
  <c r="E60" i="38"/>
  <c r="I60" i="38" s="1"/>
  <c r="E57" i="38"/>
  <c r="I57" i="38" s="1"/>
  <c r="E62" i="38"/>
  <c r="I62" i="38" s="1"/>
  <c r="E59" i="38"/>
  <c r="I59" i="38" s="1"/>
  <c r="E58" i="38"/>
  <c r="I58" i="38" s="1"/>
  <c r="E65" i="38"/>
  <c r="I65" i="38" s="1"/>
  <c r="E64" i="38"/>
  <c r="I64" i="38" s="1"/>
  <c r="E63" i="38"/>
  <c r="I63" i="38" s="1"/>
  <c r="E61" i="38"/>
  <c r="I61" i="38" s="1"/>
  <c r="E65" i="17"/>
  <c r="I65" i="17" s="1"/>
  <c r="E64" i="17"/>
  <c r="I64" i="17" s="1"/>
  <c r="I64" i="16"/>
  <c r="E63" i="16"/>
  <c r="I63" i="16" s="1"/>
  <c r="I63" i="24"/>
  <c r="I58" i="16"/>
  <c r="I58" i="20"/>
  <c r="I60" i="7"/>
  <c r="U57" i="38"/>
  <c r="U66" i="38" s="1"/>
  <c r="U57" i="22"/>
  <c r="U66" i="22" s="1"/>
  <c r="I62" i="7"/>
  <c r="I61" i="7"/>
  <c r="I57" i="7"/>
  <c r="I58" i="7"/>
  <c r="U57" i="27"/>
  <c r="U66" i="27" s="1"/>
  <c r="I59" i="7"/>
  <c r="I65" i="70"/>
  <c r="I65" i="50"/>
  <c r="U66" i="37"/>
  <c r="U66" i="24"/>
  <c r="I60" i="18"/>
  <c r="I65" i="16"/>
  <c r="I64" i="21"/>
  <c r="I57" i="50"/>
  <c r="I59" i="18"/>
  <c r="U66" i="35"/>
  <c r="U66" i="20"/>
  <c r="I63" i="66"/>
  <c r="I63" i="17"/>
  <c r="U66" i="32"/>
  <c r="U66" i="16"/>
  <c r="I63" i="50"/>
  <c r="I63" i="21"/>
  <c r="I64" i="20"/>
  <c r="I61" i="26"/>
  <c r="I65" i="21"/>
  <c r="I58" i="18"/>
  <c r="U66" i="71"/>
  <c r="U66" i="51"/>
  <c r="U66" i="36"/>
  <c r="U66" i="25"/>
  <c r="U66" i="23"/>
  <c r="U66" i="21"/>
  <c r="U66" i="47"/>
  <c r="U66" i="34"/>
  <c r="U66" i="18"/>
  <c r="U66" i="33"/>
  <c r="U66" i="17"/>
  <c r="I62" i="21"/>
  <c r="U66" i="57"/>
  <c r="U66" i="43"/>
  <c r="U66" i="31"/>
  <c r="U66" i="28"/>
  <c r="U66" i="39"/>
  <c r="U66" i="26"/>
  <c r="U66" i="77"/>
  <c r="U66" i="75"/>
  <c r="U66" i="68"/>
  <c r="U66" i="52"/>
  <c r="U66" i="70"/>
  <c r="U66" i="50"/>
  <c r="U66" i="69"/>
  <c r="U66" i="48"/>
  <c r="U66" i="67"/>
  <c r="U66" i="66"/>
  <c r="U66" i="45"/>
  <c r="U66" i="58"/>
  <c r="U66" i="44"/>
  <c r="U66" i="56"/>
  <c r="U66" i="42"/>
  <c r="U66" i="30"/>
  <c r="U66" i="55"/>
  <c r="U66" i="40"/>
  <c r="U66" i="78"/>
  <c r="U66" i="76"/>
  <c r="I57" i="24"/>
  <c r="I59" i="20"/>
  <c r="I64" i="50"/>
  <c r="I58" i="50"/>
  <c r="I62" i="24"/>
  <c r="I61" i="17"/>
  <c r="I62" i="16"/>
  <c r="I64" i="24"/>
  <c r="I61" i="18"/>
  <c r="I65" i="24"/>
  <c r="I63" i="20"/>
  <c r="I62" i="18"/>
  <c r="I62" i="17"/>
  <c r="I58" i="75"/>
  <c r="I62" i="57"/>
  <c r="I61" i="31"/>
  <c r="I59" i="24"/>
  <c r="I60" i="17"/>
  <c r="I60" i="16"/>
  <c r="I57" i="18"/>
  <c r="I57" i="16"/>
  <c r="I57" i="17"/>
  <c r="I57" i="27"/>
  <c r="E66" i="24"/>
  <c r="I61" i="16"/>
  <c r="E66" i="18"/>
  <c r="E66" i="20" l="1"/>
  <c r="E66" i="50"/>
  <c r="E63" i="60"/>
  <c r="E64" i="60"/>
  <c r="I59" i="21"/>
  <c r="I66" i="21" s="1"/>
  <c r="E61" i="60"/>
  <c r="E60" i="60"/>
  <c r="E59" i="60"/>
  <c r="E62" i="60"/>
  <c r="E65" i="60"/>
  <c r="E67" i="60"/>
  <c r="I64" i="7"/>
  <c r="E66" i="60"/>
  <c r="I67" i="60"/>
  <c r="I64" i="60"/>
  <c r="I66" i="60"/>
  <c r="I62" i="60"/>
  <c r="E66" i="16"/>
  <c r="E66" i="33"/>
  <c r="I59" i="33"/>
  <c r="I66" i="33" s="1"/>
  <c r="E66" i="27"/>
  <c r="E66" i="34"/>
  <c r="E66" i="31"/>
  <c r="E66" i="7"/>
  <c r="E66" i="30"/>
  <c r="E66" i="78"/>
  <c r="I59" i="78"/>
  <c r="I66" i="78" s="1"/>
  <c r="E66" i="71"/>
  <c r="E66" i="67"/>
  <c r="E66" i="58"/>
  <c r="E66" i="56"/>
  <c r="E66" i="55"/>
  <c r="E66" i="52"/>
  <c r="E66" i="51"/>
  <c r="E66" i="45"/>
  <c r="E66" i="42"/>
  <c r="E66" i="40"/>
  <c r="E66" i="39"/>
  <c r="E66" i="37"/>
  <c r="E66" i="35"/>
  <c r="I59" i="34"/>
  <c r="I66" i="34" s="1"/>
  <c r="E66" i="22"/>
  <c r="I58" i="22"/>
  <c r="I66" i="22" s="1"/>
  <c r="E66" i="25"/>
  <c r="E66" i="23"/>
  <c r="E66" i="28"/>
  <c r="E66" i="77"/>
  <c r="E66" i="68"/>
  <c r="E66" i="70"/>
  <c r="E66" i="69"/>
  <c r="E66" i="66"/>
  <c r="I57" i="66"/>
  <c r="I66" i="66" s="1"/>
  <c r="E66" i="57"/>
  <c r="I57" i="57"/>
  <c r="I66" i="57" s="1"/>
  <c r="E66" i="76"/>
  <c r="E66" i="75"/>
  <c r="I57" i="52"/>
  <c r="I66" i="52" s="1"/>
  <c r="E66" i="48"/>
  <c r="E66" i="47"/>
  <c r="E66" i="44"/>
  <c r="E66" i="43"/>
  <c r="I61" i="40"/>
  <c r="I66" i="40" s="1"/>
  <c r="I57" i="39"/>
  <c r="I66" i="39" s="1"/>
  <c r="I57" i="37"/>
  <c r="I66" i="37" s="1"/>
  <c r="E66" i="36"/>
  <c r="E66" i="32"/>
  <c r="E66" i="26"/>
  <c r="I58" i="25"/>
  <c r="I66" i="25" s="1"/>
  <c r="E66" i="21"/>
  <c r="I63" i="7"/>
  <c r="E66" i="38"/>
  <c r="E66" i="17"/>
  <c r="I66" i="35"/>
  <c r="I66" i="30"/>
  <c r="I66" i="47"/>
  <c r="I66" i="68"/>
  <c r="I66" i="45"/>
  <c r="I66" i="18"/>
  <c r="I66" i="51"/>
  <c r="I66" i="56"/>
  <c r="I66" i="43"/>
  <c r="I66" i="50"/>
  <c r="I66" i="20"/>
  <c r="I66" i="24"/>
  <c r="I66" i="44"/>
  <c r="I66" i="48"/>
  <c r="I66" i="70"/>
  <c r="I66" i="17"/>
  <c r="I66" i="58"/>
  <c r="I66" i="69"/>
  <c r="I66" i="23"/>
  <c r="I66" i="42"/>
  <c r="I66" i="38"/>
  <c r="I66" i="71"/>
  <c r="I66" i="55"/>
  <c r="I66" i="76"/>
  <c r="I66" i="75"/>
  <c r="I66" i="31"/>
  <c r="I66" i="27"/>
  <c r="I66" i="26"/>
  <c r="I66" i="16"/>
  <c r="I66" i="36"/>
  <c r="I66" i="77"/>
  <c r="I66" i="28"/>
  <c r="I66" i="32"/>
  <c r="I66" i="67"/>
  <c r="I63" i="60" l="1"/>
  <c r="I59" i="60"/>
  <c r="I61" i="60"/>
  <c r="I60" i="60"/>
  <c r="I66" i="7"/>
  <c r="I65" i="60"/>
  <c r="E68" i="60"/>
  <c r="I68" i="60" l="1"/>
  <c r="D120" i="60"/>
  <c r="C120" i="60"/>
  <c r="G115" i="60"/>
  <c r="G114" i="60"/>
  <c r="H54" i="60"/>
  <c r="H53" i="60"/>
  <c r="K53" i="60" s="1"/>
  <c r="D12" i="60"/>
  <c r="D58" i="60" s="1"/>
  <c r="C12" i="60"/>
  <c r="C58" i="60" s="1"/>
  <c r="D11" i="60"/>
  <c r="C11" i="60"/>
  <c r="D37" i="60" l="1"/>
  <c r="D57" i="60"/>
  <c r="C37" i="60"/>
  <c r="C57" i="60"/>
  <c r="I144" i="60" l="1"/>
  <c r="F107" i="60"/>
  <c r="F106" i="60"/>
  <c r="F105" i="60"/>
  <c r="D107" i="60"/>
  <c r="D106" i="60"/>
  <c r="D105" i="60"/>
  <c r="F97" i="60"/>
  <c r="F95" i="60"/>
  <c r="F93" i="60"/>
  <c r="F91" i="60"/>
  <c r="F89" i="60"/>
  <c r="F86" i="60"/>
  <c r="H83" i="60"/>
  <c r="H80" i="60"/>
  <c r="H77" i="60"/>
  <c r="H74" i="60"/>
  <c r="E124" i="60"/>
  <c r="H123" i="60"/>
  <c r="F123" i="60"/>
  <c r="H122" i="60"/>
  <c r="H124" i="60" s="1"/>
  <c r="H9" i="60"/>
  <c r="I124" i="60" l="1"/>
  <c r="E123" i="16" l="1"/>
  <c r="E122" i="16"/>
  <c r="E123" i="17"/>
  <c r="E122" i="17"/>
  <c r="E123" i="18"/>
  <c r="E122" i="18"/>
  <c r="E123" i="20"/>
  <c r="E122" i="20"/>
  <c r="E123" i="21"/>
  <c r="E122" i="21"/>
  <c r="E123" i="25"/>
  <c r="E122" i="25"/>
  <c r="E123" i="24"/>
  <c r="E122" i="24"/>
  <c r="E123" i="22"/>
  <c r="E122" i="22"/>
  <c r="E123" i="26"/>
  <c r="E122" i="26"/>
  <c r="E123" i="27"/>
  <c r="E122" i="27"/>
  <c r="E123" i="28"/>
  <c r="E122" i="28"/>
  <c r="E123" i="31"/>
  <c r="E122" i="31"/>
  <c r="E123" i="32"/>
  <c r="E122" i="32"/>
  <c r="E123" i="33"/>
  <c r="E122" i="33"/>
  <c r="E123" i="34"/>
  <c r="E122" i="34"/>
  <c r="E123" i="35"/>
  <c r="E122" i="35"/>
  <c r="E123" i="23"/>
  <c r="E122" i="23"/>
  <c r="E123" i="36"/>
  <c r="E122" i="36"/>
  <c r="E123" i="37"/>
  <c r="E122" i="37"/>
  <c r="E123" i="38"/>
  <c r="E122" i="38"/>
  <c r="E123" i="39"/>
  <c r="E122" i="39"/>
  <c r="E123" i="40"/>
  <c r="E122" i="40"/>
  <c r="E123" i="42"/>
  <c r="E122" i="42"/>
  <c r="E123" i="43"/>
  <c r="E122" i="43"/>
  <c r="E123" i="44"/>
  <c r="E122" i="44"/>
  <c r="E123" i="45"/>
  <c r="E122" i="45"/>
  <c r="E123" i="47"/>
  <c r="E122" i="47"/>
  <c r="E123" i="48"/>
  <c r="E122" i="48"/>
  <c r="E123" i="50"/>
  <c r="E122" i="50"/>
  <c r="E123" i="51"/>
  <c r="E122" i="51"/>
  <c r="E123" i="52"/>
  <c r="E122" i="52"/>
  <c r="E123" i="75"/>
  <c r="E122" i="75"/>
  <c r="E123" i="76"/>
  <c r="E122" i="76"/>
  <c r="E123" i="55"/>
  <c r="E122" i="55"/>
  <c r="E123" i="56"/>
  <c r="E122" i="56"/>
  <c r="E123" i="57"/>
  <c r="E122" i="57"/>
  <c r="E123" i="58"/>
  <c r="E122" i="58"/>
  <c r="E123" i="66"/>
  <c r="E122" i="66"/>
  <c r="E123" i="67"/>
  <c r="E122" i="67"/>
  <c r="E123" i="69"/>
  <c r="E122" i="69"/>
  <c r="E123" i="70"/>
  <c r="E122" i="70"/>
  <c r="E123" i="71"/>
  <c r="E122" i="71"/>
  <c r="E123" i="68"/>
  <c r="E122" i="68"/>
  <c r="E123" i="77"/>
  <c r="E122" i="77"/>
  <c r="E123" i="78"/>
  <c r="E122" i="78"/>
  <c r="E123" i="30"/>
  <c r="E122" i="30"/>
  <c r="E123" i="7"/>
  <c r="E122" i="7"/>
  <c r="H81" i="16"/>
  <c r="T81" i="16" s="1"/>
  <c r="H81" i="17"/>
  <c r="T81" i="17" s="1"/>
  <c r="H81" i="18"/>
  <c r="T81" i="18" s="1"/>
  <c r="H81" i="20"/>
  <c r="H81" i="21"/>
  <c r="T81" i="21" s="1"/>
  <c r="H81" i="25"/>
  <c r="H81" i="24"/>
  <c r="T81" i="24" s="1"/>
  <c r="H81" i="22"/>
  <c r="T81" i="22" s="1"/>
  <c r="H81" i="26"/>
  <c r="T81" i="26" s="1"/>
  <c r="H81" i="27"/>
  <c r="T81" i="27" s="1"/>
  <c r="H81" i="28"/>
  <c r="T81" i="28" s="1"/>
  <c r="H81" i="31"/>
  <c r="T81" i="31" s="1"/>
  <c r="H81" i="32"/>
  <c r="T81" i="32" s="1"/>
  <c r="H81" i="33"/>
  <c r="T81" i="33" s="1"/>
  <c r="H81" i="34"/>
  <c r="T81" i="34" s="1"/>
  <c r="H81" i="35"/>
  <c r="T81" i="35" s="1"/>
  <c r="H81" i="23"/>
  <c r="T81" i="23" s="1"/>
  <c r="H81" i="36"/>
  <c r="H81" i="37"/>
  <c r="T81" i="37" s="1"/>
  <c r="H81" i="38"/>
  <c r="H81" i="39"/>
  <c r="T81" i="39" s="1"/>
  <c r="H81" i="40"/>
  <c r="T81" i="40" s="1"/>
  <c r="H81" i="42"/>
  <c r="T81" i="42" s="1"/>
  <c r="H81" i="43"/>
  <c r="T81" i="43" s="1"/>
  <c r="H81" i="44"/>
  <c r="T81" i="44" s="1"/>
  <c r="H81" i="45"/>
  <c r="T81" i="45" s="1"/>
  <c r="H81" i="47"/>
  <c r="T81" i="47" s="1"/>
  <c r="H81" i="48"/>
  <c r="H81" i="50"/>
  <c r="T81" i="50" s="1"/>
  <c r="H81" i="51"/>
  <c r="T81" i="51" s="1"/>
  <c r="H81" i="52"/>
  <c r="H81" i="75"/>
  <c r="T81" i="75" s="1"/>
  <c r="H81" i="76"/>
  <c r="T81" i="76" s="1"/>
  <c r="H81" i="55"/>
  <c r="T81" i="55" s="1"/>
  <c r="H81" i="56"/>
  <c r="T81" i="56" s="1"/>
  <c r="H81" i="57"/>
  <c r="T81" i="57" s="1"/>
  <c r="H81" i="58"/>
  <c r="T81" i="58" s="1"/>
  <c r="H81" i="66"/>
  <c r="T81" i="66" s="1"/>
  <c r="H81" i="67"/>
  <c r="H81" i="69"/>
  <c r="T81" i="69" s="1"/>
  <c r="H81" i="70"/>
  <c r="T81" i="70" s="1"/>
  <c r="H81" i="71"/>
  <c r="T81" i="71" s="1"/>
  <c r="H81" i="68"/>
  <c r="H81" i="77"/>
  <c r="T81" i="77" s="1"/>
  <c r="H81" i="78"/>
  <c r="T81" i="78" s="1"/>
  <c r="H81" i="30"/>
  <c r="T81" i="30" s="1"/>
  <c r="T81" i="7"/>
  <c r="H78" i="16"/>
  <c r="T78" i="16" s="1"/>
  <c r="H78" i="17"/>
  <c r="H78" i="18"/>
  <c r="T78" i="18" s="1"/>
  <c r="H78" i="20"/>
  <c r="T78" i="20" s="1"/>
  <c r="H78" i="21"/>
  <c r="T78" i="21" s="1"/>
  <c r="H78" i="25"/>
  <c r="T78" i="25" s="1"/>
  <c r="H78" i="24"/>
  <c r="T78" i="24" s="1"/>
  <c r="H78" i="22"/>
  <c r="T78" i="22" s="1"/>
  <c r="H78" i="26"/>
  <c r="H78" i="27"/>
  <c r="T78" i="27" s="1"/>
  <c r="H78" i="28"/>
  <c r="T78" i="28" s="1"/>
  <c r="H78" i="31"/>
  <c r="T78" i="31" s="1"/>
  <c r="H78" i="32"/>
  <c r="T78" i="32" s="1"/>
  <c r="H78" i="33"/>
  <c r="H78" i="34"/>
  <c r="H78" i="35"/>
  <c r="T78" i="35" s="1"/>
  <c r="H78" i="23"/>
  <c r="T78" i="23" s="1"/>
  <c r="H78" i="36"/>
  <c r="T78" i="36" s="1"/>
  <c r="H78" i="37"/>
  <c r="H78" i="38"/>
  <c r="H78" i="39"/>
  <c r="T78" i="39" s="1"/>
  <c r="H78" i="40"/>
  <c r="T78" i="40" s="1"/>
  <c r="H78" i="42"/>
  <c r="T78" i="42" s="1"/>
  <c r="H78" i="43"/>
  <c r="T78" i="43" s="1"/>
  <c r="H78" i="44"/>
  <c r="T78" i="44" s="1"/>
  <c r="H78" i="45"/>
  <c r="T78" i="45" s="1"/>
  <c r="H78" i="47"/>
  <c r="T78" i="47" s="1"/>
  <c r="H78" i="48"/>
  <c r="T78" i="48" s="1"/>
  <c r="H78" i="50"/>
  <c r="H78" i="51"/>
  <c r="T78" i="51" s="1"/>
  <c r="H78" i="52"/>
  <c r="T78" i="52" s="1"/>
  <c r="H78" i="75"/>
  <c r="H78" i="76"/>
  <c r="T78" i="76" s="1"/>
  <c r="H78" i="55"/>
  <c r="H78" i="56"/>
  <c r="T78" i="56" s="1"/>
  <c r="H78" i="57"/>
  <c r="T78" i="57" s="1"/>
  <c r="H78" i="58"/>
  <c r="T78" i="58" s="1"/>
  <c r="H78" i="66"/>
  <c r="H78" i="67"/>
  <c r="H78" i="69"/>
  <c r="H78" i="70"/>
  <c r="T78" i="70" s="1"/>
  <c r="H78" i="71"/>
  <c r="T78" i="71" s="1"/>
  <c r="H78" i="68"/>
  <c r="T78" i="68" s="1"/>
  <c r="H78" i="77"/>
  <c r="H78" i="78"/>
  <c r="T78" i="78" s="1"/>
  <c r="H78" i="30"/>
  <c r="T78" i="30" s="1"/>
  <c r="T78" i="7"/>
  <c r="H75" i="16"/>
  <c r="T75" i="16" s="1"/>
  <c r="H75" i="17"/>
  <c r="T75" i="17" s="1"/>
  <c r="H75" i="18"/>
  <c r="T75" i="18" s="1"/>
  <c r="H75" i="20"/>
  <c r="T75" i="20" s="1"/>
  <c r="H75" i="21"/>
  <c r="T75" i="21" s="1"/>
  <c r="H75" i="25"/>
  <c r="T75" i="25" s="1"/>
  <c r="H75" i="24"/>
  <c r="T75" i="24" s="1"/>
  <c r="H75" i="22"/>
  <c r="T75" i="22" s="1"/>
  <c r="H75" i="26"/>
  <c r="T75" i="26" s="1"/>
  <c r="H75" i="27"/>
  <c r="T75" i="27" s="1"/>
  <c r="H75" i="28"/>
  <c r="T75" i="28" s="1"/>
  <c r="H75" i="31"/>
  <c r="T75" i="31" s="1"/>
  <c r="H75" i="32"/>
  <c r="T75" i="32" s="1"/>
  <c r="H75" i="33"/>
  <c r="T75" i="33" s="1"/>
  <c r="H75" i="34"/>
  <c r="T75" i="34" s="1"/>
  <c r="H75" i="35"/>
  <c r="T75" i="35" s="1"/>
  <c r="H75" i="23"/>
  <c r="T75" i="23" s="1"/>
  <c r="H75" i="36"/>
  <c r="T75" i="36" s="1"/>
  <c r="H75" i="37"/>
  <c r="T75" i="37" s="1"/>
  <c r="H75" i="38"/>
  <c r="T75" i="38" s="1"/>
  <c r="H75" i="39"/>
  <c r="T75" i="39" s="1"/>
  <c r="H75" i="40"/>
  <c r="T75" i="40" s="1"/>
  <c r="H75" i="42"/>
  <c r="T75" i="42" s="1"/>
  <c r="H75" i="43"/>
  <c r="T75" i="43" s="1"/>
  <c r="H75" i="44"/>
  <c r="T75" i="44" s="1"/>
  <c r="H75" i="45"/>
  <c r="T75" i="45" s="1"/>
  <c r="H75" i="47"/>
  <c r="T75" i="47" s="1"/>
  <c r="H75" i="48"/>
  <c r="T75" i="48" s="1"/>
  <c r="H75" i="50"/>
  <c r="T75" i="50" s="1"/>
  <c r="H75" i="51"/>
  <c r="T75" i="51" s="1"/>
  <c r="H75" i="52"/>
  <c r="T75" i="52" s="1"/>
  <c r="H75" i="75"/>
  <c r="T75" i="75" s="1"/>
  <c r="H75" i="76"/>
  <c r="T75" i="76" s="1"/>
  <c r="H75" i="55"/>
  <c r="T75" i="55" s="1"/>
  <c r="H75" i="56"/>
  <c r="T75" i="56" s="1"/>
  <c r="H75" i="57"/>
  <c r="T75" i="57" s="1"/>
  <c r="H75" i="58"/>
  <c r="T75" i="58" s="1"/>
  <c r="H75" i="66"/>
  <c r="T75" i="66" s="1"/>
  <c r="H75" i="67"/>
  <c r="T75" i="67" s="1"/>
  <c r="H75" i="69"/>
  <c r="T75" i="69" s="1"/>
  <c r="H75" i="70"/>
  <c r="T75" i="70" s="1"/>
  <c r="H75" i="71"/>
  <c r="T75" i="71" s="1"/>
  <c r="H75" i="68"/>
  <c r="T75" i="68" s="1"/>
  <c r="H75" i="77"/>
  <c r="T75" i="77" s="1"/>
  <c r="H75" i="78"/>
  <c r="T75" i="78" s="1"/>
  <c r="H75" i="30"/>
  <c r="T75" i="30" s="1"/>
  <c r="T75" i="7"/>
  <c r="T81" i="68" l="1"/>
  <c r="T81" i="52"/>
  <c r="T78" i="55"/>
  <c r="T78" i="34"/>
  <c r="T81" i="48"/>
  <c r="T81" i="25"/>
  <c r="T81" i="36"/>
  <c r="T81" i="20"/>
  <c r="T81" i="67"/>
  <c r="T81" i="38"/>
  <c r="T78" i="66"/>
  <c r="T78" i="33"/>
  <c r="T78" i="26"/>
  <c r="T78" i="50"/>
  <c r="T78" i="77"/>
  <c r="T78" i="69"/>
  <c r="T78" i="75"/>
  <c r="T78" i="38"/>
  <c r="T78" i="17"/>
  <c r="T78" i="67"/>
  <c r="T78" i="37"/>
  <c r="U37" i="16" l="1"/>
  <c r="U37" i="17"/>
  <c r="U37" i="18"/>
  <c r="U37" i="20"/>
  <c r="U37" i="21"/>
  <c r="U37" i="25"/>
  <c r="U37" i="24"/>
  <c r="U37" i="22"/>
  <c r="U37" i="26"/>
  <c r="U37" i="27"/>
  <c r="U37" i="28"/>
  <c r="U37" i="31"/>
  <c r="U37" i="32"/>
  <c r="U37" i="33"/>
  <c r="U37" i="34"/>
  <c r="U37" i="35"/>
  <c r="U37" i="23"/>
  <c r="U37" i="36"/>
  <c r="U37" i="37"/>
  <c r="U37" i="38"/>
  <c r="U37" i="39"/>
  <c r="U37" i="40"/>
  <c r="U37" i="42"/>
  <c r="U37" i="43"/>
  <c r="U37" i="44"/>
  <c r="U37" i="45"/>
  <c r="U37" i="47"/>
  <c r="U37" i="48"/>
  <c r="U37" i="50"/>
  <c r="U37" i="51"/>
  <c r="U37" i="52"/>
  <c r="U37" i="75"/>
  <c r="U37" i="76"/>
  <c r="U37" i="55"/>
  <c r="U37" i="56"/>
  <c r="U37" i="57"/>
  <c r="U37" i="58"/>
  <c r="U37" i="66"/>
  <c r="U37" i="67"/>
  <c r="U37" i="69"/>
  <c r="U37" i="70"/>
  <c r="U37" i="71"/>
  <c r="U37" i="68"/>
  <c r="U37" i="77"/>
  <c r="U37" i="78"/>
  <c r="U37" i="30"/>
  <c r="U37" i="7"/>
  <c r="U35" i="16"/>
  <c r="U35" i="17"/>
  <c r="U35" i="18"/>
  <c r="U35" i="20"/>
  <c r="U35" i="21"/>
  <c r="U35" i="25"/>
  <c r="U35" i="24"/>
  <c r="U35" i="22"/>
  <c r="U35" i="26"/>
  <c r="U35" i="27"/>
  <c r="U35" i="28"/>
  <c r="U35" i="31"/>
  <c r="U35" i="32"/>
  <c r="U35" i="33"/>
  <c r="U35" i="34"/>
  <c r="U35" i="35"/>
  <c r="U35" i="23"/>
  <c r="U35" i="36"/>
  <c r="U35" i="37"/>
  <c r="U35" i="38"/>
  <c r="U35" i="39"/>
  <c r="U35" i="40"/>
  <c r="U35" i="42"/>
  <c r="U35" i="43"/>
  <c r="U35" i="44"/>
  <c r="U35" i="45"/>
  <c r="U35" i="47"/>
  <c r="U35" i="48"/>
  <c r="U35" i="50"/>
  <c r="U35" i="51"/>
  <c r="U35" i="52"/>
  <c r="U35" i="75"/>
  <c r="U35" i="76"/>
  <c r="U35" i="55"/>
  <c r="U35" i="56"/>
  <c r="U35" i="57"/>
  <c r="U35" i="58"/>
  <c r="U35" i="66"/>
  <c r="U35" i="67"/>
  <c r="U35" i="69"/>
  <c r="U35" i="70"/>
  <c r="U35" i="71"/>
  <c r="U35" i="68"/>
  <c r="U35" i="77"/>
  <c r="U35" i="78"/>
  <c r="U35" i="30"/>
  <c r="U12" i="16"/>
  <c r="U12" i="17"/>
  <c r="U12" i="18"/>
  <c r="U12" i="20"/>
  <c r="U12" i="21"/>
  <c r="U12" i="25"/>
  <c r="U12" i="24"/>
  <c r="U12" i="22"/>
  <c r="U12" i="26"/>
  <c r="U12" i="27"/>
  <c r="U12" i="28"/>
  <c r="U12" i="31"/>
  <c r="U12" i="32"/>
  <c r="U12" i="33"/>
  <c r="U12" i="34"/>
  <c r="U12" i="35"/>
  <c r="U12" i="23"/>
  <c r="U12" i="36"/>
  <c r="U12" i="37"/>
  <c r="U12" i="38"/>
  <c r="U12" i="39"/>
  <c r="U12" i="40"/>
  <c r="U12" i="42"/>
  <c r="U12" i="43"/>
  <c r="U12" i="44"/>
  <c r="U12" i="45"/>
  <c r="U12" i="47"/>
  <c r="U12" i="48"/>
  <c r="U12" i="50"/>
  <c r="U12" i="51"/>
  <c r="U12" i="52"/>
  <c r="U12" i="75"/>
  <c r="U12" i="76"/>
  <c r="U12" i="55"/>
  <c r="U12" i="56"/>
  <c r="U12" i="57"/>
  <c r="U12" i="58"/>
  <c r="U12" i="66"/>
  <c r="U12" i="67"/>
  <c r="U12" i="69"/>
  <c r="U12" i="70"/>
  <c r="U12" i="71"/>
  <c r="U12" i="68"/>
  <c r="U12" i="77"/>
  <c r="U12" i="78"/>
  <c r="U12" i="30"/>
  <c r="U12" i="7"/>
  <c r="U10" i="7"/>
  <c r="N7" i="7"/>
  <c r="P8" i="7"/>
  <c r="H9" i="16"/>
  <c r="T9" i="16" s="1"/>
  <c r="H9" i="17"/>
  <c r="T9" i="17" s="1"/>
  <c r="H9" i="18"/>
  <c r="T9" i="18" s="1"/>
  <c r="H9" i="20"/>
  <c r="T9" i="20" s="1"/>
  <c r="H9" i="21"/>
  <c r="T9" i="21" s="1"/>
  <c r="H9" i="25"/>
  <c r="T9" i="25" s="1"/>
  <c r="H9" i="24"/>
  <c r="T9" i="24" s="1"/>
  <c r="H9" i="22"/>
  <c r="T9" i="22" s="1"/>
  <c r="H9" i="26"/>
  <c r="T9" i="26" s="1"/>
  <c r="H9" i="27"/>
  <c r="T9" i="27" s="1"/>
  <c r="H9" i="28"/>
  <c r="T9" i="28" s="1"/>
  <c r="H9" i="31"/>
  <c r="T9" i="31" s="1"/>
  <c r="H9" i="32"/>
  <c r="T9" i="32" s="1"/>
  <c r="H9" i="33"/>
  <c r="T9" i="33" s="1"/>
  <c r="H9" i="34"/>
  <c r="T9" i="34" s="1"/>
  <c r="H9" i="35"/>
  <c r="T9" i="35" s="1"/>
  <c r="H9" i="23"/>
  <c r="T9" i="23" s="1"/>
  <c r="H9" i="36"/>
  <c r="T9" i="36" s="1"/>
  <c r="H9" i="37"/>
  <c r="T9" i="37" s="1"/>
  <c r="H9" i="38"/>
  <c r="T9" i="38" s="1"/>
  <c r="H9" i="39"/>
  <c r="T9" i="39" s="1"/>
  <c r="H9" i="40"/>
  <c r="T9" i="40" s="1"/>
  <c r="H9" i="42"/>
  <c r="T9" i="42" s="1"/>
  <c r="H9" i="43"/>
  <c r="T9" i="43" s="1"/>
  <c r="H9" i="44"/>
  <c r="T9" i="44" s="1"/>
  <c r="H9" i="45"/>
  <c r="T9" i="45" s="1"/>
  <c r="H9" i="47"/>
  <c r="T9" i="47" s="1"/>
  <c r="H9" i="48"/>
  <c r="T9" i="48" s="1"/>
  <c r="H9" i="50"/>
  <c r="T9" i="50" s="1"/>
  <c r="H9" i="51"/>
  <c r="T9" i="51" s="1"/>
  <c r="H9" i="52"/>
  <c r="T9" i="52" s="1"/>
  <c r="H9" i="75"/>
  <c r="T9" i="75" s="1"/>
  <c r="H9" i="76"/>
  <c r="T9" i="76" s="1"/>
  <c r="H9" i="55"/>
  <c r="T9" i="55" s="1"/>
  <c r="H9" i="56"/>
  <c r="T9" i="56" s="1"/>
  <c r="H9" i="57"/>
  <c r="T9" i="57" s="1"/>
  <c r="H9" i="58"/>
  <c r="T9" i="58" s="1"/>
  <c r="H9" i="66"/>
  <c r="T9" i="66" s="1"/>
  <c r="H9" i="67"/>
  <c r="T9" i="67" s="1"/>
  <c r="H9" i="69"/>
  <c r="T9" i="69" s="1"/>
  <c r="H9" i="70"/>
  <c r="T9" i="70" s="1"/>
  <c r="H9" i="71"/>
  <c r="T9" i="71" s="1"/>
  <c r="H9" i="68"/>
  <c r="T9" i="68" s="1"/>
  <c r="H9" i="77"/>
  <c r="T9" i="77" s="1"/>
  <c r="H9" i="78"/>
  <c r="T9" i="78" s="1"/>
  <c r="H9" i="30"/>
  <c r="T9" i="30" s="1"/>
  <c r="T9" i="7"/>
  <c r="E114" i="7" l="1"/>
  <c r="E114" i="20" l="1"/>
  <c r="E114" i="26"/>
  <c r="E114" i="27"/>
  <c r="E114" i="28"/>
  <c r="E114" i="31"/>
  <c r="E114" i="32"/>
  <c r="E114" i="33"/>
  <c r="E114" i="35"/>
  <c r="E114" i="23"/>
  <c r="E114" i="36"/>
  <c r="E114" i="37"/>
  <c r="E114" i="38"/>
  <c r="E114" i="39"/>
  <c r="E114" i="40"/>
  <c r="E114" i="42"/>
  <c r="E114" i="43"/>
  <c r="E114" i="44"/>
  <c r="E114" i="45"/>
  <c r="E114" i="47"/>
  <c r="E114" i="50"/>
  <c r="E114" i="51"/>
  <c r="E114" i="52"/>
  <c r="E114" i="75"/>
  <c r="E114" i="76"/>
  <c r="E114" i="58"/>
  <c r="E114" i="67"/>
  <c r="E114" i="69"/>
  <c r="E114" i="68"/>
  <c r="E114" i="30"/>
  <c r="E113" i="37"/>
  <c r="E113" i="44"/>
  <c r="E113" i="68"/>
  <c r="E113" i="30"/>
  <c r="E114" i="60" l="1"/>
  <c r="E115" i="60"/>
  <c r="H69" i="32"/>
  <c r="H72" i="32"/>
  <c r="I10" i="16" l="1"/>
  <c r="U10" i="16" s="1"/>
  <c r="I10" i="17"/>
  <c r="U10" i="17" s="1"/>
  <c r="I10" i="18"/>
  <c r="U10" i="18" s="1"/>
  <c r="I10" i="20"/>
  <c r="U10" i="20" s="1"/>
  <c r="I10" i="21"/>
  <c r="U10" i="21" s="1"/>
  <c r="I10" i="25"/>
  <c r="U10" i="25" s="1"/>
  <c r="I10" i="24"/>
  <c r="U10" i="24" s="1"/>
  <c r="I10" i="22"/>
  <c r="U10" i="22" s="1"/>
  <c r="I10" i="26"/>
  <c r="U10" i="26" s="1"/>
  <c r="I10" i="27"/>
  <c r="U10" i="27" s="1"/>
  <c r="I10" i="28"/>
  <c r="U10" i="28" s="1"/>
  <c r="I10" i="31"/>
  <c r="U10" i="31" s="1"/>
  <c r="I10" i="32"/>
  <c r="U10" i="32" s="1"/>
  <c r="I10" i="33"/>
  <c r="U10" i="33" s="1"/>
  <c r="I10" i="34"/>
  <c r="U10" i="34" s="1"/>
  <c r="I10" i="35"/>
  <c r="U10" i="35" s="1"/>
  <c r="I10" i="23"/>
  <c r="U10" i="23" s="1"/>
  <c r="I10" i="36"/>
  <c r="U10" i="36" s="1"/>
  <c r="I10" i="37"/>
  <c r="U10" i="37" s="1"/>
  <c r="I10" i="38"/>
  <c r="U10" i="38" s="1"/>
  <c r="I10" i="39"/>
  <c r="U10" i="39" s="1"/>
  <c r="I10" i="40"/>
  <c r="U10" i="40" s="1"/>
  <c r="I10" i="42"/>
  <c r="U10" i="42" s="1"/>
  <c r="I10" i="43"/>
  <c r="U10" i="43" s="1"/>
  <c r="I10" i="44"/>
  <c r="U10" i="44" s="1"/>
  <c r="I10" i="45"/>
  <c r="U10" i="45" s="1"/>
  <c r="I10" i="47"/>
  <c r="U10" i="47" s="1"/>
  <c r="I10" i="48"/>
  <c r="U10" i="48" s="1"/>
  <c r="I10" i="50"/>
  <c r="U10" i="50" s="1"/>
  <c r="I10" i="51"/>
  <c r="U10" i="51" s="1"/>
  <c r="I10" i="52"/>
  <c r="U10" i="52" s="1"/>
  <c r="I10" i="75"/>
  <c r="U10" i="75" s="1"/>
  <c r="I10" i="76"/>
  <c r="U10" i="76" s="1"/>
  <c r="I10" i="55"/>
  <c r="U10" i="55" s="1"/>
  <c r="I10" i="56"/>
  <c r="U10" i="56" s="1"/>
  <c r="I10" i="57"/>
  <c r="U10" i="57" s="1"/>
  <c r="I10" i="58"/>
  <c r="U10" i="58" s="1"/>
  <c r="I10" i="66"/>
  <c r="U10" i="66" s="1"/>
  <c r="I10" i="67"/>
  <c r="U10" i="67" s="1"/>
  <c r="I10" i="69"/>
  <c r="U10" i="69" s="1"/>
  <c r="I10" i="70"/>
  <c r="U10" i="70" s="1"/>
  <c r="I10" i="71"/>
  <c r="U10" i="71" s="1"/>
  <c r="I10" i="68"/>
  <c r="U10" i="68" s="1"/>
  <c r="I10" i="77"/>
  <c r="U10" i="77" s="1"/>
  <c r="I10" i="78"/>
  <c r="U10" i="78" s="1"/>
  <c r="I10" i="30"/>
  <c r="U10" i="30" s="1"/>
  <c r="D54" i="72" l="1"/>
  <c r="U54" i="72" s="1"/>
  <c r="E3" i="62" l="1"/>
  <c r="E14" i="62"/>
  <c r="E18" i="62" s="1"/>
  <c r="E24" i="62"/>
  <c r="N1" i="30"/>
  <c r="A3" i="30"/>
  <c r="N3" i="30" s="1"/>
  <c r="F4" i="30"/>
  <c r="P4" i="30"/>
  <c r="N7" i="30"/>
  <c r="C8" i="30"/>
  <c r="P8" i="30" s="1"/>
  <c r="H8" i="30"/>
  <c r="F14" i="30"/>
  <c r="F15" i="30"/>
  <c r="F16" i="30"/>
  <c r="F17" i="30"/>
  <c r="F18" i="30"/>
  <c r="F19" i="30"/>
  <c r="F20" i="30"/>
  <c r="F21" i="30"/>
  <c r="F22" i="30"/>
  <c r="F23" i="30"/>
  <c r="F24" i="30"/>
  <c r="F25" i="30"/>
  <c r="F26" i="30"/>
  <c r="F27" i="30"/>
  <c r="F28" i="30"/>
  <c r="F29" i="30"/>
  <c r="C30" i="30"/>
  <c r="D30" i="30"/>
  <c r="C44" i="30"/>
  <c r="D44" i="30"/>
  <c r="E38" i="30" s="1"/>
  <c r="H69" i="30"/>
  <c r="T69" i="30" s="1"/>
  <c r="H72" i="30"/>
  <c r="T72" i="30" s="1"/>
  <c r="F85" i="30"/>
  <c r="F88" i="30"/>
  <c r="R88" i="30" s="1"/>
  <c r="F90" i="30"/>
  <c r="F92" i="30"/>
  <c r="R92" i="30" s="1"/>
  <c r="F94" i="30"/>
  <c r="F96" i="30"/>
  <c r="R96" i="30" s="1"/>
  <c r="F104" i="30"/>
  <c r="R104" i="30" s="1"/>
  <c r="F105" i="30"/>
  <c r="R105" i="30" s="1"/>
  <c r="F106" i="30"/>
  <c r="R106" i="30" s="1"/>
  <c r="G113" i="30"/>
  <c r="I113" i="30" s="1"/>
  <c r="G114" i="30"/>
  <c r="T114" i="30" s="1"/>
  <c r="U114" i="30" s="1"/>
  <c r="H121" i="30"/>
  <c r="H123" i="30" s="1"/>
  <c r="T123" i="30" s="1"/>
  <c r="R121" i="30"/>
  <c r="R122" i="30" s="1"/>
  <c r="F122" i="30"/>
  <c r="H122" i="30"/>
  <c r="I143" i="30"/>
  <c r="A152" i="30"/>
  <c r="A162" i="30"/>
  <c r="A164" i="30"/>
  <c r="A168" i="30"/>
  <c r="A172" i="30"/>
  <c r="A173" i="30"/>
  <c r="A174" i="30"/>
  <c r="A178" i="30"/>
  <c r="A179" i="30"/>
  <c r="A180" i="30"/>
  <c r="A182" i="30"/>
  <c r="A183" i="30"/>
  <c r="A184" i="30"/>
  <c r="A185" i="30"/>
  <c r="N1" i="78"/>
  <c r="A3" i="78"/>
  <c r="N3" i="78" s="1"/>
  <c r="F4" i="78"/>
  <c r="P4" i="78"/>
  <c r="N7" i="78"/>
  <c r="C8" i="78"/>
  <c r="P8" i="78" s="1"/>
  <c r="H8" i="78"/>
  <c r="T8" i="78" s="1"/>
  <c r="P105" i="78" s="1"/>
  <c r="F14" i="78"/>
  <c r="F15" i="78"/>
  <c r="F16" i="78"/>
  <c r="F17" i="78"/>
  <c r="F18" i="78"/>
  <c r="F19" i="78"/>
  <c r="F20" i="78"/>
  <c r="F21" i="78"/>
  <c r="F22" i="78"/>
  <c r="F23" i="78"/>
  <c r="F24" i="78"/>
  <c r="F25" i="78"/>
  <c r="F26" i="78"/>
  <c r="F27" i="78"/>
  <c r="F28" i="78"/>
  <c r="F29" i="78"/>
  <c r="C30" i="78"/>
  <c r="D30" i="78"/>
  <c r="C44" i="78"/>
  <c r="D44" i="78"/>
  <c r="H69" i="78"/>
  <c r="T69" i="78" s="1"/>
  <c r="H72" i="78"/>
  <c r="T72" i="78" s="1"/>
  <c r="F85" i="78"/>
  <c r="F88" i="78"/>
  <c r="F90" i="78"/>
  <c r="F92" i="78"/>
  <c r="F94" i="78"/>
  <c r="F96" i="78"/>
  <c r="F104" i="78"/>
  <c r="R104" i="78" s="1"/>
  <c r="F105" i="78"/>
  <c r="R105" i="78" s="1"/>
  <c r="F106" i="78"/>
  <c r="R106" i="78" s="1"/>
  <c r="G113" i="78"/>
  <c r="T113" i="78" s="1"/>
  <c r="G114" i="78"/>
  <c r="I114" i="78" s="1"/>
  <c r="H121" i="78"/>
  <c r="R121" i="78"/>
  <c r="R122" i="78" s="1"/>
  <c r="F122" i="78"/>
  <c r="H122" i="78"/>
  <c r="I143" i="78"/>
  <c r="A152" i="78"/>
  <c r="A162" i="78"/>
  <c r="A164" i="78"/>
  <c r="A168" i="78"/>
  <c r="A172" i="78"/>
  <c r="A173" i="78"/>
  <c r="A174" i="78"/>
  <c r="A178" i="78"/>
  <c r="A179" i="78"/>
  <c r="A180" i="78"/>
  <c r="A182" i="78"/>
  <c r="A183" i="78"/>
  <c r="A184" i="78"/>
  <c r="A185" i="78"/>
  <c r="N1" i="77"/>
  <c r="A3" i="77"/>
  <c r="N3" i="77" s="1"/>
  <c r="F4" i="77"/>
  <c r="P4" i="77"/>
  <c r="N7" i="77"/>
  <c r="C8" i="77"/>
  <c r="P8" i="77" s="1"/>
  <c r="H8" i="77"/>
  <c r="T8" i="77" s="1"/>
  <c r="F14" i="77"/>
  <c r="F15" i="77"/>
  <c r="F16" i="77"/>
  <c r="F17" i="77"/>
  <c r="F18" i="77"/>
  <c r="F19" i="77"/>
  <c r="F20" i="77"/>
  <c r="F21" i="77"/>
  <c r="F22" i="77"/>
  <c r="F23" i="77"/>
  <c r="F24" i="77"/>
  <c r="F25" i="77"/>
  <c r="F26" i="77"/>
  <c r="F27" i="77"/>
  <c r="F28" i="77"/>
  <c r="F29" i="77"/>
  <c r="C30" i="77"/>
  <c r="D30" i="77"/>
  <c r="E121" i="77" s="1"/>
  <c r="C44" i="77"/>
  <c r="D44" i="77"/>
  <c r="E40" i="77" s="1"/>
  <c r="H69" i="77"/>
  <c r="T69" i="77" s="1"/>
  <c r="H72" i="77"/>
  <c r="T72" i="77" s="1"/>
  <c r="F85" i="77"/>
  <c r="R85" i="77" s="1"/>
  <c r="F88" i="77"/>
  <c r="F90" i="77"/>
  <c r="R90" i="77" s="1"/>
  <c r="F92" i="77"/>
  <c r="R92" i="77" s="1"/>
  <c r="F94" i="77"/>
  <c r="F96" i="77"/>
  <c r="F104" i="77"/>
  <c r="R104" i="77" s="1"/>
  <c r="F105" i="77"/>
  <c r="R105" i="77" s="1"/>
  <c r="F106" i="77"/>
  <c r="R106" i="77" s="1"/>
  <c r="G113" i="77"/>
  <c r="T113" i="77" s="1"/>
  <c r="G114" i="77"/>
  <c r="I114" i="77" s="1"/>
  <c r="H121" i="77"/>
  <c r="R121" i="77"/>
  <c r="R122" i="77" s="1"/>
  <c r="F122" i="77"/>
  <c r="H122" i="77"/>
  <c r="T122" i="77" s="1"/>
  <c r="I143" i="77"/>
  <c r="A152" i="77"/>
  <c r="A162" i="77"/>
  <c r="A164" i="77"/>
  <c r="A168" i="77"/>
  <c r="A172" i="77"/>
  <c r="A173" i="77"/>
  <c r="A174" i="77"/>
  <c r="A178" i="77"/>
  <c r="A179" i="77"/>
  <c r="A180" i="77"/>
  <c r="A182" i="77"/>
  <c r="A183" i="77"/>
  <c r="A184" i="77"/>
  <c r="A185" i="77"/>
  <c r="N1" i="68"/>
  <c r="A3" i="68"/>
  <c r="N3" i="68" s="1"/>
  <c r="F4" i="68"/>
  <c r="P4" i="68"/>
  <c r="N7" i="68"/>
  <c r="C8" i="68"/>
  <c r="P8" i="68" s="1"/>
  <c r="H8" i="68"/>
  <c r="E104" i="68" s="1"/>
  <c r="F14" i="68"/>
  <c r="F15" i="68"/>
  <c r="F16" i="68"/>
  <c r="F17" i="68"/>
  <c r="F18" i="68"/>
  <c r="F19" i="68"/>
  <c r="F20" i="68"/>
  <c r="F21" i="68"/>
  <c r="F22" i="68"/>
  <c r="F23" i="68"/>
  <c r="F24" i="68"/>
  <c r="F25" i="68"/>
  <c r="F26" i="68"/>
  <c r="F27" i="68"/>
  <c r="F28" i="68"/>
  <c r="F29" i="68"/>
  <c r="D30" i="68"/>
  <c r="C44" i="68"/>
  <c r="D44" i="68"/>
  <c r="E38" i="68" s="1"/>
  <c r="H69" i="68"/>
  <c r="T69" i="68" s="1"/>
  <c r="H72" i="68"/>
  <c r="T72" i="68" s="1"/>
  <c r="F85" i="68"/>
  <c r="R85" i="68" s="1"/>
  <c r="F88" i="68"/>
  <c r="R88" i="68" s="1"/>
  <c r="F90" i="68"/>
  <c r="R90" i="68" s="1"/>
  <c r="F92" i="68"/>
  <c r="R92" i="68" s="1"/>
  <c r="F94" i="68"/>
  <c r="R94" i="68" s="1"/>
  <c r="F96" i="68"/>
  <c r="R96" i="68" s="1"/>
  <c r="F104" i="68"/>
  <c r="R104" i="68" s="1"/>
  <c r="F105" i="68"/>
  <c r="R105" i="68" s="1"/>
  <c r="F106" i="68"/>
  <c r="R106" i="68" s="1"/>
  <c r="G113" i="68"/>
  <c r="G114" i="68"/>
  <c r="H121" i="68"/>
  <c r="T121" i="68" s="1"/>
  <c r="R121" i="68"/>
  <c r="R122" i="68" s="1"/>
  <c r="F122" i="68"/>
  <c r="H122" i="68"/>
  <c r="T122" i="68" s="1"/>
  <c r="I143" i="68"/>
  <c r="A152" i="68"/>
  <c r="A162" i="68"/>
  <c r="A164" i="68"/>
  <c r="A168" i="68"/>
  <c r="A172" i="68"/>
  <c r="A173" i="68"/>
  <c r="A174" i="68"/>
  <c r="A178" i="68"/>
  <c r="A179" i="68"/>
  <c r="A180" i="68"/>
  <c r="A182" i="68"/>
  <c r="A183" i="68"/>
  <c r="A184" i="68"/>
  <c r="A185" i="68"/>
  <c r="N1" i="71"/>
  <c r="A3" i="71"/>
  <c r="N3" i="71" s="1"/>
  <c r="F4" i="71"/>
  <c r="P4" i="71"/>
  <c r="N7" i="71"/>
  <c r="C8" i="71"/>
  <c r="P8" i="71" s="1"/>
  <c r="H8" i="71"/>
  <c r="F14" i="71"/>
  <c r="F15" i="71"/>
  <c r="F16" i="71"/>
  <c r="F17" i="71"/>
  <c r="F18" i="71"/>
  <c r="F19" i="71"/>
  <c r="F20" i="71"/>
  <c r="F22" i="71"/>
  <c r="F23" i="71"/>
  <c r="F24" i="71"/>
  <c r="F25" i="71"/>
  <c r="F26" i="71"/>
  <c r="F27" i="71"/>
  <c r="F28" i="71"/>
  <c r="F29" i="71"/>
  <c r="C30" i="71"/>
  <c r="D30" i="71"/>
  <c r="C44" i="71"/>
  <c r="D44" i="71"/>
  <c r="H69" i="71"/>
  <c r="T69" i="71" s="1"/>
  <c r="H72" i="71"/>
  <c r="T72" i="71" s="1"/>
  <c r="F85" i="71"/>
  <c r="R85" i="71" s="1"/>
  <c r="F88" i="71"/>
  <c r="R88" i="71" s="1"/>
  <c r="F90" i="71"/>
  <c r="R90" i="71" s="1"/>
  <c r="F92" i="71"/>
  <c r="F94" i="71"/>
  <c r="R94" i="71" s="1"/>
  <c r="F96" i="71"/>
  <c r="R96" i="71" s="1"/>
  <c r="F104" i="71"/>
  <c r="R104" i="71" s="1"/>
  <c r="F105" i="71"/>
  <c r="R105" i="71" s="1"/>
  <c r="F106" i="71"/>
  <c r="R106" i="71" s="1"/>
  <c r="G113" i="71"/>
  <c r="I113" i="71" s="1"/>
  <c r="G114" i="71"/>
  <c r="T114" i="71" s="1"/>
  <c r="U114" i="71" s="1"/>
  <c r="H121" i="71"/>
  <c r="H123" i="71" s="1"/>
  <c r="T123" i="71" s="1"/>
  <c r="R121" i="71"/>
  <c r="R122" i="71" s="1"/>
  <c r="F122" i="71"/>
  <c r="H122" i="71"/>
  <c r="T122" i="71" s="1"/>
  <c r="I143" i="71"/>
  <c r="A152" i="71"/>
  <c r="A162" i="71"/>
  <c r="A164" i="71"/>
  <c r="A168" i="71"/>
  <c r="A172" i="71"/>
  <c r="A173" i="71"/>
  <c r="A174" i="71"/>
  <c r="A178" i="71"/>
  <c r="A179" i="71"/>
  <c r="A180" i="71"/>
  <c r="A182" i="71"/>
  <c r="A183" i="71"/>
  <c r="A184" i="71"/>
  <c r="A185" i="71"/>
  <c r="N1" i="70"/>
  <c r="A3" i="70"/>
  <c r="N3" i="70" s="1"/>
  <c r="F4" i="70"/>
  <c r="P4" i="70"/>
  <c r="N7" i="70"/>
  <c r="C8" i="70"/>
  <c r="P8" i="70" s="1"/>
  <c r="H8" i="70"/>
  <c r="T8" i="70" s="1"/>
  <c r="F14" i="70"/>
  <c r="F15" i="70"/>
  <c r="F16" i="70"/>
  <c r="F17" i="70"/>
  <c r="F18" i="70"/>
  <c r="F19" i="70"/>
  <c r="F20" i="70"/>
  <c r="F21" i="70"/>
  <c r="F22" i="70"/>
  <c r="F23" i="70"/>
  <c r="F24" i="70"/>
  <c r="F25" i="70"/>
  <c r="F26" i="70"/>
  <c r="F27" i="70"/>
  <c r="F28" i="70"/>
  <c r="F29" i="70"/>
  <c r="C30" i="70"/>
  <c r="D30" i="70"/>
  <c r="C44" i="70"/>
  <c r="D44" i="70"/>
  <c r="H69" i="70"/>
  <c r="T69" i="70" s="1"/>
  <c r="H72" i="70"/>
  <c r="T72" i="70" s="1"/>
  <c r="F85" i="70"/>
  <c r="R85" i="70" s="1"/>
  <c r="F88" i="70"/>
  <c r="R88" i="70" s="1"/>
  <c r="F90" i="70"/>
  <c r="R90" i="70" s="1"/>
  <c r="F92" i="70"/>
  <c r="R92" i="70" s="1"/>
  <c r="F94" i="70"/>
  <c r="R94" i="70" s="1"/>
  <c r="F96" i="70"/>
  <c r="R96" i="70" s="1"/>
  <c r="F104" i="70"/>
  <c r="R104" i="70" s="1"/>
  <c r="F105" i="70"/>
  <c r="R105" i="70" s="1"/>
  <c r="F106" i="70"/>
  <c r="R106" i="70" s="1"/>
  <c r="G113" i="70"/>
  <c r="T113" i="70" s="1"/>
  <c r="G114" i="70"/>
  <c r="I114" i="70" s="1"/>
  <c r="H121" i="70"/>
  <c r="R121" i="70"/>
  <c r="R122" i="70" s="1"/>
  <c r="F122" i="70"/>
  <c r="H122" i="70"/>
  <c r="T122" i="70" s="1"/>
  <c r="I143" i="70"/>
  <c r="A152" i="70"/>
  <c r="A162" i="70"/>
  <c r="A164" i="70"/>
  <c r="A168" i="70"/>
  <c r="A172" i="70"/>
  <c r="A173" i="70"/>
  <c r="A174" i="70"/>
  <c r="A178" i="70"/>
  <c r="A179" i="70"/>
  <c r="A180" i="70"/>
  <c r="A182" i="70"/>
  <c r="A183" i="70"/>
  <c r="A184" i="70"/>
  <c r="A185" i="70"/>
  <c r="N1" i="69"/>
  <c r="A3" i="69"/>
  <c r="N3" i="69" s="1"/>
  <c r="F4" i="69"/>
  <c r="P4" i="69"/>
  <c r="N7" i="69"/>
  <c r="C8" i="69"/>
  <c r="P8" i="69" s="1"/>
  <c r="H8" i="69"/>
  <c r="F14" i="69"/>
  <c r="F15" i="69"/>
  <c r="F16" i="69"/>
  <c r="F17" i="69"/>
  <c r="F18" i="69"/>
  <c r="F19" i="69"/>
  <c r="F20" i="69"/>
  <c r="F21" i="69"/>
  <c r="F22" i="69"/>
  <c r="F23" i="69"/>
  <c r="F24" i="69"/>
  <c r="F25" i="69"/>
  <c r="F26" i="69"/>
  <c r="F27" i="69"/>
  <c r="F28" i="69"/>
  <c r="F29" i="69"/>
  <c r="C30" i="69"/>
  <c r="D30" i="69"/>
  <c r="C44" i="69"/>
  <c r="D44" i="69"/>
  <c r="H69" i="69"/>
  <c r="T69" i="69" s="1"/>
  <c r="H72" i="69"/>
  <c r="T72" i="69" s="1"/>
  <c r="F85" i="69"/>
  <c r="R85" i="69" s="1"/>
  <c r="F88" i="69"/>
  <c r="R88" i="69" s="1"/>
  <c r="F90" i="69"/>
  <c r="R90" i="69" s="1"/>
  <c r="F92" i="69"/>
  <c r="F94" i="69"/>
  <c r="R94" i="69" s="1"/>
  <c r="F96" i="69"/>
  <c r="R96" i="69" s="1"/>
  <c r="F104" i="69"/>
  <c r="R104" i="69" s="1"/>
  <c r="F105" i="69"/>
  <c r="R105" i="69" s="1"/>
  <c r="F106" i="69"/>
  <c r="R106" i="69" s="1"/>
  <c r="G113" i="69"/>
  <c r="I113" i="69" s="1"/>
  <c r="G114" i="69"/>
  <c r="T114" i="69" s="1"/>
  <c r="U114" i="69" s="1"/>
  <c r="H121" i="69"/>
  <c r="T121" i="69" s="1"/>
  <c r="R121" i="69"/>
  <c r="R122" i="69" s="1"/>
  <c r="F122" i="69"/>
  <c r="H122" i="69"/>
  <c r="T122" i="69" s="1"/>
  <c r="I143" i="69"/>
  <c r="A152" i="69"/>
  <c r="A162" i="69"/>
  <c r="A164" i="69"/>
  <c r="A168" i="69"/>
  <c r="A172" i="69"/>
  <c r="A173" i="69"/>
  <c r="A174" i="69"/>
  <c r="A178" i="69"/>
  <c r="A179" i="69"/>
  <c r="A180" i="69"/>
  <c r="A182" i="69"/>
  <c r="A183" i="69"/>
  <c r="A184" i="69"/>
  <c r="A185" i="69"/>
  <c r="N1" i="67"/>
  <c r="A3" i="67"/>
  <c r="N3" i="67" s="1"/>
  <c r="F4" i="67"/>
  <c r="P4" i="67"/>
  <c r="N7" i="67"/>
  <c r="C8" i="67"/>
  <c r="P8" i="67" s="1"/>
  <c r="H8" i="67"/>
  <c r="E104" i="67" s="1"/>
  <c r="F14" i="67"/>
  <c r="F15" i="67"/>
  <c r="F16" i="67"/>
  <c r="F17" i="67"/>
  <c r="F18" i="67"/>
  <c r="F19" i="67"/>
  <c r="F20" i="67"/>
  <c r="F21" i="67"/>
  <c r="F22" i="67"/>
  <c r="F23" i="67"/>
  <c r="F24" i="67"/>
  <c r="F25" i="67"/>
  <c r="F26" i="67"/>
  <c r="F27" i="67"/>
  <c r="F28" i="67"/>
  <c r="F29" i="67"/>
  <c r="C30" i="67"/>
  <c r="D30" i="67"/>
  <c r="E121" i="67" s="1"/>
  <c r="C44" i="67"/>
  <c r="D44" i="67"/>
  <c r="E39" i="67" s="1"/>
  <c r="H69" i="67"/>
  <c r="T69" i="67" s="1"/>
  <c r="H72" i="67"/>
  <c r="T72" i="67" s="1"/>
  <c r="F85" i="67"/>
  <c r="R85" i="67" s="1"/>
  <c r="F88" i="67"/>
  <c r="R88" i="67" s="1"/>
  <c r="F90" i="67"/>
  <c r="R90" i="67" s="1"/>
  <c r="F92" i="67"/>
  <c r="R92" i="67" s="1"/>
  <c r="F94" i="67"/>
  <c r="R94" i="67" s="1"/>
  <c r="F96" i="67"/>
  <c r="R96" i="67" s="1"/>
  <c r="F104" i="67"/>
  <c r="R104" i="67" s="1"/>
  <c r="F105" i="67"/>
  <c r="R105" i="67" s="1"/>
  <c r="F106" i="67"/>
  <c r="R106" i="67" s="1"/>
  <c r="G113" i="67"/>
  <c r="T113" i="67" s="1"/>
  <c r="G114" i="67"/>
  <c r="T114" i="67" s="1"/>
  <c r="U114" i="67" s="1"/>
  <c r="H121" i="67"/>
  <c r="H123" i="67" s="1"/>
  <c r="T123" i="67" s="1"/>
  <c r="R121" i="67"/>
  <c r="R122" i="67" s="1"/>
  <c r="F122" i="67"/>
  <c r="H122" i="67"/>
  <c r="T122" i="67" s="1"/>
  <c r="I143" i="67"/>
  <c r="A152" i="67"/>
  <c r="A162" i="67"/>
  <c r="A164" i="67"/>
  <c r="A168" i="67"/>
  <c r="A172" i="67"/>
  <c r="A173" i="67"/>
  <c r="A174" i="67"/>
  <c r="A178" i="67"/>
  <c r="A179" i="67"/>
  <c r="A180" i="67"/>
  <c r="A182" i="67"/>
  <c r="A183" i="67"/>
  <c r="A184" i="67"/>
  <c r="A185" i="67"/>
  <c r="N1" i="66"/>
  <c r="A3" i="66"/>
  <c r="N3" i="66" s="1"/>
  <c r="F4" i="66"/>
  <c r="P4" i="66"/>
  <c r="N7" i="66"/>
  <c r="C8" i="66"/>
  <c r="P8" i="66" s="1"/>
  <c r="H8" i="66"/>
  <c r="E105" i="66" s="1"/>
  <c r="F14" i="66"/>
  <c r="F15" i="66"/>
  <c r="F16" i="66"/>
  <c r="F17" i="66"/>
  <c r="F18" i="66"/>
  <c r="F19" i="66"/>
  <c r="F20" i="66"/>
  <c r="F21" i="66"/>
  <c r="F22" i="66"/>
  <c r="F23" i="66"/>
  <c r="F24" i="66"/>
  <c r="F25" i="66"/>
  <c r="F26" i="66"/>
  <c r="F27" i="66"/>
  <c r="F28" i="66"/>
  <c r="F29" i="66"/>
  <c r="C30" i="66"/>
  <c r="D30" i="66"/>
  <c r="C44" i="66"/>
  <c r="D44" i="66"/>
  <c r="E39" i="66" s="1"/>
  <c r="H69" i="66"/>
  <c r="T69" i="66" s="1"/>
  <c r="H72" i="66"/>
  <c r="T72" i="66" s="1"/>
  <c r="F85" i="66"/>
  <c r="R85" i="66" s="1"/>
  <c r="F88" i="66"/>
  <c r="R88" i="66" s="1"/>
  <c r="F90" i="66"/>
  <c r="R90" i="66" s="1"/>
  <c r="F92" i="66"/>
  <c r="R92" i="66" s="1"/>
  <c r="F94" i="66"/>
  <c r="R94" i="66" s="1"/>
  <c r="F96" i="66"/>
  <c r="R96" i="66" s="1"/>
  <c r="F104" i="66"/>
  <c r="R104" i="66" s="1"/>
  <c r="F105" i="66"/>
  <c r="R105" i="66" s="1"/>
  <c r="F106" i="66"/>
  <c r="R106" i="66" s="1"/>
  <c r="G113" i="66"/>
  <c r="T113" i="66" s="1"/>
  <c r="G114" i="66"/>
  <c r="T114" i="66" s="1"/>
  <c r="U114" i="66" s="1"/>
  <c r="H121" i="66"/>
  <c r="R121" i="66"/>
  <c r="R122" i="66" s="1"/>
  <c r="F122" i="66"/>
  <c r="H122" i="66"/>
  <c r="T122" i="66" s="1"/>
  <c r="I143" i="66"/>
  <c r="A152" i="66"/>
  <c r="A162" i="66"/>
  <c r="A164" i="66"/>
  <c r="A168" i="66"/>
  <c r="A172" i="66"/>
  <c r="A173" i="66"/>
  <c r="A174" i="66"/>
  <c r="A178" i="66"/>
  <c r="A179" i="66"/>
  <c r="A180" i="66"/>
  <c r="A182" i="66"/>
  <c r="A183" i="66"/>
  <c r="A184" i="66"/>
  <c r="A185" i="66"/>
  <c r="N1" i="58"/>
  <c r="A3" i="58"/>
  <c r="N3" i="58" s="1"/>
  <c r="F4" i="58"/>
  <c r="P4" i="58"/>
  <c r="N7" i="58"/>
  <c r="C8" i="58"/>
  <c r="P8" i="58" s="1"/>
  <c r="H8" i="58"/>
  <c r="T8" i="58" s="1"/>
  <c r="F14" i="58"/>
  <c r="F15" i="58"/>
  <c r="F16" i="58"/>
  <c r="F17" i="58"/>
  <c r="F18" i="58"/>
  <c r="F19" i="58"/>
  <c r="F20" i="58"/>
  <c r="F21" i="58"/>
  <c r="F22" i="58"/>
  <c r="F23" i="58"/>
  <c r="F24" i="58"/>
  <c r="F25" i="58"/>
  <c r="F26" i="58"/>
  <c r="F27" i="58"/>
  <c r="F28" i="58"/>
  <c r="F29" i="58"/>
  <c r="D30" i="58"/>
  <c r="C44" i="58"/>
  <c r="D44" i="58"/>
  <c r="H69" i="58"/>
  <c r="T69" i="58" s="1"/>
  <c r="H72" i="58"/>
  <c r="T72" i="58" s="1"/>
  <c r="F85" i="58"/>
  <c r="F88" i="58"/>
  <c r="R88" i="58" s="1"/>
  <c r="F90" i="58"/>
  <c r="F92" i="58"/>
  <c r="R92" i="58" s="1"/>
  <c r="F94" i="58"/>
  <c r="R94" i="58" s="1"/>
  <c r="F96" i="58"/>
  <c r="R96" i="58" s="1"/>
  <c r="F104" i="58"/>
  <c r="R104" i="58" s="1"/>
  <c r="F105" i="58"/>
  <c r="R105" i="58" s="1"/>
  <c r="F106" i="58"/>
  <c r="R106" i="58" s="1"/>
  <c r="G113" i="58"/>
  <c r="I113" i="58" s="1"/>
  <c r="G114" i="58"/>
  <c r="T114" i="58" s="1"/>
  <c r="U114" i="58" s="1"/>
  <c r="H121" i="58"/>
  <c r="T121" i="58" s="1"/>
  <c r="R121" i="58"/>
  <c r="R122" i="58" s="1"/>
  <c r="F122" i="58"/>
  <c r="H122" i="58"/>
  <c r="T122" i="58" s="1"/>
  <c r="I143" i="58"/>
  <c r="A152" i="58"/>
  <c r="A162" i="58"/>
  <c r="A164" i="58"/>
  <c r="A168" i="58"/>
  <c r="A172" i="58"/>
  <c r="A173" i="58"/>
  <c r="A174" i="58"/>
  <c r="A178" i="58"/>
  <c r="A179" i="58"/>
  <c r="A180" i="58"/>
  <c r="A182" i="58"/>
  <c r="A183" i="58"/>
  <c r="A184" i="58"/>
  <c r="A185" i="58"/>
  <c r="N1" i="57"/>
  <c r="A3" i="57"/>
  <c r="N3" i="57" s="1"/>
  <c r="F4" i="57"/>
  <c r="P4" i="57"/>
  <c r="N7" i="57"/>
  <c r="C8" i="57"/>
  <c r="P8" i="57" s="1"/>
  <c r="H8" i="57"/>
  <c r="E105" i="57" s="1"/>
  <c r="F14" i="57"/>
  <c r="F15" i="57"/>
  <c r="F16" i="57"/>
  <c r="F17" i="57"/>
  <c r="F18" i="57"/>
  <c r="F19" i="57"/>
  <c r="F20" i="57"/>
  <c r="F21" i="57"/>
  <c r="F22" i="57"/>
  <c r="F23" i="57"/>
  <c r="F24" i="57"/>
  <c r="F25" i="57"/>
  <c r="F26" i="57"/>
  <c r="F27" i="57"/>
  <c r="F28" i="57"/>
  <c r="F29" i="57"/>
  <c r="C30" i="57"/>
  <c r="D30" i="57"/>
  <c r="E121" i="57" s="1"/>
  <c r="C44" i="57"/>
  <c r="D44" i="57"/>
  <c r="E40" i="57" s="1"/>
  <c r="H69" i="57"/>
  <c r="T69" i="57" s="1"/>
  <c r="H72" i="57"/>
  <c r="T72" i="57" s="1"/>
  <c r="F85" i="57"/>
  <c r="R85" i="57" s="1"/>
  <c r="F88" i="57"/>
  <c r="R88" i="57" s="1"/>
  <c r="F90" i="57"/>
  <c r="R90" i="57" s="1"/>
  <c r="F92" i="57"/>
  <c r="R92" i="57" s="1"/>
  <c r="F94" i="57"/>
  <c r="R94" i="57" s="1"/>
  <c r="F96" i="57"/>
  <c r="R96" i="57" s="1"/>
  <c r="F104" i="57"/>
  <c r="R104" i="57" s="1"/>
  <c r="F105" i="57"/>
  <c r="R105" i="57" s="1"/>
  <c r="F106" i="57"/>
  <c r="R106" i="57" s="1"/>
  <c r="G113" i="57"/>
  <c r="T113" i="57" s="1"/>
  <c r="G114" i="57"/>
  <c r="H121" i="57"/>
  <c r="R121" i="57"/>
  <c r="R122" i="57" s="1"/>
  <c r="F122" i="57"/>
  <c r="H122" i="57"/>
  <c r="T122" i="57" s="1"/>
  <c r="I143" i="57"/>
  <c r="A152" i="57"/>
  <c r="A162" i="57"/>
  <c r="A164" i="57"/>
  <c r="A168" i="57"/>
  <c r="A172" i="57"/>
  <c r="A173" i="57"/>
  <c r="A174" i="57"/>
  <c r="A178" i="57"/>
  <c r="A179" i="57"/>
  <c r="A180" i="57"/>
  <c r="A182" i="57"/>
  <c r="A183" i="57"/>
  <c r="A184" i="57"/>
  <c r="A185" i="57"/>
  <c r="N1" i="56"/>
  <c r="A3" i="56"/>
  <c r="N3" i="56" s="1"/>
  <c r="F4" i="56"/>
  <c r="P4" i="56"/>
  <c r="N7" i="56"/>
  <c r="C8" i="56"/>
  <c r="P8" i="56" s="1"/>
  <c r="H8" i="56"/>
  <c r="T8" i="56" s="1"/>
  <c r="F14" i="56"/>
  <c r="F15" i="56"/>
  <c r="F16" i="56"/>
  <c r="F17" i="56"/>
  <c r="F18" i="56"/>
  <c r="F19" i="56"/>
  <c r="F20" i="56"/>
  <c r="F21" i="56"/>
  <c r="F22" i="56"/>
  <c r="F23" i="56"/>
  <c r="F24" i="56"/>
  <c r="F25" i="56"/>
  <c r="F26" i="56"/>
  <c r="F27" i="56"/>
  <c r="F28" i="56"/>
  <c r="F29" i="56"/>
  <c r="C30" i="56"/>
  <c r="D30" i="56"/>
  <c r="C44" i="56"/>
  <c r="D44" i="56"/>
  <c r="H69" i="56"/>
  <c r="T69" i="56" s="1"/>
  <c r="H72" i="56"/>
  <c r="T72" i="56" s="1"/>
  <c r="F85" i="56"/>
  <c r="R85" i="56" s="1"/>
  <c r="F88" i="56"/>
  <c r="R88" i="56" s="1"/>
  <c r="F90" i="56"/>
  <c r="R90" i="56" s="1"/>
  <c r="F92" i="56"/>
  <c r="F94" i="56"/>
  <c r="R94" i="56" s="1"/>
  <c r="F96" i="56"/>
  <c r="R96" i="56" s="1"/>
  <c r="F104" i="56"/>
  <c r="R104" i="56" s="1"/>
  <c r="F105" i="56"/>
  <c r="R105" i="56" s="1"/>
  <c r="F106" i="56"/>
  <c r="R106" i="56" s="1"/>
  <c r="G113" i="56"/>
  <c r="I113" i="56" s="1"/>
  <c r="G114" i="56"/>
  <c r="T114" i="56" s="1"/>
  <c r="U114" i="56" s="1"/>
  <c r="H121" i="56"/>
  <c r="T121" i="56" s="1"/>
  <c r="R121" i="56"/>
  <c r="R122" i="56" s="1"/>
  <c r="F122" i="56"/>
  <c r="H122" i="56"/>
  <c r="I143" i="56"/>
  <c r="A152" i="56"/>
  <c r="A162" i="56"/>
  <c r="A164" i="56"/>
  <c r="A168" i="56"/>
  <c r="A172" i="56"/>
  <c r="A173" i="56"/>
  <c r="A174" i="56"/>
  <c r="A178" i="56"/>
  <c r="A179" i="56"/>
  <c r="A180" i="56"/>
  <c r="A182" i="56"/>
  <c r="A183" i="56"/>
  <c r="A184" i="56"/>
  <c r="A185" i="56"/>
  <c r="N1" i="55"/>
  <c r="A3" i="55"/>
  <c r="N3" i="55" s="1"/>
  <c r="F4" i="55"/>
  <c r="P4" i="55"/>
  <c r="N7" i="55"/>
  <c r="C8" i="55"/>
  <c r="P8" i="55" s="1"/>
  <c r="H8" i="55"/>
  <c r="F14" i="55"/>
  <c r="F15" i="55"/>
  <c r="F16" i="55"/>
  <c r="F17" i="55"/>
  <c r="F18" i="55"/>
  <c r="F19" i="55"/>
  <c r="F20" i="55"/>
  <c r="F21" i="55"/>
  <c r="F22" i="55"/>
  <c r="F23" i="55"/>
  <c r="F24" i="55"/>
  <c r="F25" i="55"/>
  <c r="F26" i="55"/>
  <c r="F27" i="55"/>
  <c r="F28" i="55"/>
  <c r="F29" i="55"/>
  <c r="C30" i="55"/>
  <c r="D30" i="55"/>
  <c r="C44" i="55"/>
  <c r="D44" i="55"/>
  <c r="E38" i="55" s="1"/>
  <c r="H69" i="55"/>
  <c r="T69" i="55" s="1"/>
  <c r="H72" i="55"/>
  <c r="T72" i="55" s="1"/>
  <c r="F85" i="55"/>
  <c r="F88" i="55"/>
  <c r="R88" i="55" s="1"/>
  <c r="F90" i="55"/>
  <c r="F92" i="55"/>
  <c r="R92" i="55" s="1"/>
  <c r="F94" i="55"/>
  <c r="F96" i="55"/>
  <c r="R96" i="55" s="1"/>
  <c r="F104" i="55"/>
  <c r="R104" i="55" s="1"/>
  <c r="F105" i="55"/>
  <c r="R105" i="55" s="1"/>
  <c r="F106" i="55"/>
  <c r="R106" i="55" s="1"/>
  <c r="G113" i="55"/>
  <c r="T113" i="55" s="1"/>
  <c r="G114" i="55"/>
  <c r="T114" i="55" s="1"/>
  <c r="U114" i="55" s="1"/>
  <c r="H121" i="55"/>
  <c r="T121" i="55" s="1"/>
  <c r="R121" i="55"/>
  <c r="R122" i="55" s="1"/>
  <c r="F122" i="55"/>
  <c r="H122" i="55"/>
  <c r="T122" i="55" s="1"/>
  <c r="I143" i="55"/>
  <c r="A152" i="55"/>
  <c r="A162" i="55"/>
  <c r="A164" i="55"/>
  <c r="A168" i="55"/>
  <c r="A172" i="55"/>
  <c r="A173" i="55"/>
  <c r="A174" i="55"/>
  <c r="A178" i="55"/>
  <c r="A179" i="55"/>
  <c r="A180" i="55"/>
  <c r="A182" i="55"/>
  <c r="A183" i="55"/>
  <c r="A184" i="55"/>
  <c r="A185" i="55"/>
  <c r="N1" i="76"/>
  <c r="A3" i="76"/>
  <c r="N3" i="76" s="1"/>
  <c r="F4" i="76"/>
  <c r="P4" i="76"/>
  <c r="N7" i="76"/>
  <c r="C8" i="76"/>
  <c r="P8" i="76" s="1"/>
  <c r="H8" i="76"/>
  <c r="F14" i="76"/>
  <c r="F15" i="76"/>
  <c r="F16" i="76"/>
  <c r="F17" i="76"/>
  <c r="F18" i="76"/>
  <c r="F19" i="76"/>
  <c r="F20" i="76"/>
  <c r="F21" i="76"/>
  <c r="F22" i="76"/>
  <c r="F23" i="76"/>
  <c r="F24" i="76"/>
  <c r="F25" i="76"/>
  <c r="F26" i="76"/>
  <c r="F27" i="76"/>
  <c r="F28" i="76"/>
  <c r="F29" i="76"/>
  <c r="C30" i="76"/>
  <c r="D30" i="76"/>
  <c r="C44" i="76"/>
  <c r="D44" i="76"/>
  <c r="E41" i="76" s="1"/>
  <c r="H69" i="76"/>
  <c r="T69" i="76" s="1"/>
  <c r="H72" i="76"/>
  <c r="T72" i="76" s="1"/>
  <c r="F85" i="76"/>
  <c r="R85" i="76" s="1"/>
  <c r="F88" i="76"/>
  <c r="R88" i="76" s="1"/>
  <c r="F90" i="76"/>
  <c r="R90" i="76" s="1"/>
  <c r="F92" i="76"/>
  <c r="F94" i="76"/>
  <c r="R94" i="76" s="1"/>
  <c r="F96" i="76"/>
  <c r="R96" i="76" s="1"/>
  <c r="F104" i="76"/>
  <c r="R104" i="76" s="1"/>
  <c r="F105" i="76"/>
  <c r="R105" i="76" s="1"/>
  <c r="F106" i="76"/>
  <c r="R106" i="76" s="1"/>
  <c r="G113" i="76"/>
  <c r="I113" i="76" s="1"/>
  <c r="G114" i="76"/>
  <c r="H121" i="76"/>
  <c r="H123" i="76" s="1"/>
  <c r="R121" i="76"/>
  <c r="R122" i="76" s="1"/>
  <c r="F122" i="76"/>
  <c r="H122" i="76"/>
  <c r="T122" i="76" s="1"/>
  <c r="I143" i="76"/>
  <c r="A152" i="76"/>
  <c r="A162" i="76"/>
  <c r="A164" i="76"/>
  <c r="A168" i="76"/>
  <c r="A172" i="76"/>
  <c r="A173" i="76"/>
  <c r="A174" i="76"/>
  <c r="A178" i="76"/>
  <c r="A179" i="76"/>
  <c r="A180" i="76"/>
  <c r="A182" i="76"/>
  <c r="A183" i="76"/>
  <c r="A184" i="76"/>
  <c r="A185" i="76"/>
  <c r="N1" i="75"/>
  <c r="A3" i="75"/>
  <c r="N3" i="75" s="1"/>
  <c r="F4" i="75"/>
  <c r="P4" i="75"/>
  <c r="N7" i="75"/>
  <c r="C8" i="75"/>
  <c r="P8" i="75" s="1"/>
  <c r="H8" i="75"/>
  <c r="F14" i="75"/>
  <c r="F15" i="75"/>
  <c r="F16" i="75"/>
  <c r="F17" i="75"/>
  <c r="F18" i="75"/>
  <c r="F19" i="75"/>
  <c r="F20" i="75"/>
  <c r="F21" i="75"/>
  <c r="F22" i="75"/>
  <c r="F23" i="75"/>
  <c r="F24" i="75"/>
  <c r="F25" i="75"/>
  <c r="F26" i="75"/>
  <c r="F27" i="75"/>
  <c r="F28" i="75"/>
  <c r="F29" i="75"/>
  <c r="C30" i="75"/>
  <c r="D30" i="75"/>
  <c r="C44" i="75"/>
  <c r="D44" i="75"/>
  <c r="H69" i="75"/>
  <c r="T69" i="75" s="1"/>
  <c r="H72" i="75"/>
  <c r="T72" i="75" s="1"/>
  <c r="F85" i="75"/>
  <c r="F88" i="75"/>
  <c r="R88" i="75" s="1"/>
  <c r="F90" i="75"/>
  <c r="F92" i="75"/>
  <c r="R92" i="75" s="1"/>
  <c r="F94" i="75"/>
  <c r="R94" i="75" s="1"/>
  <c r="F96" i="75"/>
  <c r="R96" i="75" s="1"/>
  <c r="F104" i="75"/>
  <c r="R104" i="75" s="1"/>
  <c r="F105" i="75"/>
  <c r="R105" i="75" s="1"/>
  <c r="F106" i="75"/>
  <c r="R106" i="75" s="1"/>
  <c r="G113" i="75"/>
  <c r="I113" i="75" s="1"/>
  <c r="G114" i="75"/>
  <c r="T114" i="75" s="1"/>
  <c r="U114" i="75" s="1"/>
  <c r="H121" i="75"/>
  <c r="T121" i="75" s="1"/>
  <c r="R121" i="75"/>
  <c r="R122" i="75" s="1"/>
  <c r="F122" i="75"/>
  <c r="H122" i="75"/>
  <c r="I143" i="75"/>
  <c r="A152" i="75"/>
  <c r="A162" i="75"/>
  <c r="A164" i="75"/>
  <c r="A168" i="75"/>
  <c r="A172" i="75"/>
  <c r="A173" i="75"/>
  <c r="A174" i="75"/>
  <c r="A178" i="75"/>
  <c r="A179" i="75"/>
  <c r="A180" i="75"/>
  <c r="A182" i="75"/>
  <c r="A183" i="75"/>
  <c r="A184" i="75"/>
  <c r="A185" i="75"/>
  <c r="N1" i="52"/>
  <c r="A3" i="52"/>
  <c r="N3" i="52" s="1"/>
  <c r="F4" i="52"/>
  <c r="P4" i="52"/>
  <c r="N7" i="52"/>
  <c r="C8" i="52"/>
  <c r="P8" i="52" s="1"/>
  <c r="H8" i="52"/>
  <c r="T8" i="52" s="1"/>
  <c r="F14" i="52"/>
  <c r="F15" i="52"/>
  <c r="F16" i="52"/>
  <c r="F17" i="52"/>
  <c r="F18" i="52"/>
  <c r="F19" i="52"/>
  <c r="F20" i="52"/>
  <c r="F21" i="52"/>
  <c r="F22" i="52"/>
  <c r="F23" i="52"/>
  <c r="F24" i="52"/>
  <c r="F25" i="52"/>
  <c r="F26" i="52"/>
  <c r="F27" i="52"/>
  <c r="F28" i="52"/>
  <c r="F29" i="52"/>
  <c r="C30" i="52"/>
  <c r="D30" i="52"/>
  <c r="C44" i="52"/>
  <c r="D44" i="52"/>
  <c r="E42" i="52" s="1"/>
  <c r="H69" i="52"/>
  <c r="T69" i="52" s="1"/>
  <c r="H72" i="52"/>
  <c r="T72" i="52" s="1"/>
  <c r="F85" i="52"/>
  <c r="R85" i="52" s="1"/>
  <c r="F88" i="52"/>
  <c r="R88" i="52" s="1"/>
  <c r="F90" i="52"/>
  <c r="R90" i="52" s="1"/>
  <c r="F92" i="52"/>
  <c r="F94" i="52"/>
  <c r="F96" i="52"/>
  <c r="R96" i="52" s="1"/>
  <c r="F104" i="52"/>
  <c r="R104" i="52" s="1"/>
  <c r="F105" i="52"/>
  <c r="R105" i="52" s="1"/>
  <c r="F106" i="52"/>
  <c r="R106" i="52" s="1"/>
  <c r="G113" i="52"/>
  <c r="I113" i="52" s="1"/>
  <c r="G114" i="52"/>
  <c r="I114" i="52" s="1"/>
  <c r="H121" i="52"/>
  <c r="T121" i="52" s="1"/>
  <c r="R121" i="52"/>
  <c r="R122" i="52" s="1"/>
  <c r="F122" i="52"/>
  <c r="H122" i="52"/>
  <c r="T122" i="52" s="1"/>
  <c r="I143" i="52"/>
  <c r="A152" i="52"/>
  <c r="A162" i="52"/>
  <c r="A164" i="52"/>
  <c r="A168" i="52"/>
  <c r="A172" i="52"/>
  <c r="A173" i="52"/>
  <c r="A174" i="52"/>
  <c r="A178" i="52"/>
  <c r="A179" i="52"/>
  <c r="A180" i="52"/>
  <c r="A182" i="52"/>
  <c r="A183" i="52"/>
  <c r="A184" i="52"/>
  <c r="A185" i="52"/>
  <c r="N1" i="51"/>
  <c r="A3" i="51"/>
  <c r="N3" i="51" s="1"/>
  <c r="F4" i="51"/>
  <c r="P4" i="51"/>
  <c r="N7" i="51"/>
  <c r="C8" i="51"/>
  <c r="P8" i="51" s="1"/>
  <c r="H8" i="51"/>
  <c r="T8" i="51" s="1"/>
  <c r="P104" i="51" s="1"/>
  <c r="F14" i="51"/>
  <c r="F15" i="51"/>
  <c r="F16" i="51"/>
  <c r="F17" i="51"/>
  <c r="F18" i="51"/>
  <c r="F19" i="51"/>
  <c r="F20" i="51"/>
  <c r="F21" i="51"/>
  <c r="F22" i="51"/>
  <c r="F23" i="51"/>
  <c r="F24" i="51"/>
  <c r="F25" i="51"/>
  <c r="F26" i="51"/>
  <c r="F27" i="51"/>
  <c r="F28" i="51"/>
  <c r="F29" i="51"/>
  <c r="C30" i="51"/>
  <c r="D30" i="51"/>
  <c r="C44" i="51"/>
  <c r="D44" i="51"/>
  <c r="E40" i="51" s="1"/>
  <c r="H69" i="51"/>
  <c r="T69" i="51" s="1"/>
  <c r="H72" i="51"/>
  <c r="T72" i="51" s="1"/>
  <c r="F85" i="51"/>
  <c r="R85" i="51" s="1"/>
  <c r="F88" i="51"/>
  <c r="R88" i="51" s="1"/>
  <c r="F90" i="51"/>
  <c r="R90" i="51" s="1"/>
  <c r="F92" i="51"/>
  <c r="R92" i="51" s="1"/>
  <c r="F94" i="51"/>
  <c r="F96" i="51"/>
  <c r="F104" i="51"/>
  <c r="R104" i="51" s="1"/>
  <c r="F105" i="51"/>
  <c r="R105" i="51" s="1"/>
  <c r="F106" i="51"/>
  <c r="R106" i="51" s="1"/>
  <c r="G113" i="51"/>
  <c r="I113" i="51" s="1"/>
  <c r="G114" i="51"/>
  <c r="T114" i="51" s="1"/>
  <c r="U114" i="51" s="1"/>
  <c r="H121" i="51"/>
  <c r="T121" i="51" s="1"/>
  <c r="R121" i="51"/>
  <c r="R122" i="51" s="1"/>
  <c r="F122" i="51"/>
  <c r="H122" i="51"/>
  <c r="T122" i="51" s="1"/>
  <c r="I143" i="51"/>
  <c r="A152" i="51"/>
  <c r="A162" i="51"/>
  <c r="A164" i="51"/>
  <c r="A168" i="51"/>
  <c r="A172" i="51"/>
  <c r="A173" i="51"/>
  <c r="A174" i="51"/>
  <c r="A178" i="51"/>
  <c r="A179" i="51"/>
  <c r="A180" i="51"/>
  <c r="A182" i="51"/>
  <c r="A183" i="51"/>
  <c r="A184" i="51"/>
  <c r="A185" i="51"/>
  <c r="N1" i="50"/>
  <c r="A3" i="50"/>
  <c r="N3" i="50" s="1"/>
  <c r="F4" i="50"/>
  <c r="P4" i="50"/>
  <c r="N7" i="50"/>
  <c r="C8" i="50"/>
  <c r="P8" i="50" s="1"/>
  <c r="H8" i="50"/>
  <c r="E104" i="50" s="1"/>
  <c r="F14" i="50"/>
  <c r="F15" i="50"/>
  <c r="F16" i="50"/>
  <c r="F17" i="50"/>
  <c r="F18" i="50"/>
  <c r="F19" i="50"/>
  <c r="F20" i="50"/>
  <c r="F21" i="50"/>
  <c r="F22" i="50"/>
  <c r="F23" i="50"/>
  <c r="F24" i="50"/>
  <c r="F25" i="50"/>
  <c r="F26" i="50"/>
  <c r="F27" i="50"/>
  <c r="F28" i="50"/>
  <c r="F29" i="50"/>
  <c r="C30" i="50"/>
  <c r="D30" i="50"/>
  <c r="C44" i="50"/>
  <c r="D44" i="50"/>
  <c r="E40" i="50" s="1"/>
  <c r="H69" i="50"/>
  <c r="T69" i="50" s="1"/>
  <c r="H72" i="50"/>
  <c r="T72" i="50" s="1"/>
  <c r="F85" i="50"/>
  <c r="R85" i="50" s="1"/>
  <c r="F88" i="50"/>
  <c r="R88" i="50" s="1"/>
  <c r="F90" i="50"/>
  <c r="R90" i="50" s="1"/>
  <c r="F92" i="50"/>
  <c r="R92" i="50" s="1"/>
  <c r="F94" i="50"/>
  <c r="R94" i="50" s="1"/>
  <c r="F96" i="50"/>
  <c r="R96" i="50" s="1"/>
  <c r="F104" i="50"/>
  <c r="R104" i="50" s="1"/>
  <c r="F105" i="50"/>
  <c r="R105" i="50" s="1"/>
  <c r="F106" i="50"/>
  <c r="R106" i="50" s="1"/>
  <c r="G113" i="50"/>
  <c r="T113" i="50" s="1"/>
  <c r="G114" i="50"/>
  <c r="I114" i="50" s="1"/>
  <c r="H121" i="50"/>
  <c r="R121" i="50"/>
  <c r="R122" i="50" s="1"/>
  <c r="F122" i="50"/>
  <c r="H122" i="50"/>
  <c r="T122" i="50" s="1"/>
  <c r="I143" i="50"/>
  <c r="A152" i="50"/>
  <c r="A162" i="50"/>
  <c r="A164" i="50"/>
  <c r="A168" i="50"/>
  <c r="A172" i="50"/>
  <c r="A173" i="50"/>
  <c r="A174" i="50"/>
  <c r="A178" i="50"/>
  <c r="A179" i="50"/>
  <c r="A180" i="50"/>
  <c r="A182" i="50"/>
  <c r="A183" i="50"/>
  <c r="A184" i="50"/>
  <c r="A185" i="50"/>
  <c r="N1" i="48"/>
  <c r="A3" i="48"/>
  <c r="N3" i="48" s="1"/>
  <c r="F4" i="48"/>
  <c r="P4" i="48"/>
  <c r="N7" i="48"/>
  <c r="C8" i="48"/>
  <c r="P8" i="48" s="1"/>
  <c r="H8" i="48"/>
  <c r="F14" i="48"/>
  <c r="F15" i="48"/>
  <c r="F16" i="48"/>
  <c r="F17" i="48"/>
  <c r="F18" i="48"/>
  <c r="F19" i="48"/>
  <c r="F20" i="48"/>
  <c r="F21" i="48"/>
  <c r="F22" i="48"/>
  <c r="F23" i="48"/>
  <c r="F24" i="48"/>
  <c r="F25" i="48"/>
  <c r="F26" i="48"/>
  <c r="F27" i="48"/>
  <c r="F28" i="48"/>
  <c r="F29" i="48"/>
  <c r="C30" i="48"/>
  <c r="D30" i="48"/>
  <c r="C44" i="48"/>
  <c r="D44" i="48"/>
  <c r="H69" i="48"/>
  <c r="T69" i="48" s="1"/>
  <c r="H72" i="48"/>
  <c r="T72" i="48" s="1"/>
  <c r="F85" i="48"/>
  <c r="R85" i="48" s="1"/>
  <c r="F88" i="48"/>
  <c r="F90" i="48"/>
  <c r="R90" i="48" s="1"/>
  <c r="F92" i="48"/>
  <c r="F94" i="48"/>
  <c r="R94" i="48" s="1"/>
  <c r="F96" i="48"/>
  <c r="F104" i="48"/>
  <c r="R104" i="48" s="1"/>
  <c r="F105" i="48"/>
  <c r="R105" i="48" s="1"/>
  <c r="F106" i="48"/>
  <c r="R106" i="48" s="1"/>
  <c r="G113" i="48"/>
  <c r="T113" i="48" s="1"/>
  <c r="G114" i="48"/>
  <c r="I114" i="48" s="1"/>
  <c r="H121" i="48"/>
  <c r="R121" i="48"/>
  <c r="R122" i="48" s="1"/>
  <c r="F122" i="48"/>
  <c r="H122" i="48"/>
  <c r="I143" i="48"/>
  <c r="A152" i="48"/>
  <c r="A162" i="48"/>
  <c r="A164" i="48"/>
  <c r="A168" i="48"/>
  <c r="A172" i="48"/>
  <c r="A173" i="48"/>
  <c r="A174" i="48"/>
  <c r="A178" i="48"/>
  <c r="A179" i="48"/>
  <c r="A180" i="48"/>
  <c r="A182" i="48"/>
  <c r="A183" i="48"/>
  <c r="A184" i="48"/>
  <c r="A185" i="48"/>
  <c r="N1" i="47"/>
  <c r="A3" i="47"/>
  <c r="N3" i="47" s="1"/>
  <c r="F4" i="47"/>
  <c r="P4" i="47"/>
  <c r="N7" i="47"/>
  <c r="C8" i="47"/>
  <c r="P8" i="47" s="1"/>
  <c r="H8" i="47"/>
  <c r="F14" i="47"/>
  <c r="F15" i="47"/>
  <c r="F16" i="47"/>
  <c r="F17" i="47"/>
  <c r="F18" i="47"/>
  <c r="F19" i="47"/>
  <c r="F20" i="47"/>
  <c r="F21" i="47"/>
  <c r="F22" i="47"/>
  <c r="F23" i="47"/>
  <c r="F24" i="47"/>
  <c r="F25" i="47"/>
  <c r="F26" i="47"/>
  <c r="F27" i="47"/>
  <c r="F28" i="47"/>
  <c r="F29" i="47"/>
  <c r="C30" i="47"/>
  <c r="D30" i="47"/>
  <c r="C44" i="47"/>
  <c r="D44" i="47"/>
  <c r="H69" i="47"/>
  <c r="T69" i="47" s="1"/>
  <c r="H72" i="47"/>
  <c r="T72" i="47" s="1"/>
  <c r="F85" i="47"/>
  <c r="R85" i="47" s="1"/>
  <c r="F88" i="47"/>
  <c r="R88" i="47" s="1"/>
  <c r="F90" i="47"/>
  <c r="R90" i="47" s="1"/>
  <c r="F92" i="47"/>
  <c r="F94" i="47"/>
  <c r="R94" i="47" s="1"/>
  <c r="F96" i="47"/>
  <c r="R96" i="47" s="1"/>
  <c r="F104" i="47"/>
  <c r="R104" i="47" s="1"/>
  <c r="F105" i="47"/>
  <c r="R105" i="47" s="1"/>
  <c r="F106" i="47"/>
  <c r="R106" i="47" s="1"/>
  <c r="G113" i="47"/>
  <c r="T113" i="47" s="1"/>
  <c r="G114" i="47"/>
  <c r="I114" i="47" s="1"/>
  <c r="H121" i="47"/>
  <c r="R121" i="47"/>
  <c r="R122" i="47" s="1"/>
  <c r="F122" i="47"/>
  <c r="H122" i="47"/>
  <c r="T122" i="47" s="1"/>
  <c r="I143" i="47"/>
  <c r="A152" i="47"/>
  <c r="A162" i="47"/>
  <c r="A164" i="47"/>
  <c r="A168" i="47"/>
  <c r="A172" i="47"/>
  <c r="A173" i="47"/>
  <c r="A174" i="47"/>
  <c r="A178" i="47"/>
  <c r="A179" i="47"/>
  <c r="A180" i="47"/>
  <c r="A182" i="47"/>
  <c r="A183" i="47"/>
  <c r="A184" i="47"/>
  <c r="A185" i="47"/>
  <c r="N1" i="45"/>
  <c r="A3" i="45"/>
  <c r="N3" i="45" s="1"/>
  <c r="F4" i="45"/>
  <c r="P4" i="45"/>
  <c r="N7" i="45"/>
  <c r="C8" i="45"/>
  <c r="P8" i="45" s="1"/>
  <c r="H8" i="45"/>
  <c r="T8" i="45" s="1"/>
  <c r="P104" i="45" s="1"/>
  <c r="F14" i="45"/>
  <c r="F15" i="45"/>
  <c r="F16" i="45"/>
  <c r="F17" i="45"/>
  <c r="F18" i="45"/>
  <c r="F19" i="45"/>
  <c r="F20" i="45"/>
  <c r="F21" i="45"/>
  <c r="F22" i="45"/>
  <c r="F23" i="45"/>
  <c r="F24" i="45"/>
  <c r="F25" i="45"/>
  <c r="F26" i="45"/>
  <c r="F27" i="45"/>
  <c r="F28" i="45"/>
  <c r="F29" i="45"/>
  <c r="C30" i="45"/>
  <c r="D30" i="45"/>
  <c r="C44" i="45"/>
  <c r="D44" i="45"/>
  <c r="E40" i="45" s="1"/>
  <c r="H69" i="45"/>
  <c r="T69" i="45" s="1"/>
  <c r="H72" i="45"/>
  <c r="T72" i="45" s="1"/>
  <c r="F85" i="45"/>
  <c r="R85" i="45" s="1"/>
  <c r="F88" i="45"/>
  <c r="R88" i="45" s="1"/>
  <c r="F90" i="45"/>
  <c r="R90" i="45" s="1"/>
  <c r="F92" i="45"/>
  <c r="F94" i="45"/>
  <c r="F96" i="45"/>
  <c r="R96" i="45" s="1"/>
  <c r="F104" i="45"/>
  <c r="R104" i="45" s="1"/>
  <c r="F105" i="45"/>
  <c r="R105" i="45" s="1"/>
  <c r="F106" i="45"/>
  <c r="R106" i="45" s="1"/>
  <c r="G113" i="45"/>
  <c r="G114" i="45"/>
  <c r="I114" i="45" s="1"/>
  <c r="H121" i="45"/>
  <c r="R121" i="45"/>
  <c r="R122" i="45" s="1"/>
  <c r="F122" i="45"/>
  <c r="H122" i="45"/>
  <c r="T122" i="45" s="1"/>
  <c r="I143" i="45"/>
  <c r="A152" i="45"/>
  <c r="A162" i="45"/>
  <c r="A164" i="45"/>
  <c r="A168" i="45"/>
  <c r="A172" i="45"/>
  <c r="A173" i="45"/>
  <c r="A174" i="45"/>
  <c r="A178" i="45"/>
  <c r="A179" i="45"/>
  <c r="A180" i="45"/>
  <c r="A182" i="45"/>
  <c r="A183" i="45"/>
  <c r="A184" i="45"/>
  <c r="A185" i="45"/>
  <c r="N1" i="44"/>
  <c r="A3" i="44"/>
  <c r="N3" i="44" s="1"/>
  <c r="F4" i="44"/>
  <c r="P4" i="44"/>
  <c r="N7" i="44"/>
  <c r="C8" i="44"/>
  <c r="P8" i="44" s="1"/>
  <c r="H8" i="44"/>
  <c r="F14" i="44"/>
  <c r="F15" i="44"/>
  <c r="F16" i="44"/>
  <c r="F17" i="44"/>
  <c r="F18" i="44"/>
  <c r="F19" i="44"/>
  <c r="F20" i="44"/>
  <c r="F21" i="44"/>
  <c r="F22" i="44"/>
  <c r="F23" i="44"/>
  <c r="F24" i="44"/>
  <c r="F25" i="44"/>
  <c r="F26" i="44"/>
  <c r="F27" i="44"/>
  <c r="F28" i="44"/>
  <c r="F29" i="44"/>
  <c r="C30" i="44"/>
  <c r="D30" i="44"/>
  <c r="C44" i="44"/>
  <c r="D44" i="44"/>
  <c r="H69" i="44"/>
  <c r="T69" i="44" s="1"/>
  <c r="H72" i="44"/>
  <c r="T72" i="44" s="1"/>
  <c r="F85" i="44"/>
  <c r="R85" i="44" s="1"/>
  <c r="F88" i="44"/>
  <c r="F90" i="44"/>
  <c r="R90" i="44" s="1"/>
  <c r="F92" i="44"/>
  <c r="R92" i="44" s="1"/>
  <c r="F94" i="44"/>
  <c r="R94" i="44" s="1"/>
  <c r="F96" i="44"/>
  <c r="R96" i="44" s="1"/>
  <c r="F104" i="44"/>
  <c r="R104" i="44" s="1"/>
  <c r="F105" i="44"/>
  <c r="R105" i="44" s="1"/>
  <c r="F106" i="44"/>
  <c r="R106" i="44" s="1"/>
  <c r="G113" i="44"/>
  <c r="I113" i="44" s="1"/>
  <c r="G114" i="44"/>
  <c r="T114" i="44" s="1"/>
  <c r="U114" i="44" s="1"/>
  <c r="H121" i="44"/>
  <c r="H123" i="44" s="1"/>
  <c r="R121" i="44"/>
  <c r="R122" i="44" s="1"/>
  <c r="F122" i="44"/>
  <c r="H122" i="44"/>
  <c r="I143" i="44"/>
  <c r="A152" i="44"/>
  <c r="A162" i="44"/>
  <c r="A164" i="44"/>
  <c r="A168" i="44"/>
  <c r="A172" i="44"/>
  <c r="A173" i="44"/>
  <c r="A174" i="44"/>
  <c r="A178" i="44"/>
  <c r="A179" i="44"/>
  <c r="A180" i="44"/>
  <c r="A182" i="44"/>
  <c r="A183" i="44"/>
  <c r="A184" i="44"/>
  <c r="A185" i="44"/>
  <c r="N1" i="43"/>
  <c r="A3" i="43"/>
  <c r="N3" i="43" s="1"/>
  <c r="F4" i="43"/>
  <c r="P4" i="43"/>
  <c r="N7" i="43"/>
  <c r="C8" i="43"/>
  <c r="P8" i="43" s="1"/>
  <c r="H8" i="43"/>
  <c r="T8" i="43" s="1"/>
  <c r="F14" i="43"/>
  <c r="F15" i="43"/>
  <c r="F16" i="43"/>
  <c r="F17" i="43"/>
  <c r="F18" i="43"/>
  <c r="F19" i="43"/>
  <c r="F20" i="43"/>
  <c r="F21" i="43"/>
  <c r="F22" i="43"/>
  <c r="F23" i="43"/>
  <c r="F24" i="43"/>
  <c r="F25" i="43"/>
  <c r="F26" i="43"/>
  <c r="F27" i="43"/>
  <c r="F28" i="43"/>
  <c r="F29" i="43"/>
  <c r="C30" i="43"/>
  <c r="D30" i="43"/>
  <c r="C44" i="43"/>
  <c r="D44" i="43"/>
  <c r="E38" i="43" s="1"/>
  <c r="H69" i="43"/>
  <c r="T69" i="43" s="1"/>
  <c r="H72" i="43"/>
  <c r="T72" i="43" s="1"/>
  <c r="F85" i="43"/>
  <c r="R85" i="43" s="1"/>
  <c r="F88" i="43"/>
  <c r="R88" i="43" s="1"/>
  <c r="F90" i="43"/>
  <c r="R90" i="43" s="1"/>
  <c r="F92" i="43"/>
  <c r="R92" i="43" s="1"/>
  <c r="F94" i="43"/>
  <c r="R94" i="43" s="1"/>
  <c r="F96" i="43"/>
  <c r="R96" i="43" s="1"/>
  <c r="F104" i="43"/>
  <c r="R104" i="43" s="1"/>
  <c r="F105" i="43"/>
  <c r="R105" i="43" s="1"/>
  <c r="F106" i="43"/>
  <c r="R106" i="43" s="1"/>
  <c r="G113" i="43"/>
  <c r="G114" i="43"/>
  <c r="I114" i="43" s="1"/>
  <c r="H121" i="43"/>
  <c r="H123" i="43" s="1"/>
  <c r="R121" i="43"/>
  <c r="R122" i="43" s="1"/>
  <c r="F122" i="43"/>
  <c r="H122" i="43"/>
  <c r="T122" i="43" s="1"/>
  <c r="I143" i="43"/>
  <c r="A152" i="43"/>
  <c r="A162" i="43"/>
  <c r="A164" i="43"/>
  <c r="A168" i="43"/>
  <c r="A172" i="43"/>
  <c r="A173" i="43"/>
  <c r="A174" i="43"/>
  <c r="A178" i="43"/>
  <c r="A179" i="43"/>
  <c r="A180" i="43"/>
  <c r="A182" i="43"/>
  <c r="A183" i="43"/>
  <c r="A184" i="43"/>
  <c r="A185" i="43"/>
  <c r="N1" i="42"/>
  <c r="A3" i="42"/>
  <c r="N3" i="42" s="1"/>
  <c r="F4" i="42"/>
  <c r="P4" i="42"/>
  <c r="N7" i="42"/>
  <c r="C8" i="42"/>
  <c r="P8" i="42" s="1"/>
  <c r="H8" i="42"/>
  <c r="E106" i="42" s="1"/>
  <c r="F14" i="42"/>
  <c r="F15" i="42"/>
  <c r="F16" i="42"/>
  <c r="F17" i="42"/>
  <c r="F18" i="42"/>
  <c r="F19" i="42"/>
  <c r="F20" i="42"/>
  <c r="F21" i="42"/>
  <c r="F22" i="42"/>
  <c r="F23" i="42"/>
  <c r="F24" i="42"/>
  <c r="F25" i="42"/>
  <c r="F26" i="42"/>
  <c r="F27" i="42"/>
  <c r="F28" i="42"/>
  <c r="F29" i="42"/>
  <c r="C30" i="42"/>
  <c r="D30" i="42"/>
  <c r="C44" i="42"/>
  <c r="D44" i="42"/>
  <c r="E39" i="42" s="1"/>
  <c r="H69" i="42"/>
  <c r="T69" i="42" s="1"/>
  <c r="H72" i="42"/>
  <c r="T72" i="42" s="1"/>
  <c r="F85" i="42"/>
  <c r="F88" i="42"/>
  <c r="R88" i="42" s="1"/>
  <c r="F90" i="42"/>
  <c r="F92" i="42"/>
  <c r="R92" i="42" s="1"/>
  <c r="F94" i="42"/>
  <c r="F96" i="42"/>
  <c r="R96" i="42" s="1"/>
  <c r="F104" i="42"/>
  <c r="R104" i="42" s="1"/>
  <c r="F105" i="42"/>
  <c r="R105" i="42" s="1"/>
  <c r="F106" i="42"/>
  <c r="R106" i="42" s="1"/>
  <c r="G113" i="42"/>
  <c r="I113" i="42" s="1"/>
  <c r="G114" i="42"/>
  <c r="I114" i="42" s="1"/>
  <c r="H121" i="42"/>
  <c r="H123" i="42" s="1"/>
  <c r="T123" i="42" s="1"/>
  <c r="R121" i="42"/>
  <c r="R122" i="42" s="1"/>
  <c r="F122" i="42"/>
  <c r="H122" i="42"/>
  <c r="T122" i="42" s="1"/>
  <c r="I143" i="42"/>
  <c r="A152" i="42"/>
  <c r="A162" i="42"/>
  <c r="A164" i="42"/>
  <c r="A168" i="42"/>
  <c r="A172" i="42"/>
  <c r="A173" i="42"/>
  <c r="A174" i="42"/>
  <c r="A178" i="42"/>
  <c r="A179" i="42"/>
  <c r="A180" i="42"/>
  <c r="A182" i="42"/>
  <c r="A183" i="42"/>
  <c r="A184" i="42"/>
  <c r="A185" i="42"/>
  <c r="N1" i="40"/>
  <c r="A3" i="40"/>
  <c r="N3" i="40" s="1"/>
  <c r="F4" i="40"/>
  <c r="P4" i="40"/>
  <c r="N7" i="40"/>
  <c r="C8" i="40"/>
  <c r="P8" i="40" s="1"/>
  <c r="H8" i="40"/>
  <c r="F14" i="40"/>
  <c r="F15" i="40"/>
  <c r="F16" i="40"/>
  <c r="F17" i="40"/>
  <c r="F18" i="40"/>
  <c r="F19" i="40"/>
  <c r="F20" i="40"/>
  <c r="F21" i="40"/>
  <c r="F22" i="40"/>
  <c r="F23" i="40"/>
  <c r="F24" i="40"/>
  <c r="F25" i="40"/>
  <c r="F26" i="40"/>
  <c r="F27" i="40"/>
  <c r="F28" i="40"/>
  <c r="F29" i="40"/>
  <c r="C30" i="40"/>
  <c r="D30" i="40"/>
  <c r="E121" i="40" s="1"/>
  <c r="C44" i="40"/>
  <c r="D44" i="40"/>
  <c r="E38" i="40" s="1"/>
  <c r="H69" i="40"/>
  <c r="T69" i="40" s="1"/>
  <c r="H72" i="40"/>
  <c r="T72" i="40" s="1"/>
  <c r="F85" i="40"/>
  <c r="R85" i="40" s="1"/>
  <c r="F88" i="40"/>
  <c r="R88" i="40" s="1"/>
  <c r="F90" i="40"/>
  <c r="R90" i="40" s="1"/>
  <c r="F92" i="40"/>
  <c r="R92" i="40" s="1"/>
  <c r="F94" i="40"/>
  <c r="F96" i="40"/>
  <c r="R96" i="40" s="1"/>
  <c r="F104" i="40"/>
  <c r="R104" i="40" s="1"/>
  <c r="F105" i="40"/>
  <c r="R105" i="40" s="1"/>
  <c r="F106" i="40"/>
  <c r="R106" i="40" s="1"/>
  <c r="G113" i="40"/>
  <c r="I113" i="40" s="1"/>
  <c r="G114" i="40"/>
  <c r="I114" i="40" s="1"/>
  <c r="H121" i="40"/>
  <c r="H123" i="40" s="1"/>
  <c r="T123" i="40" s="1"/>
  <c r="R121" i="40"/>
  <c r="R122" i="40" s="1"/>
  <c r="F122" i="40"/>
  <c r="H122" i="40"/>
  <c r="I143" i="40"/>
  <c r="A152" i="40"/>
  <c r="A162" i="40"/>
  <c r="A164" i="40"/>
  <c r="A168" i="40"/>
  <c r="A172" i="40"/>
  <c r="A173" i="40"/>
  <c r="A174" i="40"/>
  <c r="A178" i="40"/>
  <c r="A179" i="40"/>
  <c r="A180" i="40"/>
  <c r="A182" i="40"/>
  <c r="A183" i="40"/>
  <c r="A184" i="40"/>
  <c r="A185" i="40"/>
  <c r="N1" i="39"/>
  <c r="A3" i="39"/>
  <c r="N3" i="39" s="1"/>
  <c r="F4" i="39"/>
  <c r="P4" i="39"/>
  <c r="N7" i="39"/>
  <c r="C8" i="39"/>
  <c r="P8" i="39" s="1"/>
  <c r="H8" i="39"/>
  <c r="E104" i="39" s="1"/>
  <c r="F14" i="39"/>
  <c r="F15" i="39"/>
  <c r="F16" i="39"/>
  <c r="F17" i="39"/>
  <c r="F18" i="39"/>
  <c r="F19" i="39"/>
  <c r="F20" i="39"/>
  <c r="F21" i="39"/>
  <c r="F22" i="39"/>
  <c r="F23" i="39"/>
  <c r="F24" i="39"/>
  <c r="F25" i="39"/>
  <c r="F26" i="39"/>
  <c r="F27" i="39"/>
  <c r="F28" i="39"/>
  <c r="F29" i="39"/>
  <c r="C30" i="39"/>
  <c r="D30" i="39"/>
  <c r="C44" i="39"/>
  <c r="D44" i="39"/>
  <c r="E39" i="39" s="1"/>
  <c r="H69" i="39"/>
  <c r="T69" i="39" s="1"/>
  <c r="H72" i="39"/>
  <c r="T72" i="39" s="1"/>
  <c r="F85" i="39"/>
  <c r="F88" i="39"/>
  <c r="R88" i="39" s="1"/>
  <c r="F90" i="39"/>
  <c r="F92" i="39"/>
  <c r="R92" i="39" s="1"/>
  <c r="F94" i="39"/>
  <c r="R94" i="39" s="1"/>
  <c r="F96" i="39"/>
  <c r="R96" i="39" s="1"/>
  <c r="F104" i="39"/>
  <c r="R104" i="39" s="1"/>
  <c r="F105" i="39"/>
  <c r="R105" i="39" s="1"/>
  <c r="F106" i="39"/>
  <c r="R106" i="39" s="1"/>
  <c r="G113" i="39"/>
  <c r="I113" i="39" s="1"/>
  <c r="G114" i="39"/>
  <c r="H121" i="39"/>
  <c r="T121" i="39" s="1"/>
  <c r="R121" i="39"/>
  <c r="R122" i="39" s="1"/>
  <c r="F122" i="39"/>
  <c r="H122" i="39"/>
  <c r="I143" i="39"/>
  <c r="A152" i="39"/>
  <c r="A162" i="39"/>
  <c r="A164" i="39"/>
  <c r="A168" i="39"/>
  <c r="A172" i="39"/>
  <c r="A173" i="39"/>
  <c r="A174" i="39"/>
  <c r="A178" i="39"/>
  <c r="A179" i="39"/>
  <c r="A180" i="39"/>
  <c r="A182" i="39"/>
  <c r="A183" i="39"/>
  <c r="A184" i="39"/>
  <c r="A185" i="39"/>
  <c r="N1" i="38"/>
  <c r="A3" i="38"/>
  <c r="N3" i="38" s="1"/>
  <c r="F4" i="38"/>
  <c r="P4" i="38"/>
  <c r="N7" i="38"/>
  <c r="C8" i="38"/>
  <c r="P8" i="38" s="1"/>
  <c r="H8" i="38"/>
  <c r="E104" i="38" s="1"/>
  <c r="F14" i="38"/>
  <c r="F15" i="38"/>
  <c r="F16" i="38"/>
  <c r="F17" i="38"/>
  <c r="F18" i="38"/>
  <c r="F19" i="38"/>
  <c r="F20" i="38"/>
  <c r="F21" i="38"/>
  <c r="F22" i="38"/>
  <c r="F23" i="38"/>
  <c r="F24" i="38"/>
  <c r="F25" i="38"/>
  <c r="F26" i="38"/>
  <c r="F27" i="38"/>
  <c r="F28" i="38"/>
  <c r="F29" i="38"/>
  <c r="C30" i="38"/>
  <c r="D30" i="38"/>
  <c r="C44" i="38"/>
  <c r="D44" i="38"/>
  <c r="E40" i="38" s="1"/>
  <c r="H69" i="38"/>
  <c r="T69" i="38" s="1"/>
  <c r="H72" i="38"/>
  <c r="T72" i="38" s="1"/>
  <c r="F85" i="38"/>
  <c r="R85" i="38" s="1"/>
  <c r="F88" i="38"/>
  <c r="R88" i="38" s="1"/>
  <c r="F90" i="38"/>
  <c r="R90" i="38" s="1"/>
  <c r="F92" i="38"/>
  <c r="R92" i="38" s="1"/>
  <c r="F94" i="38"/>
  <c r="R94" i="38" s="1"/>
  <c r="F96" i="38"/>
  <c r="R96" i="38" s="1"/>
  <c r="F104" i="38"/>
  <c r="R104" i="38" s="1"/>
  <c r="F105" i="38"/>
  <c r="R105" i="38" s="1"/>
  <c r="F106" i="38"/>
  <c r="R106" i="38" s="1"/>
  <c r="G113" i="38"/>
  <c r="G114" i="38"/>
  <c r="I114" i="38" s="1"/>
  <c r="H121" i="38"/>
  <c r="R121" i="38"/>
  <c r="R122" i="38" s="1"/>
  <c r="F122" i="38"/>
  <c r="H122" i="38"/>
  <c r="I143" i="38"/>
  <c r="A152" i="38"/>
  <c r="A162" i="38"/>
  <c r="A164" i="38"/>
  <c r="A168" i="38"/>
  <c r="A172" i="38"/>
  <c r="A173" i="38"/>
  <c r="A174" i="38"/>
  <c r="A178" i="38"/>
  <c r="A179" i="38"/>
  <c r="A180" i="38"/>
  <c r="A182" i="38"/>
  <c r="A183" i="38"/>
  <c r="A184" i="38"/>
  <c r="A185" i="38"/>
  <c r="N1" i="37"/>
  <c r="A3" i="37"/>
  <c r="N3" i="37" s="1"/>
  <c r="F4" i="37"/>
  <c r="P4" i="37"/>
  <c r="N7" i="37"/>
  <c r="C8" i="37"/>
  <c r="P8" i="37" s="1"/>
  <c r="H8" i="37"/>
  <c r="F14" i="37"/>
  <c r="F15" i="37"/>
  <c r="F16" i="37"/>
  <c r="F17" i="37"/>
  <c r="F18" i="37"/>
  <c r="F19" i="37"/>
  <c r="F20" i="37"/>
  <c r="F21" i="37"/>
  <c r="F22" i="37"/>
  <c r="F23" i="37"/>
  <c r="F24" i="37"/>
  <c r="F25" i="37"/>
  <c r="F26" i="37"/>
  <c r="F27" i="37"/>
  <c r="F28" i="37"/>
  <c r="F29" i="37"/>
  <c r="C30" i="37"/>
  <c r="D30" i="37"/>
  <c r="C44" i="37"/>
  <c r="D44" i="37"/>
  <c r="H69" i="37"/>
  <c r="T69" i="37" s="1"/>
  <c r="H72" i="37"/>
  <c r="T72" i="37" s="1"/>
  <c r="F85" i="37"/>
  <c r="R85" i="37" s="1"/>
  <c r="F88" i="37"/>
  <c r="F90" i="37"/>
  <c r="R90" i="37" s="1"/>
  <c r="F92" i="37"/>
  <c r="R92" i="37" s="1"/>
  <c r="F94" i="37"/>
  <c r="F96" i="37"/>
  <c r="F104" i="37"/>
  <c r="R104" i="37" s="1"/>
  <c r="F105" i="37"/>
  <c r="R105" i="37" s="1"/>
  <c r="F106" i="37"/>
  <c r="R106" i="37" s="1"/>
  <c r="G113" i="37"/>
  <c r="G114" i="37"/>
  <c r="I114" i="37" s="1"/>
  <c r="H121" i="37"/>
  <c r="R121" i="37"/>
  <c r="R122" i="37" s="1"/>
  <c r="F122" i="37"/>
  <c r="H122" i="37"/>
  <c r="T122" i="37" s="1"/>
  <c r="I143" i="37"/>
  <c r="A152" i="37"/>
  <c r="A162" i="37"/>
  <c r="A164" i="37"/>
  <c r="A168" i="37"/>
  <c r="A172" i="37"/>
  <c r="A173" i="37"/>
  <c r="A174" i="37"/>
  <c r="A178" i="37"/>
  <c r="A179" i="37"/>
  <c r="A180" i="37"/>
  <c r="A182" i="37"/>
  <c r="A183" i="37"/>
  <c r="A184" i="37"/>
  <c r="A185" i="37"/>
  <c r="N1" i="36"/>
  <c r="A3" i="36"/>
  <c r="N3" i="36" s="1"/>
  <c r="F4" i="36"/>
  <c r="P4" i="36"/>
  <c r="N7" i="36"/>
  <c r="C8" i="36"/>
  <c r="P8" i="36" s="1"/>
  <c r="H8" i="36"/>
  <c r="F14" i="36"/>
  <c r="F15" i="36"/>
  <c r="F16" i="36"/>
  <c r="F17" i="36"/>
  <c r="F18" i="36"/>
  <c r="F19" i="36"/>
  <c r="F20" i="36"/>
  <c r="F21" i="36"/>
  <c r="F22" i="36"/>
  <c r="F23" i="36"/>
  <c r="F24" i="36"/>
  <c r="F25" i="36"/>
  <c r="F26" i="36"/>
  <c r="F27" i="36"/>
  <c r="F28" i="36"/>
  <c r="F29" i="36"/>
  <c r="C30" i="36"/>
  <c r="D30" i="36"/>
  <c r="E121" i="36" s="1"/>
  <c r="C44" i="36"/>
  <c r="D44" i="36"/>
  <c r="H69" i="36"/>
  <c r="T69" i="36" s="1"/>
  <c r="H72" i="36"/>
  <c r="T72" i="36" s="1"/>
  <c r="F85" i="36"/>
  <c r="R85" i="36" s="1"/>
  <c r="F88" i="36"/>
  <c r="R88" i="36" s="1"/>
  <c r="F90" i="36"/>
  <c r="R90" i="36" s="1"/>
  <c r="F92" i="36"/>
  <c r="R92" i="36" s="1"/>
  <c r="F94" i="36"/>
  <c r="F96" i="36"/>
  <c r="R96" i="36" s="1"/>
  <c r="F104" i="36"/>
  <c r="R104" i="36" s="1"/>
  <c r="F105" i="36"/>
  <c r="R105" i="36" s="1"/>
  <c r="F106" i="36"/>
  <c r="R106" i="36" s="1"/>
  <c r="G113" i="36"/>
  <c r="T113" i="36" s="1"/>
  <c r="G114" i="36"/>
  <c r="H121" i="36"/>
  <c r="R121" i="36"/>
  <c r="R122" i="36" s="1"/>
  <c r="F122" i="36"/>
  <c r="H122" i="36"/>
  <c r="T122" i="36" s="1"/>
  <c r="I143" i="36"/>
  <c r="A152" i="36"/>
  <c r="A162" i="36"/>
  <c r="A164" i="36"/>
  <c r="A168" i="36"/>
  <c r="A172" i="36"/>
  <c r="A173" i="36"/>
  <c r="A174" i="36"/>
  <c r="A178" i="36"/>
  <c r="A179" i="36"/>
  <c r="A180" i="36"/>
  <c r="A182" i="36"/>
  <c r="A183" i="36"/>
  <c r="A184" i="36"/>
  <c r="A185" i="36"/>
  <c r="N1" i="23"/>
  <c r="A3" i="23"/>
  <c r="N3" i="23" s="1"/>
  <c r="F4" i="23"/>
  <c r="P4" i="23"/>
  <c r="N7" i="23"/>
  <c r="C8" i="23"/>
  <c r="P8" i="23" s="1"/>
  <c r="H8" i="23"/>
  <c r="E105" i="23" s="1"/>
  <c r="F14" i="23"/>
  <c r="F15" i="23"/>
  <c r="F16" i="23"/>
  <c r="F17" i="23"/>
  <c r="F18" i="23"/>
  <c r="F19" i="23"/>
  <c r="F20" i="23"/>
  <c r="F21" i="23"/>
  <c r="F22" i="23"/>
  <c r="F23" i="23"/>
  <c r="F24" i="23"/>
  <c r="F25" i="23"/>
  <c r="F26" i="23"/>
  <c r="F27" i="23"/>
  <c r="F28" i="23"/>
  <c r="F29" i="23"/>
  <c r="C30" i="23"/>
  <c r="D30" i="23"/>
  <c r="C44" i="23"/>
  <c r="D44" i="23"/>
  <c r="E39" i="23" s="1"/>
  <c r="H69" i="23"/>
  <c r="T69" i="23" s="1"/>
  <c r="H72" i="23"/>
  <c r="T72" i="23" s="1"/>
  <c r="F85" i="23"/>
  <c r="R85" i="23" s="1"/>
  <c r="F88" i="23"/>
  <c r="F90" i="23"/>
  <c r="R90" i="23" s="1"/>
  <c r="F92" i="23"/>
  <c r="F94" i="23"/>
  <c r="R94" i="23" s="1"/>
  <c r="F96" i="23"/>
  <c r="F104" i="23"/>
  <c r="R104" i="23" s="1"/>
  <c r="F105" i="23"/>
  <c r="R105" i="23" s="1"/>
  <c r="F106" i="23"/>
  <c r="R106" i="23" s="1"/>
  <c r="G113" i="23"/>
  <c r="T113" i="23" s="1"/>
  <c r="G114" i="23"/>
  <c r="I114" i="23" s="1"/>
  <c r="H121" i="23"/>
  <c r="T121" i="23" s="1"/>
  <c r="R121" i="23"/>
  <c r="R122" i="23" s="1"/>
  <c r="F122" i="23"/>
  <c r="H122" i="23"/>
  <c r="T122" i="23" s="1"/>
  <c r="I143" i="23"/>
  <c r="A152" i="23"/>
  <c r="A162" i="23"/>
  <c r="A164" i="23"/>
  <c r="A168" i="23"/>
  <c r="A172" i="23"/>
  <c r="A173" i="23"/>
  <c r="A174" i="23"/>
  <c r="A178" i="23"/>
  <c r="A179" i="23"/>
  <c r="A180" i="23"/>
  <c r="A182" i="23"/>
  <c r="A183" i="23"/>
  <c r="A184" i="23"/>
  <c r="A185" i="23"/>
  <c r="N1" i="35"/>
  <c r="A3" i="35"/>
  <c r="N3" i="35" s="1"/>
  <c r="F4" i="35"/>
  <c r="P4" i="35"/>
  <c r="N7" i="35"/>
  <c r="C8" i="35"/>
  <c r="P8" i="35" s="1"/>
  <c r="H8" i="35"/>
  <c r="T8" i="35" s="1"/>
  <c r="F14" i="35"/>
  <c r="F15" i="35"/>
  <c r="F16" i="35"/>
  <c r="F17" i="35"/>
  <c r="F18" i="35"/>
  <c r="F19" i="35"/>
  <c r="F20" i="35"/>
  <c r="F21" i="35"/>
  <c r="F22" i="35"/>
  <c r="F23" i="35"/>
  <c r="F24" i="35"/>
  <c r="F25" i="35"/>
  <c r="F26" i="35"/>
  <c r="F27" i="35"/>
  <c r="F28" i="35"/>
  <c r="F29" i="35"/>
  <c r="C30" i="35"/>
  <c r="D30" i="35"/>
  <c r="C44" i="35"/>
  <c r="D44" i="35"/>
  <c r="E40" i="35" s="1"/>
  <c r="H69" i="35"/>
  <c r="T69" i="35" s="1"/>
  <c r="H72" i="35"/>
  <c r="T72" i="35" s="1"/>
  <c r="F85" i="35"/>
  <c r="R85" i="35" s="1"/>
  <c r="F88" i="35"/>
  <c r="R88" i="35" s="1"/>
  <c r="F90" i="35"/>
  <c r="R90" i="35" s="1"/>
  <c r="F92" i="35"/>
  <c r="R92" i="35" s="1"/>
  <c r="F94" i="35"/>
  <c r="R94" i="35" s="1"/>
  <c r="F96" i="35"/>
  <c r="R96" i="35" s="1"/>
  <c r="F104" i="35"/>
  <c r="R104" i="35" s="1"/>
  <c r="F105" i="35"/>
  <c r="R105" i="35" s="1"/>
  <c r="F106" i="35"/>
  <c r="R106" i="35" s="1"/>
  <c r="G113" i="35"/>
  <c r="G114" i="35"/>
  <c r="T114" i="35" s="1"/>
  <c r="U114" i="35" s="1"/>
  <c r="H121" i="35"/>
  <c r="R121" i="35"/>
  <c r="R122" i="35" s="1"/>
  <c r="F122" i="35"/>
  <c r="H122" i="35"/>
  <c r="T122" i="35" s="1"/>
  <c r="I143" i="35"/>
  <c r="A152" i="35"/>
  <c r="A162" i="35"/>
  <c r="A164" i="35"/>
  <c r="A168" i="35"/>
  <c r="A172" i="35"/>
  <c r="A173" i="35"/>
  <c r="A174" i="35"/>
  <c r="A178" i="35"/>
  <c r="A179" i="35"/>
  <c r="A180" i="35"/>
  <c r="A182" i="35"/>
  <c r="A183" i="35"/>
  <c r="A184" i="35"/>
  <c r="A185" i="35"/>
  <c r="N1" i="34"/>
  <c r="A3" i="34"/>
  <c r="N3" i="34" s="1"/>
  <c r="F4" i="34"/>
  <c r="P4" i="34"/>
  <c r="N7" i="34"/>
  <c r="C8" i="34"/>
  <c r="P8" i="34" s="1"/>
  <c r="H8" i="34"/>
  <c r="E106" i="34" s="1"/>
  <c r="F14" i="34"/>
  <c r="F15" i="34"/>
  <c r="F16" i="34"/>
  <c r="F17" i="34"/>
  <c r="F18" i="34"/>
  <c r="F19" i="34"/>
  <c r="F20" i="34"/>
  <c r="F21" i="34"/>
  <c r="F22" i="34"/>
  <c r="F23" i="34"/>
  <c r="F24" i="34"/>
  <c r="F25" i="34"/>
  <c r="F26" i="34"/>
  <c r="F27" i="34"/>
  <c r="F28" i="34"/>
  <c r="F29" i="34"/>
  <c r="C30" i="34"/>
  <c r="D30" i="34"/>
  <c r="C44" i="34"/>
  <c r="D44" i="34"/>
  <c r="H69" i="34"/>
  <c r="T69" i="34" s="1"/>
  <c r="H72" i="34"/>
  <c r="T72" i="34" s="1"/>
  <c r="F85" i="34"/>
  <c r="F88" i="34"/>
  <c r="R88" i="34" s="1"/>
  <c r="F90" i="34"/>
  <c r="F92" i="34"/>
  <c r="R92" i="34" s="1"/>
  <c r="F94" i="34"/>
  <c r="F96" i="34"/>
  <c r="F104" i="34"/>
  <c r="R104" i="34" s="1"/>
  <c r="F105" i="34"/>
  <c r="R105" i="34" s="1"/>
  <c r="F106" i="34"/>
  <c r="R106" i="34" s="1"/>
  <c r="G113" i="34"/>
  <c r="G114" i="34"/>
  <c r="T114" i="34" s="1"/>
  <c r="U114" i="34" s="1"/>
  <c r="H121" i="34"/>
  <c r="R121" i="34"/>
  <c r="R122" i="34" s="1"/>
  <c r="F122" i="34"/>
  <c r="H122" i="34"/>
  <c r="T122" i="34" s="1"/>
  <c r="I143" i="34"/>
  <c r="A152" i="34"/>
  <c r="A162" i="34"/>
  <c r="A164" i="34"/>
  <c r="A168" i="34"/>
  <c r="A172" i="34"/>
  <c r="A173" i="34"/>
  <c r="A174" i="34"/>
  <c r="A178" i="34"/>
  <c r="A179" i="34"/>
  <c r="A180" i="34"/>
  <c r="A182" i="34"/>
  <c r="A183" i="34"/>
  <c r="A184" i="34"/>
  <c r="A185" i="34"/>
  <c r="N1" i="33"/>
  <c r="A3" i="33"/>
  <c r="N3" i="33" s="1"/>
  <c r="F4" i="33"/>
  <c r="P4" i="33"/>
  <c r="N7" i="33"/>
  <c r="C8" i="33"/>
  <c r="P8" i="33" s="1"/>
  <c r="H8" i="33"/>
  <c r="E104" i="33" s="1"/>
  <c r="F14" i="33"/>
  <c r="F15" i="33"/>
  <c r="F16" i="33"/>
  <c r="F17" i="33"/>
  <c r="F18" i="33"/>
  <c r="F19" i="33"/>
  <c r="F20" i="33"/>
  <c r="F21" i="33"/>
  <c r="F22" i="33"/>
  <c r="F23" i="33"/>
  <c r="F24" i="33"/>
  <c r="F25" i="33"/>
  <c r="F26" i="33"/>
  <c r="F27" i="33"/>
  <c r="F28" i="33"/>
  <c r="F29" i="33"/>
  <c r="C30" i="33"/>
  <c r="D30" i="33"/>
  <c r="C44" i="33"/>
  <c r="D44" i="33"/>
  <c r="E38" i="33" s="1"/>
  <c r="H69" i="33"/>
  <c r="T69" i="33" s="1"/>
  <c r="H72" i="33"/>
  <c r="T72" i="33" s="1"/>
  <c r="F85" i="33"/>
  <c r="R85" i="33" s="1"/>
  <c r="F88" i="33"/>
  <c r="R88" i="33" s="1"/>
  <c r="F90" i="33"/>
  <c r="R90" i="33" s="1"/>
  <c r="F92" i="33"/>
  <c r="F94" i="33"/>
  <c r="R94" i="33" s="1"/>
  <c r="F96" i="33"/>
  <c r="R96" i="33" s="1"/>
  <c r="F104" i="33"/>
  <c r="R104" i="33" s="1"/>
  <c r="F105" i="33"/>
  <c r="R105" i="33" s="1"/>
  <c r="F106" i="33"/>
  <c r="R106" i="33" s="1"/>
  <c r="G113" i="33"/>
  <c r="I113" i="33" s="1"/>
  <c r="G114" i="33"/>
  <c r="H121" i="33"/>
  <c r="R121" i="33"/>
  <c r="R122" i="33" s="1"/>
  <c r="F122" i="33"/>
  <c r="H122" i="33"/>
  <c r="T122" i="33" s="1"/>
  <c r="I143" i="33"/>
  <c r="A152" i="33"/>
  <c r="A162" i="33"/>
  <c r="A164" i="33"/>
  <c r="A168" i="33"/>
  <c r="A172" i="33"/>
  <c r="A173" i="33"/>
  <c r="A174" i="33"/>
  <c r="A178" i="33"/>
  <c r="A179" i="33"/>
  <c r="A180" i="33"/>
  <c r="A182" i="33"/>
  <c r="A183" i="33"/>
  <c r="A184" i="33"/>
  <c r="A185" i="33"/>
  <c r="N1" i="32"/>
  <c r="A3" i="32"/>
  <c r="N3" i="32" s="1"/>
  <c r="F4" i="32"/>
  <c r="P4" i="32"/>
  <c r="N7" i="32"/>
  <c r="C8" i="32"/>
  <c r="P8" i="32" s="1"/>
  <c r="H8" i="32"/>
  <c r="T8" i="32" s="1"/>
  <c r="P104" i="32" s="1"/>
  <c r="F14" i="32"/>
  <c r="F15" i="32"/>
  <c r="F16" i="32"/>
  <c r="F17" i="32"/>
  <c r="F18" i="32"/>
  <c r="F19" i="32"/>
  <c r="F20" i="32"/>
  <c r="F21" i="32"/>
  <c r="F22" i="32"/>
  <c r="F23" i="32"/>
  <c r="F24" i="32"/>
  <c r="F25" i="32"/>
  <c r="F26" i="32"/>
  <c r="F27" i="32"/>
  <c r="F28" i="32"/>
  <c r="F29" i="32"/>
  <c r="C30" i="32"/>
  <c r="D30" i="32"/>
  <c r="C44" i="32"/>
  <c r="D44" i="32"/>
  <c r="T69" i="32"/>
  <c r="T72" i="32"/>
  <c r="F85" i="32"/>
  <c r="R85" i="32" s="1"/>
  <c r="F88" i="32"/>
  <c r="R88" i="32" s="1"/>
  <c r="F90" i="32"/>
  <c r="R90" i="32" s="1"/>
  <c r="F92" i="32"/>
  <c r="F94" i="32"/>
  <c r="R94" i="32" s="1"/>
  <c r="F96" i="32"/>
  <c r="R96" i="32" s="1"/>
  <c r="F104" i="32"/>
  <c r="R104" i="32" s="1"/>
  <c r="F105" i="32"/>
  <c r="R105" i="32" s="1"/>
  <c r="F106" i="32"/>
  <c r="R106" i="32" s="1"/>
  <c r="G113" i="32"/>
  <c r="I113" i="32" s="1"/>
  <c r="G114" i="32"/>
  <c r="I114" i="32" s="1"/>
  <c r="H121" i="32"/>
  <c r="H123" i="32" s="1"/>
  <c r="T123" i="32" s="1"/>
  <c r="R121" i="32"/>
  <c r="R122" i="32" s="1"/>
  <c r="F122" i="32"/>
  <c r="H122" i="32"/>
  <c r="T122" i="32" s="1"/>
  <c r="I143" i="32"/>
  <c r="A152" i="32"/>
  <c r="A162" i="32"/>
  <c r="A164" i="32"/>
  <c r="A168" i="32"/>
  <c r="A172" i="32"/>
  <c r="A173" i="32"/>
  <c r="A174" i="32"/>
  <c r="A178" i="32"/>
  <c r="A179" i="32"/>
  <c r="A180" i="32"/>
  <c r="A182" i="32"/>
  <c r="A183" i="32"/>
  <c r="A184" i="32"/>
  <c r="A185" i="32"/>
  <c r="N1" i="31"/>
  <c r="A3" i="31"/>
  <c r="N3" i="31" s="1"/>
  <c r="F4" i="31"/>
  <c r="P4" i="31"/>
  <c r="N7" i="31"/>
  <c r="C8" i="31"/>
  <c r="P8" i="31" s="1"/>
  <c r="H8" i="31"/>
  <c r="T8" i="31" s="1"/>
  <c r="F14" i="31"/>
  <c r="F15" i="31"/>
  <c r="F16" i="31"/>
  <c r="F17" i="31"/>
  <c r="F18" i="31"/>
  <c r="F19" i="31"/>
  <c r="F20" i="31"/>
  <c r="F21" i="31"/>
  <c r="F22" i="31"/>
  <c r="F23" i="31"/>
  <c r="F24" i="31"/>
  <c r="F25" i="31"/>
  <c r="F26" i="31"/>
  <c r="F27" i="31"/>
  <c r="F28" i="31"/>
  <c r="F29" i="31"/>
  <c r="C30" i="31"/>
  <c r="D30" i="31"/>
  <c r="C44" i="31"/>
  <c r="D44" i="31"/>
  <c r="E42" i="31" s="1"/>
  <c r="H69" i="31"/>
  <c r="T69" i="31" s="1"/>
  <c r="H72" i="31"/>
  <c r="T72" i="31" s="1"/>
  <c r="F85" i="31"/>
  <c r="R85" i="31" s="1"/>
  <c r="F88" i="31"/>
  <c r="R88" i="31" s="1"/>
  <c r="F90" i="31"/>
  <c r="R90" i="31" s="1"/>
  <c r="F92" i="31"/>
  <c r="R92" i="31" s="1"/>
  <c r="F94" i="31"/>
  <c r="R94" i="31" s="1"/>
  <c r="F96" i="31"/>
  <c r="R96" i="31" s="1"/>
  <c r="F104" i="31"/>
  <c r="R104" i="31" s="1"/>
  <c r="F105" i="31"/>
  <c r="R105" i="31" s="1"/>
  <c r="F106" i="31"/>
  <c r="R106" i="31" s="1"/>
  <c r="G113" i="31"/>
  <c r="T113" i="31" s="1"/>
  <c r="G114" i="31"/>
  <c r="I114" i="31" s="1"/>
  <c r="H121" i="31"/>
  <c r="R121" i="31"/>
  <c r="R122" i="31" s="1"/>
  <c r="F122" i="31"/>
  <c r="H122" i="31"/>
  <c r="T122" i="31" s="1"/>
  <c r="I143" i="31"/>
  <c r="A152" i="31"/>
  <c r="A162" i="31"/>
  <c r="A164" i="31"/>
  <c r="A168" i="31"/>
  <c r="A172" i="31"/>
  <c r="A173" i="31"/>
  <c r="A174" i="31"/>
  <c r="A178" i="31"/>
  <c r="A179" i="31"/>
  <c r="A180" i="31"/>
  <c r="A182" i="31"/>
  <c r="A183" i="31"/>
  <c r="A184" i="31"/>
  <c r="A185" i="31"/>
  <c r="N1" i="28"/>
  <c r="A3" i="28"/>
  <c r="N3" i="28" s="1"/>
  <c r="F4" i="28"/>
  <c r="P4" i="28"/>
  <c r="N7" i="28"/>
  <c r="C8" i="28"/>
  <c r="P8" i="28" s="1"/>
  <c r="H8" i="28"/>
  <c r="F14" i="28"/>
  <c r="F15" i="28"/>
  <c r="F16" i="28"/>
  <c r="F17" i="28"/>
  <c r="F18" i="28"/>
  <c r="F19" i="28"/>
  <c r="F20" i="28"/>
  <c r="F21" i="28"/>
  <c r="F22" i="28"/>
  <c r="F23" i="28"/>
  <c r="F24" i="28"/>
  <c r="F25" i="28"/>
  <c r="F26" i="28"/>
  <c r="F27" i="28"/>
  <c r="F28" i="28"/>
  <c r="F29" i="28"/>
  <c r="C30" i="28"/>
  <c r="D30" i="28"/>
  <c r="C44" i="28"/>
  <c r="D44" i="28"/>
  <c r="E38" i="28" s="1"/>
  <c r="H69" i="28"/>
  <c r="T69" i="28" s="1"/>
  <c r="H72" i="28"/>
  <c r="T72" i="28" s="1"/>
  <c r="F85" i="28"/>
  <c r="R85" i="28" s="1"/>
  <c r="F88" i="28"/>
  <c r="F90" i="28"/>
  <c r="R90" i="28" s="1"/>
  <c r="F92" i="28"/>
  <c r="R92" i="28" s="1"/>
  <c r="F94" i="28"/>
  <c r="R94" i="28" s="1"/>
  <c r="F96" i="28"/>
  <c r="F104" i="28"/>
  <c r="R104" i="28" s="1"/>
  <c r="F105" i="28"/>
  <c r="R105" i="28" s="1"/>
  <c r="F106" i="28"/>
  <c r="R106" i="28" s="1"/>
  <c r="G113" i="28"/>
  <c r="T113" i="28" s="1"/>
  <c r="G114" i="28"/>
  <c r="I114" i="28" s="1"/>
  <c r="H121" i="28"/>
  <c r="H123" i="28" s="1"/>
  <c r="R121" i="28"/>
  <c r="R122" i="28" s="1"/>
  <c r="F122" i="28"/>
  <c r="H122" i="28"/>
  <c r="T122" i="28" s="1"/>
  <c r="I143" i="28"/>
  <c r="A152" i="28"/>
  <c r="A162" i="28"/>
  <c r="A164" i="28"/>
  <c r="A168" i="28"/>
  <c r="A172" i="28"/>
  <c r="A173" i="28"/>
  <c r="A174" i="28"/>
  <c r="A178" i="28"/>
  <c r="A179" i="28"/>
  <c r="A180" i="28"/>
  <c r="A182" i="28"/>
  <c r="A183" i="28"/>
  <c r="A184" i="28"/>
  <c r="A185" i="28"/>
  <c r="N1" i="27"/>
  <c r="A3" i="27"/>
  <c r="N3" i="27" s="1"/>
  <c r="F4" i="27"/>
  <c r="P4" i="27"/>
  <c r="N7" i="27"/>
  <c r="C8" i="27"/>
  <c r="P8" i="27" s="1"/>
  <c r="H8" i="27"/>
  <c r="F14" i="27"/>
  <c r="F15" i="27"/>
  <c r="F16" i="27"/>
  <c r="F17" i="27"/>
  <c r="F18" i="27"/>
  <c r="F19" i="27"/>
  <c r="F20" i="27"/>
  <c r="F21" i="27"/>
  <c r="F22" i="27"/>
  <c r="F23" i="27"/>
  <c r="F24" i="27"/>
  <c r="F25" i="27"/>
  <c r="F26" i="27"/>
  <c r="F27" i="27"/>
  <c r="F28" i="27"/>
  <c r="F29" i="27"/>
  <c r="C30" i="27"/>
  <c r="D30" i="27"/>
  <c r="C44" i="27"/>
  <c r="D44" i="27"/>
  <c r="H69" i="27"/>
  <c r="T69" i="27" s="1"/>
  <c r="H72" i="27"/>
  <c r="T72" i="27" s="1"/>
  <c r="F85" i="27"/>
  <c r="R85" i="27" s="1"/>
  <c r="F88" i="27"/>
  <c r="R88" i="27" s="1"/>
  <c r="F90" i="27"/>
  <c r="R90" i="27" s="1"/>
  <c r="F92" i="27"/>
  <c r="F94" i="27"/>
  <c r="R94" i="27" s="1"/>
  <c r="F96" i="27"/>
  <c r="R96" i="27" s="1"/>
  <c r="F104" i="27"/>
  <c r="R104" i="27" s="1"/>
  <c r="F105" i="27"/>
  <c r="R105" i="27" s="1"/>
  <c r="F106" i="27"/>
  <c r="R106" i="27" s="1"/>
  <c r="G113" i="27"/>
  <c r="I113" i="27" s="1"/>
  <c r="G114" i="27"/>
  <c r="I114" i="27" s="1"/>
  <c r="H121" i="27"/>
  <c r="H123" i="27" s="1"/>
  <c r="T123" i="27" s="1"/>
  <c r="R121" i="27"/>
  <c r="R122" i="27" s="1"/>
  <c r="F122" i="27"/>
  <c r="H122" i="27"/>
  <c r="T122" i="27" s="1"/>
  <c r="I143" i="27"/>
  <c r="A152" i="27"/>
  <c r="A162" i="27"/>
  <c r="A164" i="27"/>
  <c r="A168" i="27"/>
  <c r="A172" i="27"/>
  <c r="A173" i="27"/>
  <c r="A174" i="27"/>
  <c r="A178" i="27"/>
  <c r="A179" i="27"/>
  <c r="A180" i="27"/>
  <c r="A182" i="27"/>
  <c r="A183" i="27"/>
  <c r="A184" i="27"/>
  <c r="A185" i="27"/>
  <c r="N1" i="26"/>
  <c r="A3" i="26"/>
  <c r="N3" i="26" s="1"/>
  <c r="F4" i="26"/>
  <c r="P4" i="26"/>
  <c r="N7" i="26"/>
  <c r="C8" i="26"/>
  <c r="P8" i="26" s="1"/>
  <c r="H8" i="26"/>
  <c r="T8" i="26" s="1"/>
  <c r="F14" i="26"/>
  <c r="F15" i="26"/>
  <c r="F16" i="26"/>
  <c r="F17" i="26"/>
  <c r="F18" i="26"/>
  <c r="F19" i="26"/>
  <c r="F20" i="26"/>
  <c r="F21" i="26"/>
  <c r="F22" i="26"/>
  <c r="F23" i="26"/>
  <c r="F24" i="26"/>
  <c r="F25" i="26"/>
  <c r="F26" i="26"/>
  <c r="F27" i="26"/>
  <c r="F28" i="26"/>
  <c r="F29" i="26"/>
  <c r="C30" i="26"/>
  <c r="D30" i="26"/>
  <c r="C44" i="26"/>
  <c r="D44" i="26"/>
  <c r="E40" i="26" s="1"/>
  <c r="H69" i="26"/>
  <c r="T69" i="26" s="1"/>
  <c r="H72" i="26"/>
  <c r="T72" i="26" s="1"/>
  <c r="F85" i="26"/>
  <c r="R85" i="26" s="1"/>
  <c r="F88" i="26"/>
  <c r="R88" i="26" s="1"/>
  <c r="F90" i="26"/>
  <c r="R90" i="26" s="1"/>
  <c r="F92" i="26"/>
  <c r="R92" i="26" s="1"/>
  <c r="F94" i="26"/>
  <c r="R94" i="26" s="1"/>
  <c r="F96" i="26"/>
  <c r="R96" i="26" s="1"/>
  <c r="F104" i="26"/>
  <c r="R104" i="26" s="1"/>
  <c r="F105" i="26"/>
  <c r="R105" i="26" s="1"/>
  <c r="F106" i="26"/>
  <c r="R106" i="26" s="1"/>
  <c r="G113" i="26"/>
  <c r="I113" i="26" s="1"/>
  <c r="G114" i="26"/>
  <c r="I114" i="26" s="1"/>
  <c r="H121" i="26"/>
  <c r="R121" i="26"/>
  <c r="R122" i="26" s="1"/>
  <c r="F122" i="26"/>
  <c r="H122" i="26"/>
  <c r="T122" i="26" s="1"/>
  <c r="I143" i="26"/>
  <c r="A152" i="26"/>
  <c r="A162" i="26"/>
  <c r="A164" i="26"/>
  <c r="A168" i="26"/>
  <c r="A172" i="26"/>
  <c r="A173" i="26"/>
  <c r="A174" i="26"/>
  <c r="A178" i="26"/>
  <c r="A179" i="26"/>
  <c r="A180" i="26"/>
  <c r="A182" i="26"/>
  <c r="A183" i="26"/>
  <c r="A184" i="26"/>
  <c r="A185" i="26"/>
  <c r="N1" i="22"/>
  <c r="A3" i="22"/>
  <c r="N3" i="22" s="1"/>
  <c r="F4" i="22"/>
  <c r="P4" i="22"/>
  <c r="N7" i="22"/>
  <c r="C8" i="22"/>
  <c r="P8" i="22" s="1"/>
  <c r="H8" i="22"/>
  <c r="E104" i="22" s="1"/>
  <c r="F14" i="22"/>
  <c r="F15" i="22"/>
  <c r="F16" i="22"/>
  <c r="F17" i="22"/>
  <c r="F18" i="22"/>
  <c r="F19" i="22"/>
  <c r="F20" i="22"/>
  <c r="F21" i="22"/>
  <c r="F22" i="22"/>
  <c r="F23" i="22"/>
  <c r="F24" i="22"/>
  <c r="F25" i="22"/>
  <c r="F26" i="22"/>
  <c r="F27" i="22"/>
  <c r="F28" i="22"/>
  <c r="F29" i="22"/>
  <c r="C30" i="22"/>
  <c r="D30" i="22"/>
  <c r="C44" i="22"/>
  <c r="D44" i="22"/>
  <c r="E43" i="22" s="1"/>
  <c r="H69" i="22"/>
  <c r="T69" i="22" s="1"/>
  <c r="H72" i="22"/>
  <c r="T72" i="22" s="1"/>
  <c r="F85" i="22"/>
  <c r="R85" i="22" s="1"/>
  <c r="F88" i="22"/>
  <c r="F90" i="22"/>
  <c r="R90" i="22" s="1"/>
  <c r="F92" i="22"/>
  <c r="R92" i="22" s="1"/>
  <c r="F94" i="22"/>
  <c r="R94" i="22" s="1"/>
  <c r="F96" i="22"/>
  <c r="F104" i="22"/>
  <c r="R104" i="22" s="1"/>
  <c r="F105" i="22"/>
  <c r="R105" i="22" s="1"/>
  <c r="F106" i="22"/>
  <c r="R106" i="22" s="1"/>
  <c r="G113" i="22"/>
  <c r="G114" i="22"/>
  <c r="I114" i="22" s="1"/>
  <c r="H121" i="22"/>
  <c r="T121" i="22" s="1"/>
  <c r="R121" i="22"/>
  <c r="R122" i="22" s="1"/>
  <c r="F122" i="22"/>
  <c r="H122" i="22"/>
  <c r="T122" i="22" s="1"/>
  <c r="I143" i="22"/>
  <c r="A152" i="22"/>
  <c r="A162" i="22"/>
  <c r="A164" i="22"/>
  <c r="A168" i="22"/>
  <c r="A172" i="22"/>
  <c r="A173" i="22"/>
  <c r="A174" i="22"/>
  <c r="A178" i="22"/>
  <c r="A179" i="22"/>
  <c r="A180" i="22"/>
  <c r="A182" i="22"/>
  <c r="A183" i="22"/>
  <c r="A184" i="22"/>
  <c r="A185" i="22"/>
  <c r="N1" i="24"/>
  <c r="A3" i="24"/>
  <c r="N3" i="24" s="1"/>
  <c r="F4" i="24"/>
  <c r="P4" i="24"/>
  <c r="N7" i="24"/>
  <c r="C8" i="24"/>
  <c r="P8" i="24" s="1"/>
  <c r="H8" i="24"/>
  <c r="E105" i="24" s="1"/>
  <c r="F14" i="24"/>
  <c r="F15" i="24"/>
  <c r="F16" i="24"/>
  <c r="F17" i="24"/>
  <c r="F18" i="24"/>
  <c r="F19" i="24"/>
  <c r="F20" i="24"/>
  <c r="F21" i="24"/>
  <c r="F22" i="24"/>
  <c r="F23" i="24"/>
  <c r="F24" i="24"/>
  <c r="F25" i="24"/>
  <c r="F26" i="24"/>
  <c r="F27" i="24"/>
  <c r="F28" i="24"/>
  <c r="F29" i="24"/>
  <c r="C30" i="24"/>
  <c r="D30" i="24"/>
  <c r="E14" i="24" s="1"/>
  <c r="C44" i="24"/>
  <c r="D44" i="24"/>
  <c r="E39" i="24" s="1"/>
  <c r="H69" i="24"/>
  <c r="T69" i="24" s="1"/>
  <c r="H72" i="24"/>
  <c r="T72" i="24" s="1"/>
  <c r="F85" i="24"/>
  <c r="R85" i="24" s="1"/>
  <c r="F88" i="24"/>
  <c r="R88" i="24" s="1"/>
  <c r="F90" i="24"/>
  <c r="R90" i="24" s="1"/>
  <c r="F92" i="24"/>
  <c r="R92" i="24" s="1"/>
  <c r="F94" i="24"/>
  <c r="R94" i="24" s="1"/>
  <c r="F96" i="24"/>
  <c r="R96" i="24" s="1"/>
  <c r="F104" i="24"/>
  <c r="R104" i="24" s="1"/>
  <c r="F105" i="24"/>
  <c r="R105" i="24" s="1"/>
  <c r="F106" i="24"/>
  <c r="R106" i="24" s="1"/>
  <c r="G113" i="24"/>
  <c r="T113" i="24" s="1"/>
  <c r="G114" i="24"/>
  <c r="I114" i="24" s="1"/>
  <c r="H121" i="24"/>
  <c r="H123" i="24" s="1"/>
  <c r="R121" i="24"/>
  <c r="R122" i="24" s="1"/>
  <c r="F122" i="24"/>
  <c r="H122" i="24"/>
  <c r="T122" i="24" s="1"/>
  <c r="I143" i="24"/>
  <c r="A152" i="24"/>
  <c r="A162" i="24"/>
  <c r="A164" i="24"/>
  <c r="A168" i="24"/>
  <c r="A172" i="24"/>
  <c r="A173" i="24"/>
  <c r="A174" i="24"/>
  <c r="A178" i="24"/>
  <c r="A179" i="24"/>
  <c r="A180" i="24"/>
  <c r="A182" i="24"/>
  <c r="A183" i="24"/>
  <c r="A184" i="24"/>
  <c r="A185" i="24"/>
  <c r="N1" i="25"/>
  <c r="A3" i="25"/>
  <c r="N3" i="25" s="1"/>
  <c r="F4" i="25"/>
  <c r="P4" i="25"/>
  <c r="N7" i="25"/>
  <c r="C8" i="25"/>
  <c r="P8" i="25" s="1"/>
  <c r="H8" i="25"/>
  <c r="T8" i="25" s="1"/>
  <c r="P104" i="25" s="1"/>
  <c r="F14" i="25"/>
  <c r="F15" i="25"/>
  <c r="F16" i="25"/>
  <c r="F17" i="25"/>
  <c r="F18" i="25"/>
  <c r="F19" i="25"/>
  <c r="F20" i="25"/>
  <c r="F21" i="25"/>
  <c r="F22" i="25"/>
  <c r="F23" i="25"/>
  <c r="F24" i="25"/>
  <c r="F25" i="25"/>
  <c r="F26" i="25"/>
  <c r="F27" i="25"/>
  <c r="F28" i="25"/>
  <c r="F29" i="25"/>
  <c r="C30" i="25"/>
  <c r="D30" i="25"/>
  <c r="C44" i="25"/>
  <c r="D44" i="25"/>
  <c r="H69" i="25"/>
  <c r="T69" i="25" s="1"/>
  <c r="H72" i="25"/>
  <c r="T72" i="25" s="1"/>
  <c r="F85" i="25"/>
  <c r="R85" i="25" s="1"/>
  <c r="F88" i="25"/>
  <c r="R88" i="25" s="1"/>
  <c r="F90" i="25"/>
  <c r="R90" i="25" s="1"/>
  <c r="F92" i="25"/>
  <c r="R92" i="25" s="1"/>
  <c r="F94" i="25"/>
  <c r="R94" i="25" s="1"/>
  <c r="F96" i="25"/>
  <c r="R96" i="25" s="1"/>
  <c r="F104" i="25"/>
  <c r="R104" i="25" s="1"/>
  <c r="F105" i="25"/>
  <c r="R105" i="25" s="1"/>
  <c r="F106" i="25"/>
  <c r="R106" i="25" s="1"/>
  <c r="G113" i="25"/>
  <c r="T113" i="25" s="1"/>
  <c r="G114" i="25"/>
  <c r="I114" i="25" s="1"/>
  <c r="H121" i="25"/>
  <c r="R121" i="25"/>
  <c r="R122" i="25" s="1"/>
  <c r="F122" i="25"/>
  <c r="H122" i="25"/>
  <c r="T122" i="25" s="1"/>
  <c r="I143" i="25"/>
  <c r="A152" i="25"/>
  <c r="A162" i="25"/>
  <c r="A164" i="25"/>
  <c r="A168" i="25"/>
  <c r="A172" i="25"/>
  <c r="A173" i="25"/>
  <c r="A174" i="25"/>
  <c r="A178" i="25"/>
  <c r="A179" i="25"/>
  <c r="A180" i="25"/>
  <c r="A182" i="25"/>
  <c r="A183" i="25"/>
  <c r="A184" i="25"/>
  <c r="A185" i="25"/>
  <c r="N1" i="21"/>
  <c r="A3" i="21"/>
  <c r="N3" i="21" s="1"/>
  <c r="F4" i="21"/>
  <c r="P4" i="21"/>
  <c r="N7" i="21"/>
  <c r="C8" i="21"/>
  <c r="P8" i="21" s="1"/>
  <c r="H8" i="21"/>
  <c r="E104" i="21" s="1"/>
  <c r="F14" i="21"/>
  <c r="F15" i="21"/>
  <c r="F16" i="21"/>
  <c r="F17" i="21"/>
  <c r="F18" i="21"/>
  <c r="F19" i="21"/>
  <c r="F20" i="21"/>
  <c r="F21" i="21"/>
  <c r="F22" i="21"/>
  <c r="F23" i="21"/>
  <c r="F24" i="21"/>
  <c r="F25" i="21"/>
  <c r="F26" i="21"/>
  <c r="F27" i="21"/>
  <c r="F28" i="21"/>
  <c r="F29" i="21"/>
  <c r="C30" i="21"/>
  <c r="D30" i="21"/>
  <c r="C44" i="21"/>
  <c r="D44" i="21"/>
  <c r="E40" i="21" s="1"/>
  <c r="H69" i="21"/>
  <c r="T69" i="21" s="1"/>
  <c r="H72" i="21"/>
  <c r="T72" i="21" s="1"/>
  <c r="F85" i="21"/>
  <c r="R85" i="21" s="1"/>
  <c r="F88" i="21"/>
  <c r="F90" i="21"/>
  <c r="R90" i="21" s="1"/>
  <c r="F92" i="21"/>
  <c r="F94" i="21"/>
  <c r="R94" i="21" s="1"/>
  <c r="F96" i="21"/>
  <c r="F104" i="21"/>
  <c r="R104" i="21" s="1"/>
  <c r="F105" i="21"/>
  <c r="R105" i="21" s="1"/>
  <c r="F106" i="21"/>
  <c r="R106" i="21" s="1"/>
  <c r="G113" i="21"/>
  <c r="T113" i="21" s="1"/>
  <c r="G114" i="21"/>
  <c r="I114" i="21" s="1"/>
  <c r="H121" i="21"/>
  <c r="R121" i="21"/>
  <c r="R122" i="21" s="1"/>
  <c r="F122" i="21"/>
  <c r="H122" i="21"/>
  <c r="T122" i="21" s="1"/>
  <c r="I143" i="21"/>
  <c r="A152" i="21"/>
  <c r="A162" i="21"/>
  <c r="A164" i="21"/>
  <c r="A168" i="21"/>
  <c r="A172" i="21"/>
  <c r="A173" i="21"/>
  <c r="A174" i="21"/>
  <c r="A178" i="21"/>
  <c r="A179" i="21"/>
  <c r="A180" i="21"/>
  <c r="A182" i="21"/>
  <c r="A183" i="21"/>
  <c r="A184" i="21"/>
  <c r="A185" i="21"/>
  <c r="N1" i="20"/>
  <c r="A3" i="20"/>
  <c r="N3" i="20" s="1"/>
  <c r="F4" i="20"/>
  <c r="P4" i="20"/>
  <c r="N7" i="20"/>
  <c r="C8" i="20"/>
  <c r="P8" i="20" s="1"/>
  <c r="H8" i="20"/>
  <c r="T8" i="20" s="1"/>
  <c r="F14" i="20"/>
  <c r="F15" i="20"/>
  <c r="F16" i="20"/>
  <c r="F17" i="20"/>
  <c r="F18" i="20"/>
  <c r="F19" i="20"/>
  <c r="F20" i="20"/>
  <c r="F21" i="20"/>
  <c r="F22" i="20"/>
  <c r="F23" i="20"/>
  <c r="F24" i="20"/>
  <c r="F25" i="20"/>
  <c r="F26" i="20"/>
  <c r="F27" i="20"/>
  <c r="F28" i="20"/>
  <c r="F29" i="20"/>
  <c r="C30" i="20"/>
  <c r="D30" i="20"/>
  <c r="C44" i="20"/>
  <c r="D44" i="20"/>
  <c r="E38" i="20" s="1"/>
  <c r="H69" i="20"/>
  <c r="T69" i="20" s="1"/>
  <c r="H72" i="20"/>
  <c r="T72" i="20" s="1"/>
  <c r="F85" i="20"/>
  <c r="R85" i="20" s="1"/>
  <c r="F88" i="20"/>
  <c r="R88" i="20" s="1"/>
  <c r="F90" i="20"/>
  <c r="R90" i="20" s="1"/>
  <c r="F92" i="20"/>
  <c r="R92" i="20" s="1"/>
  <c r="F94" i="20"/>
  <c r="R94" i="20" s="1"/>
  <c r="F96" i="20"/>
  <c r="R96" i="20" s="1"/>
  <c r="F104" i="20"/>
  <c r="R104" i="20" s="1"/>
  <c r="F105" i="20"/>
  <c r="R105" i="20" s="1"/>
  <c r="F106" i="20"/>
  <c r="R106" i="20" s="1"/>
  <c r="G113" i="20"/>
  <c r="G114" i="20"/>
  <c r="H121" i="20"/>
  <c r="H123" i="20" s="1"/>
  <c r="T123" i="20" s="1"/>
  <c r="R121" i="20"/>
  <c r="R122" i="20" s="1"/>
  <c r="F122" i="20"/>
  <c r="H122" i="20"/>
  <c r="T122" i="20" s="1"/>
  <c r="I143" i="20"/>
  <c r="A152" i="20"/>
  <c r="A162" i="20"/>
  <c r="A164" i="20"/>
  <c r="A168" i="20"/>
  <c r="A172" i="20"/>
  <c r="A173" i="20"/>
  <c r="A174" i="20"/>
  <c r="A178" i="20"/>
  <c r="A179" i="20"/>
  <c r="A180" i="20"/>
  <c r="A182" i="20"/>
  <c r="A183" i="20"/>
  <c r="A184" i="20"/>
  <c r="A185" i="20"/>
  <c r="N1" i="18"/>
  <c r="A3" i="18"/>
  <c r="N3" i="18" s="1"/>
  <c r="F4" i="18"/>
  <c r="P4" i="18"/>
  <c r="N7" i="18"/>
  <c r="C8" i="18"/>
  <c r="P8" i="18" s="1"/>
  <c r="H8" i="18"/>
  <c r="T8" i="18" s="1"/>
  <c r="P106" i="18" s="1"/>
  <c r="F14" i="18"/>
  <c r="F15" i="18"/>
  <c r="F16" i="18"/>
  <c r="F17" i="18"/>
  <c r="F18" i="18"/>
  <c r="F19" i="18"/>
  <c r="F20" i="18"/>
  <c r="F21" i="18"/>
  <c r="F22" i="18"/>
  <c r="F23" i="18"/>
  <c r="F24" i="18"/>
  <c r="F25" i="18"/>
  <c r="F26" i="18"/>
  <c r="F27" i="18"/>
  <c r="F28" i="18"/>
  <c r="F29" i="18"/>
  <c r="C30" i="18"/>
  <c r="D30" i="18"/>
  <c r="E15" i="18" s="1"/>
  <c r="C44" i="18"/>
  <c r="D44" i="18"/>
  <c r="E38" i="18" s="1"/>
  <c r="H69" i="18"/>
  <c r="T69" i="18" s="1"/>
  <c r="H72" i="18"/>
  <c r="T72" i="18" s="1"/>
  <c r="F85" i="18"/>
  <c r="R85" i="18" s="1"/>
  <c r="F88" i="18"/>
  <c r="R88" i="18" s="1"/>
  <c r="F90" i="18"/>
  <c r="R90" i="18" s="1"/>
  <c r="F92" i="18"/>
  <c r="R92" i="18" s="1"/>
  <c r="F94" i="18"/>
  <c r="F96" i="18"/>
  <c r="R96" i="18" s="1"/>
  <c r="F104" i="18"/>
  <c r="R104" i="18" s="1"/>
  <c r="F105" i="18"/>
  <c r="R105" i="18" s="1"/>
  <c r="F106" i="18"/>
  <c r="R106" i="18" s="1"/>
  <c r="G113" i="18"/>
  <c r="T113" i="18" s="1"/>
  <c r="G114" i="18"/>
  <c r="I114" i="18" s="1"/>
  <c r="H121" i="18"/>
  <c r="R121" i="18"/>
  <c r="R122" i="18" s="1"/>
  <c r="F122" i="18"/>
  <c r="H122" i="18"/>
  <c r="I143" i="18"/>
  <c r="A152" i="18"/>
  <c r="A162" i="18"/>
  <c r="A164" i="18"/>
  <c r="A168" i="18"/>
  <c r="A172" i="18"/>
  <c r="A173" i="18"/>
  <c r="A174" i="18"/>
  <c r="A178" i="18"/>
  <c r="A179" i="18"/>
  <c r="A180" i="18"/>
  <c r="A182" i="18"/>
  <c r="A183" i="18"/>
  <c r="A184" i="18"/>
  <c r="A185" i="18"/>
  <c r="N1" i="17"/>
  <c r="A3" i="17"/>
  <c r="N3" i="17" s="1"/>
  <c r="F4" i="17"/>
  <c r="P4" i="17"/>
  <c r="N7" i="17"/>
  <c r="C8" i="17"/>
  <c r="P8" i="17" s="1"/>
  <c r="H8" i="17"/>
  <c r="E105" i="17" s="1"/>
  <c r="F14" i="17"/>
  <c r="F15" i="17"/>
  <c r="F16" i="17"/>
  <c r="F17" i="17"/>
  <c r="F18" i="17"/>
  <c r="F19" i="17"/>
  <c r="F20" i="17"/>
  <c r="F21" i="17"/>
  <c r="F22" i="17"/>
  <c r="F23" i="17"/>
  <c r="F24" i="17"/>
  <c r="F25" i="17"/>
  <c r="F26" i="17"/>
  <c r="F27" i="17"/>
  <c r="F28" i="17"/>
  <c r="F29" i="17"/>
  <c r="C30" i="17"/>
  <c r="D30" i="17"/>
  <c r="C44" i="17"/>
  <c r="D44" i="17"/>
  <c r="E43" i="17" s="1"/>
  <c r="H69" i="17"/>
  <c r="T69" i="17" s="1"/>
  <c r="H72" i="17"/>
  <c r="T72" i="17" s="1"/>
  <c r="F85" i="17"/>
  <c r="R85" i="17" s="1"/>
  <c r="F88" i="17"/>
  <c r="F90" i="17"/>
  <c r="R90" i="17" s="1"/>
  <c r="F92" i="17"/>
  <c r="F94" i="17"/>
  <c r="R94" i="17" s="1"/>
  <c r="F96" i="17"/>
  <c r="F104" i="17"/>
  <c r="R104" i="17" s="1"/>
  <c r="F105" i="17"/>
  <c r="R105" i="17" s="1"/>
  <c r="F106" i="17"/>
  <c r="R106" i="17" s="1"/>
  <c r="G113" i="17"/>
  <c r="T113" i="17" s="1"/>
  <c r="G114" i="17"/>
  <c r="T114" i="17" s="1"/>
  <c r="U114" i="17" s="1"/>
  <c r="H121" i="17"/>
  <c r="H123" i="17" s="1"/>
  <c r="R121" i="17"/>
  <c r="R122" i="17" s="1"/>
  <c r="F122" i="17"/>
  <c r="H122" i="17"/>
  <c r="T122" i="17" s="1"/>
  <c r="I143" i="17"/>
  <c r="A152" i="17"/>
  <c r="A162" i="17"/>
  <c r="A164" i="17"/>
  <c r="A168" i="17"/>
  <c r="A172" i="17"/>
  <c r="A173" i="17"/>
  <c r="A174" i="17"/>
  <c r="A178" i="17"/>
  <c r="A179" i="17"/>
  <c r="A180" i="17"/>
  <c r="A182" i="17"/>
  <c r="A183" i="17"/>
  <c r="A184" i="17"/>
  <c r="A185" i="17"/>
  <c r="N1" i="16"/>
  <c r="A3" i="16"/>
  <c r="N3" i="16" s="1"/>
  <c r="F4" i="16"/>
  <c r="P4" i="16"/>
  <c r="N7" i="16"/>
  <c r="C8" i="16"/>
  <c r="P8" i="16" s="1"/>
  <c r="H8" i="16"/>
  <c r="F14" i="16"/>
  <c r="F15" i="16"/>
  <c r="F16" i="16"/>
  <c r="F17" i="16"/>
  <c r="F18" i="16"/>
  <c r="F19" i="16"/>
  <c r="F20" i="16"/>
  <c r="F21" i="16"/>
  <c r="F22" i="16"/>
  <c r="F23" i="16"/>
  <c r="F24" i="16"/>
  <c r="F25" i="16"/>
  <c r="F26" i="16"/>
  <c r="F27" i="16"/>
  <c r="F28" i="16"/>
  <c r="F29" i="16"/>
  <c r="C30" i="16"/>
  <c r="D30" i="16"/>
  <c r="E18" i="16" s="1"/>
  <c r="C44" i="16"/>
  <c r="D44" i="16"/>
  <c r="E39" i="16" s="1"/>
  <c r="H69" i="16"/>
  <c r="H72" i="16"/>
  <c r="T72" i="16" s="1"/>
  <c r="F85" i="16"/>
  <c r="F88" i="16"/>
  <c r="R88" i="16" s="1"/>
  <c r="F90" i="16"/>
  <c r="F92" i="16"/>
  <c r="R92" i="16" s="1"/>
  <c r="F94" i="16"/>
  <c r="R94" i="16" s="1"/>
  <c r="F96" i="16"/>
  <c r="R96" i="16" s="1"/>
  <c r="F104" i="16"/>
  <c r="R104" i="16" s="1"/>
  <c r="F105" i="16"/>
  <c r="R105" i="16" s="1"/>
  <c r="F106" i="16"/>
  <c r="R106" i="16" s="1"/>
  <c r="G113" i="16"/>
  <c r="I113" i="16" s="1"/>
  <c r="G114" i="16"/>
  <c r="H121" i="16"/>
  <c r="R121" i="16"/>
  <c r="R122" i="16" s="1"/>
  <c r="F122" i="16"/>
  <c r="H122" i="16"/>
  <c r="I143" i="16"/>
  <c r="A152" i="16"/>
  <c r="A162" i="16"/>
  <c r="A164" i="16"/>
  <c r="A168" i="16"/>
  <c r="A172" i="16"/>
  <c r="A173" i="16"/>
  <c r="A174" i="16"/>
  <c r="A178" i="16"/>
  <c r="A179" i="16"/>
  <c r="A180" i="16"/>
  <c r="A182" i="16"/>
  <c r="A183" i="16"/>
  <c r="A184" i="16"/>
  <c r="A185" i="16"/>
  <c r="N1" i="7"/>
  <c r="N3" i="7"/>
  <c r="P4" i="7"/>
  <c r="T8" i="7"/>
  <c r="P104" i="7" s="1"/>
  <c r="C30" i="7"/>
  <c r="D30" i="7"/>
  <c r="E18" i="7" s="1"/>
  <c r="I35" i="7"/>
  <c r="U35" i="7" s="1"/>
  <c r="C44" i="7"/>
  <c r="D44" i="7"/>
  <c r="E38" i="7" s="1"/>
  <c r="I38" i="7" s="1"/>
  <c r="T69" i="7"/>
  <c r="T72" i="7"/>
  <c r="R85" i="7"/>
  <c r="R88" i="7"/>
  <c r="R90" i="7"/>
  <c r="R92" i="7"/>
  <c r="R94" i="7"/>
  <c r="R96" i="7"/>
  <c r="E104" i="7"/>
  <c r="E105" i="60" s="1"/>
  <c r="R104" i="7"/>
  <c r="E105" i="7"/>
  <c r="E106" i="60" s="1"/>
  <c r="R105" i="7"/>
  <c r="E106" i="7"/>
  <c r="E107" i="60" s="1"/>
  <c r="R106" i="7"/>
  <c r="T113" i="7"/>
  <c r="I114" i="7"/>
  <c r="T114" i="7"/>
  <c r="U114" i="7" s="1"/>
  <c r="H121" i="7"/>
  <c r="R121" i="7"/>
  <c r="R122" i="7" s="1"/>
  <c r="F122" i="7"/>
  <c r="H122" i="7"/>
  <c r="T122" i="7" s="1"/>
  <c r="A3" i="60"/>
  <c r="A7" i="60"/>
  <c r="C8" i="60"/>
  <c r="H8" i="60"/>
  <c r="I10" i="60"/>
  <c r="F14" i="60"/>
  <c r="F15" i="60"/>
  <c r="F16" i="60"/>
  <c r="F17" i="60"/>
  <c r="F18" i="60"/>
  <c r="F19" i="60"/>
  <c r="F20" i="60"/>
  <c r="F21" i="60"/>
  <c r="F22" i="60"/>
  <c r="F23" i="60"/>
  <c r="F24" i="60"/>
  <c r="F25" i="60"/>
  <c r="F26" i="60"/>
  <c r="F27" i="60"/>
  <c r="F28" i="60"/>
  <c r="F29" i="60"/>
  <c r="C31" i="60"/>
  <c r="D31" i="60"/>
  <c r="E122" i="60" s="1"/>
  <c r="I122" i="60" s="1"/>
  <c r="C39" i="60"/>
  <c r="D39" i="60"/>
  <c r="C40" i="60"/>
  <c r="D40" i="60"/>
  <c r="C41" i="60"/>
  <c r="D41" i="60"/>
  <c r="C42" i="60"/>
  <c r="D42" i="60"/>
  <c r="C43" i="60"/>
  <c r="D43" i="60"/>
  <c r="C44" i="60"/>
  <c r="D44" i="60"/>
  <c r="B2" i="64"/>
  <c r="A37" i="64"/>
  <c r="A53" i="64" s="1"/>
  <c r="A60" i="64" s="1"/>
  <c r="A72" i="64" s="1"/>
  <c r="A80" i="64" s="1"/>
  <c r="A90" i="64" s="1"/>
  <c r="A101" i="64" s="1"/>
  <c r="A110" i="64" s="1"/>
  <c r="A118" i="64" s="1"/>
  <c r="A134" i="64" s="1"/>
  <c r="A143" i="64" s="1"/>
  <c r="A152" i="64" s="1"/>
  <c r="A162" i="64" s="1"/>
  <c r="A171" i="64" s="1"/>
  <c r="A179" i="64" s="1"/>
  <c r="A186" i="64" s="1"/>
  <c r="A194" i="64" s="1"/>
  <c r="A205" i="64" s="1"/>
  <c r="A213" i="64" s="1"/>
  <c r="A224" i="64" s="1"/>
  <c r="A234" i="64" s="1"/>
  <c r="A243" i="64" s="1"/>
  <c r="A253" i="64" s="1"/>
  <c r="A263" i="64" s="1"/>
  <c r="A271" i="64" s="1"/>
  <c r="A279" i="64" s="1"/>
  <c r="A288" i="64" s="1"/>
  <c r="A298" i="64" s="1"/>
  <c r="A306" i="64" s="1"/>
  <c r="A315" i="64" s="1"/>
  <c r="A324" i="64" s="1"/>
  <c r="A334" i="64" s="1"/>
  <c r="A344" i="64" s="1"/>
  <c r="A355" i="64" s="1"/>
  <c r="A362" i="64" s="1"/>
  <c r="A371" i="64" s="1"/>
  <c r="A380" i="64" s="1"/>
  <c r="A387" i="64" s="1"/>
  <c r="A396" i="64" s="1"/>
  <c r="A406" i="64" s="1"/>
  <c r="A416" i="64" s="1"/>
  <c r="A425" i="64" s="1"/>
  <c r="A433" i="64" s="1"/>
  <c r="A443" i="64" s="1"/>
  <c r="A452" i="64" s="1"/>
  <c r="L42" i="64"/>
  <c r="D9" i="72"/>
  <c r="D10" i="72"/>
  <c r="U10" i="72" s="1"/>
  <c r="D11" i="72"/>
  <c r="U11" i="72" s="1"/>
  <c r="D12" i="72"/>
  <c r="D13" i="72"/>
  <c r="D14" i="72"/>
  <c r="D15" i="72"/>
  <c r="U15" i="72" s="1"/>
  <c r="D16" i="72"/>
  <c r="U16" i="72" s="1"/>
  <c r="D17" i="72"/>
  <c r="U17" i="72" s="1"/>
  <c r="D18" i="72"/>
  <c r="D19" i="72"/>
  <c r="D20" i="72"/>
  <c r="D21" i="72"/>
  <c r="U21" i="72" s="1"/>
  <c r="D22" i="72"/>
  <c r="U22" i="72" s="1"/>
  <c r="D23" i="72"/>
  <c r="D24" i="72"/>
  <c r="U24" i="72" s="1"/>
  <c r="D25" i="72"/>
  <c r="U25" i="72" s="1"/>
  <c r="D26" i="72"/>
  <c r="U26" i="72" s="1"/>
  <c r="D27" i="72"/>
  <c r="D28" i="72"/>
  <c r="U28" i="72" s="1"/>
  <c r="D29" i="72"/>
  <c r="D30" i="72"/>
  <c r="U30" i="72" s="1"/>
  <c r="D31" i="72"/>
  <c r="U31" i="72" s="1"/>
  <c r="D32" i="72"/>
  <c r="D33" i="72"/>
  <c r="D34" i="72"/>
  <c r="U34" i="72" s="1"/>
  <c r="D35" i="72"/>
  <c r="U35" i="72" s="1"/>
  <c r="D36" i="72"/>
  <c r="U36" i="72" s="1"/>
  <c r="D37" i="72"/>
  <c r="D38" i="72"/>
  <c r="D39" i="72"/>
  <c r="U39" i="72" s="1"/>
  <c r="D40" i="72"/>
  <c r="U40" i="72" s="1"/>
  <c r="D41" i="72"/>
  <c r="U41" i="72" s="1"/>
  <c r="D42" i="72"/>
  <c r="D43" i="72"/>
  <c r="U43" i="72" s="1"/>
  <c r="D44" i="72"/>
  <c r="U44" i="72" s="1"/>
  <c r="D45" i="72"/>
  <c r="D46" i="72"/>
  <c r="D47" i="72"/>
  <c r="U47" i="72" s="1"/>
  <c r="D48" i="72"/>
  <c r="U48" i="72" s="1"/>
  <c r="D49" i="72"/>
  <c r="U49" i="72" s="1"/>
  <c r="D50" i="72"/>
  <c r="U50" i="72" s="1"/>
  <c r="D51" i="72"/>
  <c r="U51" i="72" s="1"/>
  <c r="D52" i="72"/>
  <c r="U52" i="72" s="1"/>
  <c r="D53" i="72"/>
  <c r="U53" i="72" s="1"/>
  <c r="R94" i="30" l="1"/>
  <c r="R94" i="78"/>
  <c r="T69" i="16"/>
  <c r="E121" i="22"/>
  <c r="E22" i="22"/>
  <c r="E19" i="22"/>
  <c r="J19" i="22" s="1"/>
  <c r="E104" i="32"/>
  <c r="E105" i="32"/>
  <c r="P106" i="32"/>
  <c r="E16" i="18"/>
  <c r="H16" i="18" s="1"/>
  <c r="I16" i="18" s="1"/>
  <c r="E121" i="18"/>
  <c r="I121" i="18" s="1"/>
  <c r="E17" i="51"/>
  <c r="E121" i="51"/>
  <c r="I121" i="51" s="1"/>
  <c r="E22" i="71"/>
  <c r="H22" i="71" s="1"/>
  <c r="I22" i="71" s="1"/>
  <c r="E121" i="71"/>
  <c r="I121" i="71" s="1"/>
  <c r="E25" i="17"/>
  <c r="H25" i="17" s="1"/>
  <c r="I25" i="17" s="1"/>
  <c r="E121" i="17"/>
  <c r="I121" i="17" s="1"/>
  <c r="E17" i="23"/>
  <c r="E121" i="23"/>
  <c r="I121" i="23" s="1"/>
  <c r="E25" i="50"/>
  <c r="H25" i="50" s="1"/>
  <c r="I25" i="50" s="1"/>
  <c r="E121" i="50"/>
  <c r="I121" i="50" s="1"/>
  <c r="E28" i="70"/>
  <c r="H28" i="70" s="1"/>
  <c r="I28" i="70" s="1"/>
  <c r="E121" i="70"/>
  <c r="I121" i="70" s="1"/>
  <c r="E22" i="16"/>
  <c r="H22" i="16" s="1"/>
  <c r="I22" i="16" s="1"/>
  <c r="E121" i="16"/>
  <c r="E19" i="35"/>
  <c r="J19" i="35" s="1"/>
  <c r="E121" i="35"/>
  <c r="I121" i="35" s="1"/>
  <c r="E23" i="48"/>
  <c r="H23" i="48" s="1"/>
  <c r="I23" i="48" s="1"/>
  <c r="E121" i="48"/>
  <c r="I121" i="48" s="1"/>
  <c r="E24" i="69"/>
  <c r="H24" i="69" s="1"/>
  <c r="I24" i="69" s="1"/>
  <c r="E121" i="69"/>
  <c r="I121" i="69" s="1"/>
  <c r="E25" i="31"/>
  <c r="H25" i="31" s="1"/>
  <c r="I25" i="31" s="1"/>
  <c r="E121" i="31"/>
  <c r="I121" i="31" s="1"/>
  <c r="E14" i="34"/>
  <c r="H14" i="34" s="1"/>
  <c r="I14" i="34" s="1"/>
  <c r="E121" i="34"/>
  <c r="I121" i="34" s="1"/>
  <c r="E22" i="47"/>
  <c r="H22" i="47" s="1"/>
  <c r="I22" i="47" s="1"/>
  <c r="E121" i="47"/>
  <c r="I121" i="47" s="1"/>
  <c r="E25" i="28"/>
  <c r="H25" i="28" s="1"/>
  <c r="I25" i="28" s="1"/>
  <c r="E121" i="28"/>
  <c r="I121" i="28" s="1"/>
  <c r="E19" i="33"/>
  <c r="E121" i="33"/>
  <c r="I121" i="33" s="1"/>
  <c r="E25" i="45"/>
  <c r="H25" i="45" s="1"/>
  <c r="I25" i="45" s="1"/>
  <c r="E121" i="45"/>
  <c r="I121" i="45" s="1"/>
  <c r="E18" i="66"/>
  <c r="H18" i="66" s="1"/>
  <c r="E121" i="66"/>
  <c r="I121" i="66" s="1"/>
  <c r="E16" i="27"/>
  <c r="H16" i="27" s="1"/>
  <c r="I16" i="27" s="1"/>
  <c r="E121" i="27"/>
  <c r="I121" i="27" s="1"/>
  <c r="E26" i="32"/>
  <c r="H26" i="32" s="1"/>
  <c r="I26" i="32" s="1"/>
  <c r="E121" i="32"/>
  <c r="I121" i="32" s="1"/>
  <c r="E19" i="44"/>
  <c r="E121" i="44"/>
  <c r="I121" i="44" s="1"/>
  <c r="E25" i="58"/>
  <c r="H25" i="58" s="1"/>
  <c r="I25" i="58" s="1"/>
  <c r="E121" i="58"/>
  <c r="I121" i="58" s="1"/>
  <c r="E18" i="26"/>
  <c r="H18" i="26" s="1"/>
  <c r="I18" i="26" s="1"/>
  <c r="E121" i="26"/>
  <c r="I121" i="26" s="1"/>
  <c r="E18" i="43"/>
  <c r="H18" i="43" s="1"/>
  <c r="I18" i="43" s="1"/>
  <c r="E121" i="43"/>
  <c r="I121" i="43" s="1"/>
  <c r="E22" i="42"/>
  <c r="H22" i="42" s="1"/>
  <c r="I22" i="42" s="1"/>
  <c r="E121" i="42"/>
  <c r="I121" i="42" s="1"/>
  <c r="E18" i="56"/>
  <c r="H18" i="56" s="1"/>
  <c r="I18" i="56" s="1"/>
  <c r="E121" i="56"/>
  <c r="I121" i="56" s="1"/>
  <c r="E25" i="24"/>
  <c r="H25" i="24" s="1"/>
  <c r="I25" i="24" s="1"/>
  <c r="E121" i="24"/>
  <c r="I121" i="24" s="1"/>
  <c r="E19" i="55"/>
  <c r="E121" i="55"/>
  <c r="I121" i="55" s="1"/>
  <c r="E19" i="30"/>
  <c r="E121" i="30"/>
  <c r="I121" i="30" s="1"/>
  <c r="E22" i="25"/>
  <c r="H22" i="25" s="1"/>
  <c r="I22" i="25" s="1"/>
  <c r="E121" i="25"/>
  <c r="I121" i="25" s="1"/>
  <c r="E26" i="39"/>
  <c r="H26" i="39" s="1"/>
  <c r="I26" i="39" s="1"/>
  <c r="E121" i="39"/>
  <c r="I121" i="39" s="1"/>
  <c r="E22" i="76"/>
  <c r="H22" i="76" s="1"/>
  <c r="I22" i="76" s="1"/>
  <c r="E121" i="76"/>
  <c r="I121" i="76" s="1"/>
  <c r="E24" i="78"/>
  <c r="H24" i="78" s="1"/>
  <c r="I24" i="78" s="1"/>
  <c r="E121" i="78"/>
  <c r="I121" i="78" s="1"/>
  <c r="E14" i="21"/>
  <c r="H14" i="21" s="1"/>
  <c r="I14" i="21" s="1"/>
  <c r="E121" i="21"/>
  <c r="I121" i="21" s="1"/>
  <c r="E25" i="38"/>
  <c r="H25" i="38" s="1"/>
  <c r="I25" i="38" s="1"/>
  <c r="E121" i="38"/>
  <c r="I121" i="38" s="1"/>
  <c r="E22" i="75"/>
  <c r="H22" i="75" s="1"/>
  <c r="I22" i="75" s="1"/>
  <c r="E121" i="75"/>
  <c r="I121" i="75" s="1"/>
  <c r="E15" i="7"/>
  <c r="E121" i="7"/>
  <c r="E29" i="20"/>
  <c r="H29" i="20" s="1"/>
  <c r="I29" i="20" s="1"/>
  <c r="E121" i="20"/>
  <c r="I121" i="20" s="1"/>
  <c r="E22" i="37"/>
  <c r="H22" i="37" s="1"/>
  <c r="I22" i="37" s="1"/>
  <c r="E121" i="37"/>
  <c r="I121" i="37" s="1"/>
  <c r="E25" i="52"/>
  <c r="H25" i="52" s="1"/>
  <c r="I25" i="52" s="1"/>
  <c r="E121" i="52"/>
  <c r="I121" i="52" s="1"/>
  <c r="E24" i="68"/>
  <c r="H24" i="68" s="1"/>
  <c r="I24" i="68" s="1"/>
  <c r="E121" i="68"/>
  <c r="I121" i="68" s="1"/>
  <c r="T121" i="76"/>
  <c r="H123" i="23"/>
  <c r="T123" i="23" s="1"/>
  <c r="I42" i="52"/>
  <c r="T121" i="27"/>
  <c r="T121" i="44"/>
  <c r="I40" i="38"/>
  <c r="I38" i="40"/>
  <c r="I41" i="76"/>
  <c r="I38" i="28"/>
  <c r="I38" i="43"/>
  <c r="I39" i="42"/>
  <c r="I38" i="68"/>
  <c r="I38" i="20"/>
  <c r="P105" i="32"/>
  <c r="I39" i="16"/>
  <c r="I38" i="18"/>
  <c r="I38" i="55"/>
  <c r="I43" i="17"/>
  <c r="I40" i="21"/>
  <c r="I40" i="35"/>
  <c r="I39" i="24"/>
  <c r="I40" i="26"/>
  <c r="I38" i="33"/>
  <c r="I40" i="50"/>
  <c r="H123" i="52"/>
  <c r="T123" i="52" s="1"/>
  <c r="I40" i="57"/>
  <c r="I39" i="66"/>
  <c r="T121" i="71"/>
  <c r="I40" i="77"/>
  <c r="I38" i="30"/>
  <c r="I40" i="45"/>
  <c r="H123" i="56"/>
  <c r="T123" i="56" s="1"/>
  <c r="I43" i="22"/>
  <c r="I39" i="23"/>
  <c r="I40" i="51"/>
  <c r="I39" i="67"/>
  <c r="I42" i="31"/>
  <c r="I39" i="39"/>
  <c r="E42" i="57"/>
  <c r="I42" i="57" s="1"/>
  <c r="E105" i="18"/>
  <c r="E27" i="47"/>
  <c r="H27" i="47" s="1"/>
  <c r="I27" i="47" s="1"/>
  <c r="E38" i="57"/>
  <c r="I38" i="57" s="1"/>
  <c r="E104" i="18"/>
  <c r="E29" i="52"/>
  <c r="H29" i="52" s="1"/>
  <c r="I29" i="52" s="1"/>
  <c r="E38" i="39"/>
  <c r="I38" i="39" s="1"/>
  <c r="E42" i="77"/>
  <c r="I42" i="77" s="1"/>
  <c r="H123" i="75"/>
  <c r="T123" i="75" s="1"/>
  <c r="T121" i="67"/>
  <c r="H123" i="68"/>
  <c r="I123" i="68" s="1"/>
  <c r="E23" i="78"/>
  <c r="H23" i="78" s="1"/>
  <c r="I23" i="78" s="1"/>
  <c r="E23" i="52"/>
  <c r="H23" i="52" s="1"/>
  <c r="I23" i="52" s="1"/>
  <c r="E106" i="18"/>
  <c r="E39" i="40"/>
  <c r="I39" i="40" s="1"/>
  <c r="E40" i="40"/>
  <c r="I40" i="40" s="1"/>
  <c r="E23" i="69"/>
  <c r="H23" i="69" s="1"/>
  <c r="I23" i="69" s="1"/>
  <c r="E39" i="68"/>
  <c r="I39" i="68" s="1"/>
  <c r="E39" i="18"/>
  <c r="I39" i="18" s="1"/>
  <c r="T121" i="32"/>
  <c r="E39" i="22"/>
  <c r="I39" i="22" s="1"/>
  <c r="E41" i="33"/>
  <c r="I41" i="33" s="1"/>
  <c r="E18" i="75"/>
  <c r="H18" i="75" s="1"/>
  <c r="I18" i="75" s="1"/>
  <c r="E40" i="33"/>
  <c r="I40" i="33" s="1"/>
  <c r="E16" i="52"/>
  <c r="H16" i="52" s="1"/>
  <c r="I16" i="52" s="1"/>
  <c r="E14" i="20"/>
  <c r="H14" i="20" s="1"/>
  <c r="E21" i="71"/>
  <c r="H21" i="71" s="1"/>
  <c r="I21" i="71" s="1"/>
  <c r="E43" i="68"/>
  <c r="I43" i="68" s="1"/>
  <c r="E21" i="44"/>
  <c r="H21" i="44" s="1"/>
  <c r="I21" i="44" s="1"/>
  <c r="E38" i="22"/>
  <c r="I38" i="22" s="1"/>
  <c r="E24" i="27"/>
  <c r="H24" i="27" s="1"/>
  <c r="I24" i="27" s="1"/>
  <c r="E38" i="51"/>
  <c r="I38" i="51" s="1"/>
  <c r="E39" i="77"/>
  <c r="I39" i="77" s="1"/>
  <c r="E43" i="20"/>
  <c r="I43" i="20" s="1"/>
  <c r="E43" i="24"/>
  <c r="I43" i="24" s="1"/>
  <c r="E39" i="26"/>
  <c r="I39" i="26" s="1"/>
  <c r="T121" i="40"/>
  <c r="E28" i="58"/>
  <c r="H28" i="58" s="1"/>
  <c r="I28" i="58" s="1"/>
  <c r="H123" i="69"/>
  <c r="T123" i="69" s="1"/>
  <c r="E42" i="20"/>
  <c r="I42" i="20" s="1"/>
  <c r="E42" i="24"/>
  <c r="I42" i="24" s="1"/>
  <c r="E38" i="26"/>
  <c r="I38" i="26" s="1"/>
  <c r="E23" i="27"/>
  <c r="H23" i="27" s="1"/>
  <c r="I23" i="27" s="1"/>
  <c r="E16" i="33"/>
  <c r="H16" i="33" s="1"/>
  <c r="I16" i="33" s="1"/>
  <c r="E26" i="70"/>
  <c r="H26" i="70" s="1"/>
  <c r="I26" i="70" s="1"/>
  <c r="E21" i="78"/>
  <c r="H21" i="78" s="1"/>
  <c r="I21" i="78" s="1"/>
  <c r="E40" i="20"/>
  <c r="I40" i="20" s="1"/>
  <c r="E41" i="24"/>
  <c r="I41" i="24" s="1"/>
  <c r="E43" i="33"/>
  <c r="I43" i="33" s="1"/>
  <c r="E39" i="20"/>
  <c r="I39" i="20" s="1"/>
  <c r="E40" i="24"/>
  <c r="I40" i="24" s="1"/>
  <c r="E42" i="33"/>
  <c r="I42" i="33" s="1"/>
  <c r="E20" i="23"/>
  <c r="H20" i="23" s="1"/>
  <c r="I20" i="23" s="1"/>
  <c r="T121" i="42"/>
  <c r="E27" i="44"/>
  <c r="E42" i="68"/>
  <c r="I42" i="68" s="1"/>
  <c r="E40" i="18"/>
  <c r="I40" i="18" s="1"/>
  <c r="E38" i="24"/>
  <c r="I38" i="24" s="1"/>
  <c r="E24" i="33"/>
  <c r="H24" i="33" s="1"/>
  <c r="I24" i="33" s="1"/>
  <c r="E40" i="76"/>
  <c r="I40" i="76" s="1"/>
  <c r="E41" i="57"/>
  <c r="I41" i="57" s="1"/>
  <c r="E41" i="68"/>
  <c r="I41" i="68" s="1"/>
  <c r="E28" i="78"/>
  <c r="H28" i="78" s="1"/>
  <c r="I28" i="78" s="1"/>
  <c r="E15" i="44"/>
  <c r="J15" i="44" s="1"/>
  <c r="E39" i="76"/>
  <c r="I39" i="76" s="1"/>
  <c r="E39" i="57"/>
  <c r="I39" i="57" s="1"/>
  <c r="E40" i="68"/>
  <c r="I40" i="68" s="1"/>
  <c r="E41" i="21"/>
  <c r="I41" i="21" s="1"/>
  <c r="E39" i="28"/>
  <c r="I39" i="28" s="1"/>
  <c r="E39" i="33"/>
  <c r="I39" i="33" s="1"/>
  <c r="T121" i="43"/>
  <c r="E20" i="47"/>
  <c r="H20" i="47" s="1"/>
  <c r="I20" i="47" s="1"/>
  <c r="E38" i="76"/>
  <c r="I38" i="76" s="1"/>
  <c r="E42" i="22"/>
  <c r="I42" i="22" s="1"/>
  <c r="E43" i="43"/>
  <c r="I43" i="43" s="1"/>
  <c r="E23" i="66"/>
  <c r="H23" i="66" s="1"/>
  <c r="E41" i="22"/>
  <c r="I41" i="22" s="1"/>
  <c r="E17" i="27"/>
  <c r="P105" i="7"/>
  <c r="T121" i="20"/>
  <c r="E40" i="22"/>
  <c r="I40" i="22" s="1"/>
  <c r="E24" i="35"/>
  <c r="H24" i="35" s="1"/>
  <c r="I24" i="35" s="1"/>
  <c r="E41" i="39"/>
  <c r="I41" i="39" s="1"/>
  <c r="E104" i="78"/>
  <c r="E106" i="32"/>
  <c r="E104" i="25"/>
  <c r="E106" i="23"/>
  <c r="E104" i="52"/>
  <c r="I114" i="69"/>
  <c r="E105" i="35"/>
  <c r="E106" i="43"/>
  <c r="I114" i="51"/>
  <c r="E23" i="68"/>
  <c r="H23" i="68" s="1"/>
  <c r="I23" i="68" s="1"/>
  <c r="E21" i="68"/>
  <c r="H21" i="68" s="1"/>
  <c r="I21" i="68" s="1"/>
  <c r="E24" i="71"/>
  <c r="H24" i="71" s="1"/>
  <c r="I24" i="71" s="1"/>
  <c r="E23" i="71"/>
  <c r="H23" i="71" s="1"/>
  <c r="I23" i="71" s="1"/>
  <c r="E14" i="71"/>
  <c r="H14" i="71" s="1"/>
  <c r="I14" i="71" s="1"/>
  <c r="I122" i="70"/>
  <c r="E21" i="70"/>
  <c r="H21" i="70" s="1"/>
  <c r="I21" i="70" s="1"/>
  <c r="E20" i="70"/>
  <c r="H20" i="70" s="1"/>
  <c r="I20" i="70" s="1"/>
  <c r="E22" i="69"/>
  <c r="H22" i="69" s="1"/>
  <c r="I22" i="69" s="1"/>
  <c r="E21" i="69"/>
  <c r="H21" i="69" s="1"/>
  <c r="I21" i="69" s="1"/>
  <c r="E24" i="66"/>
  <c r="H24" i="66" s="1"/>
  <c r="E22" i="58"/>
  <c r="H22" i="58" s="1"/>
  <c r="I22" i="58" s="1"/>
  <c r="E21" i="58"/>
  <c r="H21" i="58" s="1"/>
  <c r="I21" i="58" s="1"/>
  <c r="E27" i="55"/>
  <c r="H27" i="55" s="1"/>
  <c r="I27" i="55" s="1"/>
  <c r="E14" i="55"/>
  <c r="H14" i="55" s="1"/>
  <c r="I14" i="55" s="1"/>
  <c r="I122" i="52"/>
  <c r="E28" i="52"/>
  <c r="H28" i="52" s="1"/>
  <c r="I28" i="52" s="1"/>
  <c r="E15" i="52"/>
  <c r="E27" i="52"/>
  <c r="H27" i="52" s="1"/>
  <c r="I27" i="52" s="1"/>
  <c r="E20" i="52"/>
  <c r="H20" i="52" s="1"/>
  <c r="I20" i="52" s="1"/>
  <c r="E26" i="52"/>
  <c r="H26" i="52" s="1"/>
  <c r="I26" i="52" s="1"/>
  <c r="E19" i="52"/>
  <c r="J19" i="52" s="1"/>
  <c r="E18" i="52"/>
  <c r="H18" i="52" s="1"/>
  <c r="I18" i="52" s="1"/>
  <c r="E24" i="52"/>
  <c r="H24" i="52" s="1"/>
  <c r="I24" i="52" s="1"/>
  <c r="E17" i="52"/>
  <c r="E22" i="48"/>
  <c r="H22" i="48" s="1"/>
  <c r="I22" i="48" s="1"/>
  <c r="E21" i="48"/>
  <c r="H21" i="48" s="1"/>
  <c r="I21" i="48" s="1"/>
  <c r="E19" i="47"/>
  <c r="E25" i="47"/>
  <c r="H25" i="47" s="1"/>
  <c r="I25" i="47" s="1"/>
  <c r="E24" i="47"/>
  <c r="H24" i="47" s="1"/>
  <c r="I24" i="47" s="1"/>
  <c r="E17" i="47"/>
  <c r="E15" i="47"/>
  <c r="E29" i="47"/>
  <c r="H29" i="47" s="1"/>
  <c r="I29" i="47" s="1"/>
  <c r="I123" i="44"/>
  <c r="E17" i="44"/>
  <c r="E22" i="44"/>
  <c r="H22" i="44" s="1"/>
  <c r="I22" i="44" s="1"/>
  <c r="E14" i="44"/>
  <c r="H14" i="44" s="1"/>
  <c r="I14" i="44" s="1"/>
  <c r="I123" i="43"/>
  <c r="E19" i="43"/>
  <c r="I122" i="42"/>
  <c r="E23" i="42"/>
  <c r="H23" i="42" s="1"/>
  <c r="I23" i="42" s="1"/>
  <c r="E14" i="42"/>
  <c r="H14" i="42" s="1"/>
  <c r="I14" i="42" s="1"/>
  <c r="E29" i="42"/>
  <c r="H29" i="42" s="1"/>
  <c r="I29" i="42" s="1"/>
  <c r="E20" i="42"/>
  <c r="H20" i="42" s="1"/>
  <c r="I20" i="42" s="1"/>
  <c r="E28" i="42"/>
  <c r="H28" i="42" s="1"/>
  <c r="I28" i="42" s="1"/>
  <c r="E27" i="42"/>
  <c r="H27" i="42" s="1"/>
  <c r="I27" i="42" s="1"/>
  <c r="E18" i="42"/>
  <c r="H18" i="42" s="1"/>
  <c r="I18" i="42" s="1"/>
  <c r="I122" i="39"/>
  <c r="E21" i="39"/>
  <c r="H21" i="39" s="1"/>
  <c r="I21" i="39" s="1"/>
  <c r="E20" i="37"/>
  <c r="H20" i="37" s="1"/>
  <c r="I20" i="37" s="1"/>
  <c r="E21" i="23"/>
  <c r="H21" i="23" s="1"/>
  <c r="I21" i="23" s="1"/>
  <c r="E15" i="35"/>
  <c r="J15" i="35" s="1"/>
  <c r="E20" i="35"/>
  <c r="H20" i="35" s="1"/>
  <c r="I20" i="35" s="1"/>
  <c r="E20" i="34"/>
  <c r="H20" i="34" s="1"/>
  <c r="I20" i="34" s="1"/>
  <c r="E27" i="34"/>
  <c r="H27" i="34" s="1"/>
  <c r="I27" i="34" s="1"/>
  <c r="E23" i="33"/>
  <c r="H23" i="33" s="1"/>
  <c r="I23" i="33" s="1"/>
  <c r="E15" i="33"/>
  <c r="E22" i="33"/>
  <c r="H22" i="33" s="1"/>
  <c r="I22" i="33" s="1"/>
  <c r="E14" i="33"/>
  <c r="H14" i="33" s="1"/>
  <c r="I14" i="33" s="1"/>
  <c r="E29" i="33"/>
  <c r="H29" i="33" s="1"/>
  <c r="I29" i="33" s="1"/>
  <c r="E28" i="33"/>
  <c r="H28" i="33" s="1"/>
  <c r="I28" i="33" s="1"/>
  <c r="E27" i="32"/>
  <c r="H27" i="32" s="1"/>
  <c r="I27" i="32" s="1"/>
  <c r="E16" i="32"/>
  <c r="H16" i="32" s="1"/>
  <c r="I16" i="32" s="1"/>
  <c r="E22" i="28"/>
  <c r="H22" i="28" s="1"/>
  <c r="I22" i="28" s="1"/>
  <c r="I122" i="27"/>
  <c r="E29" i="27"/>
  <c r="H29" i="27" s="1"/>
  <c r="I29" i="27" s="1"/>
  <c r="E22" i="27"/>
  <c r="H22" i="27" s="1"/>
  <c r="I22" i="27" s="1"/>
  <c r="E14" i="27"/>
  <c r="H14" i="27" s="1"/>
  <c r="I14" i="27" s="1"/>
  <c r="E28" i="27"/>
  <c r="H28" i="27" s="1"/>
  <c r="I28" i="27" s="1"/>
  <c r="E27" i="27"/>
  <c r="H27" i="27" s="1"/>
  <c r="I27" i="27" s="1"/>
  <c r="E19" i="27"/>
  <c r="E18" i="27"/>
  <c r="H18" i="27" s="1"/>
  <c r="I18" i="27" s="1"/>
  <c r="I122" i="26"/>
  <c r="E28" i="26"/>
  <c r="H28" i="26" s="1"/>
  <c r="I28" i="26" s="1"/>
  <c r="E26" i="26"/>
  <c r="H26" i="26" s="1"/>
  <c r="I26" i="26" s="1"/>
  <c r="E15" i="26"/>
  <c r="E20" i="26"/>
  <c r="H20" i="26" s="1"/>
  <c r="I20" i="26" s="1"/>
  <c r="E23" i="24"/>
  <c r="H23" i="24" s="1"/>
  <c r="I23" i="24" s="1"/>
  <c r="E22" i="24"/>
  <c r="H22" i="24" s="1"/>
  <c r="I22" i="24" s="1"/>
  <c r="E20" i="24"/>
  <c r="H20" i="24" s="1"/>
  <c r="I20" i="24" s="1"/>
  <c r="E26" i="21"/>
  <c r="H26" i="21" s="1"/>
  <c r="I26" i="21" s="1"/>
  <c r="E23" i="21"/>
  <c r="H23" i="21" s="1"/>
  <c r="I23" i="21" s="1"/>
  <c r="E22" i="21"/>
  <c r="H22" i="21" s="1"/>
  <c r="I22" i="21" s="1"/>
  <c r="E20" i="21"/>
  <c r="H20" i="21" s="1"/>
  <c r="I20" i="21" s="1"/>
  <c r="E20" i="20"/>
  <c r="H20" i="20" s="1"/>
  <c r="I20" i="20" s="1"/>
  <c r="E20" i="18"/>
  <c r="E29" i="18"/>
  <c r="H29" i="18" s="1"/>
  <c r="I29" i="18" s="1"/>
  <c r="E28" i="18"/>
  <c r="H28" i="18" s="1"/>
  <c r="I28" i="18" s="1"/>
  <c r="E15" i="17"/>
  <c r="J15" i="17" s="1"/>
  <c r="E22" i="17"/>
  <c r="H22" i="17" s="1"/>
  <c r="I22" i="17" s="1"/>
  <c r="E21" i="17"/>
  <c r="H21" i="17" s="1"/>
  <c r="I21" i="17" s="1"/>
  <c r="E28" i="17"/>
  <c r="H28" i="17" s="1"/>
  <c r="I28" i="17" s="1"/>
  <c r="E27" i="17"/>
  <c r="H27" i="17" s="1"/>
  <c r="I27" i="17" s="1"/>
  <c r="E17" i="17"/>
  <c r="E21" i="16"/>
  <c r="H21" i="16" s="1"/>
  <c r="I21" i="16" s="1"/>
  <c r="E26" i="16"/>
  <c r="H26" i="16" s="1"/>
  <c r="I26" i="16" s="1"/>
  <c r="I122" i="58"/>
  <c r="E40" i="31"/>
  <c r="I40" i="31" s="1"/>
  <c r="E39" i="31"/>
  <c r="I39" i="31" s="1"/>
  <c r="I122" i="69"/>
  <c r="H123" i="18"/>
  <c r="T123" i="18" s="1"/>
  <c r="I122" i="75"/>
  <c r="I122" i="31"/>
  <c r="I122" i="45"/>
  <c r="E16" i="30"/>
  <c r="H16" i="30" s="1"/>
  <c r="I16" i="30" s="1"/>
  <c r="E22" i="30"/>
  <c r="H22" i="30" s="1"/>
  <c r="I22" i="30" s="1"/>
  <c r="E21" i="30"/>
  <c r="H21" i="30" s="1"/>
  <c r="I21" i="30" s="1"/>
  <c r="E24" i="30"/>
  <c r="H24" i="30" s="1"/>
  <c r="I24" i="30" s="1"/>
  <c r="E18" i="51"/>
  <c r="H18" i="51" s="1"/>
  <c r="I18" i="51" s="1"/>
  <c r="E25" i="51"/>
  <c r="H25" i="51" s="1"/>
  <c r="I25" i="51" s="1"/>
  <c r="E16" i="51"/>
  <c r="H16" i="51" s="1"/>
  <c r="I16" i="51" s="1"/>
  <c r="E26" i="51"/>
  <c r="H26" i="51" s="1"/>
  <c r="I26" i="51" s="1"/>
  <c r="E20" i="51"/>
  <c r="H20" i="51" s="1"/>
  <c r="I20" i="51" s="1"/>
  <c r="E24" i="51"/>
  <c r="H24" i="51" s="1"/>
  <c r="I24" i="51" s="1"/>
  <c r="E19" i="51"/>
  <c r="E27" i="51"/>
  <c r="H27" i="51" s="1"/>
  <c r="I27" i="51" s="1"/>
  <c r="E24" i="57"/>
  <c r="H24" i="57" s="1"/>
  <c r="I24" i="57" s="1"/>
  <c r="E25" i="57"/>
  <c r="H25" i="57" s="1"/>
  <c r="I25" i="57" s="1"/>
  <c r="E19" i="57"/>
  <c r="T8" i="28"/>
  <c r="P106" i="28" s="1"/>
  <c r="E104" i="28"/>
  <c r="T8" i="27"/>
  <c r="P105" i="27" s="1"/>
  <c r="E104" i="27"/>
  <c r="T121" i="33"/>
  <c r="H123" i="33"/>
  <c r="T123" i="33" s="1"/>
  <c r="T8" i="40"/>
  <c r="P106" i="40" s="1"/>
  <c r="E104" i="40"/>
  <c r="E106" i="40"/>
  <c r="E38" i="27"/>
  <c r="I38" i="27" s="1"/>
  <c r="E40" i="27"/>
  <c r="I40" i="27" s="1"/>
  <c r="E39" i="27"/>
  <c r="I39" i="27" s="1"/>
  <c r="E43" i="27"/>
  <c r="I43" i="27" s="1"/>
  <c r="E42" i="27"/>
  <c r="I42" i="27" s="1"/>
  <c r="T121" i="34"/>
  <c r="H123" i="34"/>
  <c r="T123" i="34" s="1"/>
  <c r="E17" i="43"/>
  <c r="E23" i="43"/>
  <c r="H23" i="43" s="1"/>
  <c r="I23" i="43" s="1"/>
  <c r="E14" i="43"/>
  <c r="H14" i="43" s="1"/>
  <c r="I14" i="43" s="1"/>
  <c r="E24" i="43"/>
  <c r="H24" i="43" s="1"/>
  <c r="I24" i="43" s="1"/>
  <c r="E15" i="43"/>
  <c r="J15" i="43" s="1"/>
  <c r="E29" i="43"/>
  <c r="H29" i="43" s="1"/>
  <c r="I29" i="43" s="1"/>
  <c r="E20" i="43"/>
  <c r="H20" i="43" s="1"/>
  <c r="I20" i="43" s="1"/>
  <c r="E40" i="69"/>
  <c r="I40" i="69" s="1"/>
  <c r="E41" i="69"/>
  <c r="I41" i="69" s="1"/>
  <c r="E38" i="69"/>
  <c r="I38" i="69" s="1"/>
  <c r="E39" i="69"/>
  <c r="I39" i="69" s="1"/>
  <c r="I122" i="32"/>
  <c r="I123" i="32"/>
  <c r="E14" i="56"/>
  <c r="H14" i="56" s="1"/>
  <c r="I14" i="56" s="1"/>
  <c r="E23" i="56"/>
  <c r="H23" i="56" s="1"/>
  <c r="I23" i="56" s="1"/>
  <c r="E22" i="56"/>
  <c r="H22" i="56" s="1"/>
  <c r="I22" i="56" s="1"/>
  <c r="E21" i="56"/>
  <c r="H21" i="56" s="1"/>
  <c r="I21" i="56" s="1"/>
  <c r="E24" i="56"/>
  <c r="H24" i="56" s="1"/>
  <c r="I24" i="56" s="1"/>
  <c r="E19" i="56"/>
  <c r="E15" i="56"/>
  <c r="J15" i="56" s="1"/>
  <c r="E27" i="56"/>
  <c r="H27" i="56" s="1"/>
  <c r="I27" i="56" s="1"/>
  <c r="E17" i="56"/>
  <c r="E42" i="69"/>
  <c r="I42" i="69" s="1"/>
  <c r="E105" i="36"/>
  <c r="E104" i="36"/>
  <c r="E106" i="36"/>
  <c r="E38" i="34"/>
  <c r="I38" i="34" s="1"/>
  <c r="E41" i="34"/>
  <c r="I41" i="34" s="1"/>
  <c r="E18" i="23"/>
  <c r="H18" i="23" s="1"/>
  <c r="I18" i="23" s="1"/>
  <c r="E41" i="50"/>
  <c r="I41" i="50" s="1"/>
  <c r="E21" i="76"/>
  <c r="H21" i="76" s="1"/>
  <c r="I21" i="76" s="1"/>
  <c r="E27" i="76"/>
  <c r="H27" i="76" s="1"/>
  <c r="I27" i="76" s="1"/>
  <c r="E19" i="76"/>
  <c r="E29" i="76"/>
  <c r="H29" i="76" s="1"/>
  <c r="I29" i="76" s="1"/>
  <c r="E18" i="76"/>
  <c r="H18" i="76" s="1"/>
  <c r="I18" i="76" s="1"/>
  <c r="E28" i="76"/>
  <c r="H28" i="76" s="1"/>
  <c r="I28" i="76" s="1"/>
  <c r="E23" i="76"/>
  <c r="H23" i="76" s="1"/>
  <c r="I23" i="76" s="1"/>
  <c r="E15" i="76"/>
  <c r="J15" i="76" s="1"/>
  <c r="E14" i="76"/>
  <c r="H14" i="76" s="1"/>
  <c r="I14" i="76" s="1"/>
  <c r="E24" i="76"/>
  <c r="H24" i="76" s="1"/>
  <c r="I24" i="76" s="1"/>
  <c r="E38" i="25"/>
  <c r="I38" i="25" s="1"/>
  <c r="E39" i="25"/>
  <c r="I39" i="25" s="1"/>
  <c r="E40" i="25"/>
  <c r="I40" i="25" s="1"/>
  <c r="E41" i="25"/>
  <c r="I41" i="25" s="1"/>
  <c r="E43" i="25"/>
  <c r="I43" i="25" s="1"/>
  <c r="E16" i="76"/>
  <c r="H16" i="76" s="1"/>
  <c r="I16" i="76" s="1"/>
  <c r="I122" i="67"/>
  <c r="E27" i="40"/>
  <c r="H27" i="40" s="1"/>
  <c r="I27" i="40" s="1"/>
  <c r="E23" i="40"/>
  <c r="H23" i="40" s="1"/>
  <c r="I23" i="40" s="1"/>
  <c r="E25" i="40"/>
  <c r="H25" i="40" s="1"/>
  <c r="I25" i="40" s="1"/>
  <c r="T121" i="48"/>
  <c r="H123" i="48"/>
  <c r="T123" i="48" s="1"/>
  <c r="T121" i="21"/>
  <c r="H123" i="21"/>
  <c r="T123" i="21" s="1"/>
  <c r="E23" i="36"/>
  <c r="H23" i="36" s="1"/>
  <c r="I23" i="36" s="1"/>
  <c r="E22" i="36"/>
  <c r="H22" i="36" s="1"/>
  <c r="I22" i="36" s="1"/>
  <c r="E24" i="36"/>
  <c r="H24" i="36" s="1"/>
  <c r="I24" i="36" s="1"/>
  <c r="I122" i="71"/>
  <c r="I123" i="71"/>
  <c r="E24" i="16"/>
  <c r="H24" i="16" s="1"/>
  <c r="I24" i="16" s="1"/>
  <c r="E17" i="16"/>
  <c r="E27" i="16"/>
  <c r="H27" i="16" s="1"/>
  <c r="I27" i="16" s="1"/>
  <c r="E20" i="16"/>
  <c r="H20" i="16" s="1"/>
  <c r="I20" i="16" s="1"/>
  <c r="E29" i="16"/>
  <c r="H29" i="16" s="1"/>
  <c r="I29" i="16" s="1"/>
  <c r="E19" i="16"/>
  <c r="E28" i="16"/>
  <c r="H28" i="16" s="1"/>
  <c r="I28" i="16" s="1"/>
  <c r="I122" i="20"/>
  <c r="E16" i="20"/>
  <c r="H16" i="20" s="1"/>
  <c r="I16" i="20" s="1"/>
  <c r="E23" i="20"/>
  <c r="H23" i="20" s="1"/>
  <c r="I23" i="20" s="1"/>
  <c r="E22" i="20"/>
  <c r="H22" i="20" s="1"/>
  <c r="I22" i="20" s="1"/>
  <c r="E18" i="20"/>
  <c r="H18" i="20" s="1"/>
  <c r="I18" i="20" s="1"/>
  <c r="E39" i="21"/>
  <c r="I39" i="21" s="1"/>
  <c r="E38" i="21"/>
  <c r="I38" i="21" s="1"/>
  <c r="E15" i="40"/>
  <c r="H27" i="44"/>
  <c r="I27" i="44" s="1"/>
  <c r="I122" i="50"/>
  <c r="E26" i="76"/>
  <c r="H26" i="76" s="1"/>
  <c r="I26" i="76" s="1"/>
  <c r="E41" i="58"/>
  <c r="I41" i="58" s="1"/>
  <c r="E40" i="58"/>
  <c r="I40" i="58" s="1"/>
  <c r="E14" i="69"/>
  <c r="H14" i="69" s="1"/>
  <c r="I14" i="69" s="1"/>
  <c r="E42" i="25"/>
  <c r="I42" i="25" s="1"/>
  <c r="E15" i="50"/>
  <c r="J15" i="50" s="1"/>
  <c r="E39" i="32"/>
  <c r="I39" i="32" s="1"/>
  <c r="E38" i="32"/>
  <c r="I38" i="32" s="1"/>
  <c r="E43" i="32"/>
  <c r="I43" i="32" s="1"/>
  <c r="E40" i="32"/>
  <c r="I40" i="32" s="1"/>
  <c r="E41" i="32"/>
  <c r="I41" i="32" s="1"/>
  <c r="E17" i="35"/>
  <c r="E14" i="35"/>
  <c r="H14" i="35" s="1"/>
  <c r="I14" i="35" s="1"/>
  <c r="E23" i="35"/>
  <c r="H23" i="35" s="1"/>
  <c r="I23" i="35" s="1"/>
  <c r="E18" i="35"/>
  <c r="H18" i="35" s="1"/>
  <c r="I18" i="35" s="1"/>
  <c r="E28" i="35"/>
  <c r="H28" i="35" s="1"/>
  <c r="I28" i="35" s="1"/>
  <c r="E29" i="35"/>
  <c r="H29" i="35" s="1"/>
  <c r="I29" i="35" s="1"/>
  <c r="E15" i="36"/>
  <c r="J15" i="36" s="1"/>
  <c r="E29" i="40"/>
  <c r="H29" i="40" s="1"/>
  <c r="I29" i="40" s="1"/>
  <c r="I123" i="67"/>
  <c r="I122" i="77"/>
  <c r="I121" i="77"/>
  <c r="E15" i="77"/>
  <c r="J15" i="77" s="1"/>
  <c r="E25" i="77"/>
  <c r="H25" i="77" s="1"/>
  <c r="I25" i="77" s="1"/>
  <c r="I122" i="38"/>
  <c r="T122" i="38"/>
  <c r="E15" i="23"/>
  <c r="J15" i="23" s="1"/>
  <c r="E22" i="23"/>
  <c r="H22" i="23" s="1"/>
  <c r="I22" i="23" s="1"/>
  <c r="E23" i="23"/>
  <c r="H23" i="23" s="1"/>
  <c r="I23" i="23" s="1"/>
  <c r="E26" i="23"/>
  <c r="H26" i="23" s="1"/>
  <c r="I26" i="23" s="1"/>
  <c r="E16" i="23"/>
  <c r="H16" i="23" s="1"/>
  <c r="I16" i="23" s="1"/>
  <c r="T121" i="26"/>
  <c r="H123" i="26"/>
  <c r="E42" i="50"/>
  <c r="I42" i="50" s="1"/>
  <c r="E25" i="69"/>
  <c r="H25" i="69" s="1"/>
  <c r="I25" i="69" s="1"/>
  <c r="E29" i="69"/>
  <c r="H29" i="69" s="1"/>
  <c r="I29" i="69" s="1"/>
  <c r="E19" i="69"/>
  <c r="E28" i="69"/>
  <c r="H28" i="69" s="1"/>
  <c r="I28" i="69" s="1"/>
  <c r="E20" i="69"/>
  <c r="H20" i="69" s="1"/>
  <c r="I20" i="69" s="1"/>
  <c r="E16" i="69"/>
  <c r="H16" i="69" s="1"/>
  <c r="I16" i="69" s="1"/>
  <c r="E26" i="69"/>
  <c r="H26" i="69" s="1"/>
  <c r="I26" i="69" s="1"/>
  <c r="E18" i="69"/>
  <c r="H18" i="69" s="1"/>
  <c r="I18" i="69" s="1"/>
  <c r="E25" i="68"/>
  <c r="H25" i="68" s="1"/>
  <c r="I25" i="68" s="1"/>
  <c r="E17" i="68"/>
  <c r="J17" i="68" s="1"/>
  <c r="E18" i="68"/>
  <c r="H18" i="68" s="1"/>
  <c r="I18" i="68" s="1"/>
  <c r="E19" i="68"/>
  <c r="I122" i="30"/>
  <c r="T8" i="30"/>
  <c r="P104" i="30" s="1"/>
  <c r="E105" i="30"/>
  <c r="T121" i="16"/>
  <c r="H123" i="16"/>
  <c r="I122" i="24"/>
  <c r="E28" i="39"/>
  <c r="H28" i="39" s="1"/>
  <c r="I28" i="39" s="1"/>
  <c r="E24" i="39"/>
  <c r="H24" i="39" s="1"/>
  <c r="I24" i="39" s="1"/>
  <c r="E14" i="39"/>
  <c r="H14" i="39" s="1"/>
  <c r="I14" i="39" s="1"/>
  <c r="E16" i="39"/>
  <c r="H16" i="39" s="1"/>
  <c r="I16" i="39" s="1"/>
  <c r="E27" i="39"/>
  <c r="H27" i="39" s="1"/>
  <c r="I27" i="39" s="1"/>
  <c r="E29" i="39"/>
  <c r="H29" i="39" s="1"/>
  <c r="I29" i="39" s="1"/>
  <c r="E17" i="39"/>
  <c r="E19" i="39"/>
  <c r="E39" i="50"/>
  <c r="I39" i="50" s="1"/>
  <c r="H123" i="51"/>
  <c r="T123" i="51" s="1"/>
  <c r="E17" i="76"/>
  <c r="J17" i="76" s="1"/>
  <c r="H123" i="70"/>
  <c r="T123" i="70" s="1"/>
  <c r="T121" i="70"/>
  <c r="E28" i="23"/>
  <c r="H28" i="23" s="1"/>
  <c r="I28" i="23" s="1"/>
  <c r="E38" i="50"/>
  <c r="I38" i="50" s="1"/>
  <c r="E16" i="67"/>
  <c r="H16" i="67" s="1"/>
  <c r="I16" i="67" s="1"/>
  <c r="E26" i="67"/>
  <c r="H26" i="67" s="1"/>
  <c r="I26" i="67" s="1"/>
  <c r="E15" i="67"/>
  <c r="J15" i="67" s="1"/>
  <c r="E27" i="23"/>
  <c r="H27" i="23" s="1"/>
  <c r="I27" i="23" s="1"/>
  <c r="E15" i="69"/>
  <c r="E18" i="18"/>
  <c r="H18" i="18" s="1"/>
  <c r="I18" i="18" s="1"/>
  <c r="E22" i="18"/>
  <c r="H22" i="18" s="1"/>
  <c r="I22" i="18" s="1"/>
  <c r="E14" i="18"/>
  <c r="H14" i="18" s="1"/>
  <c r="I14" i="18" s="1"/>
  <c r="E26" i="18"/>
  <c r="H26" i="18" s="1"/>
  <c r="I26" i="18" s="1"/>
  <c r="E43" i="21"/>
  <c r="I43" i="21" s="1"/>
  <c r="I122" i="35"/>
  <c r="E29" i="36"/>
  <c r="H29" i="36" s="1"/>
  <c r="I29" i="36" s="1"/>
  <c r="E14" i="40"/>
  <c r="H14" i="40" s="1"/>
  <c r="I14" i="40" s="1"/>
  <c r="H123" i="47"/>
  <c r="I123" i="47" s="1"/>
  <c r="T121" i="47"/>
  <c r="E14" i="48"/>
  <c r="H14" i="48" s="1"/>
  <c r="I14" i="48" s="1"/>
  <c r="E17" i="48"/>
  <c r="E27" i="48"/>
  <c r="H27" i="48" s="1"/>
  <c r="I27" i="48" s="1"/>
  <c r="E18" i="48"/>
  <c r="H18" i="48" s="1"/>
  <c r="I18" i="48" s="1"/>
  <c r="E28" i="48"/>
  <c r="H28" i="48" s="1"/>
  <c r="I28" i="48" s="1"/>
  <c r="E19" i="75"/>
  <c r="E28" i="75"/>
  <c r="H28" i="75" s="1"/>
  <c r="I28" i="75" s="1"/>
  <c r="E27" i="75"/>
  <c r="H27" i="75" s="1"/>
  <c r="I27" i="75" s="1"/>
  <c r="E24" i="75"/>
  <c r="H24" i="75" s="1"/>
  <c r="I24" i="75" s="1"/>
  <c r="E26" i="75"/>
  <c r="H26" i="75" s="1"/>
  <c r="I26" i="75" s="1"/>
  <c r="E43" i="58"/>
  <c r="I43" i="58" s="1"/>
  <c r="E15" i="32"/>
  <c r="J15" i="32" s="1"/>
  <c r="E23" i="32"/>
  <c r="H23" i="32" s="1"/>
  <c r="I23" i="32" s="1"/>
  <c r="E24" i="32"/>
  <c r="H24" i="32" s="1"/>
  <c r="I24" i="32" s="1"/>
  <c r="E15" i="71"/>
  <c r="J15" i="71" s="1"/>
  <c r="E17" i="71"/>
  <c r="J17" i="71" s="1"/>
  <c r="E18" i="71"/>
  <c r="H18" i="71" s="1"/>
  <c r="I18" i="71" s="1"/>
  <c r="E27" i="71"/>
  <c r="H27" i="71" s="1"/>
  <c r="I27" i="71" s="1"/>
  <c r="E28" i="71"/>
  <c r="H28" i="71" s="1"/>
  <c r="I28" i="71" s="1"/>
  <c r="E41" i="36"/>
  <c r="I41" i="36" s="1"/>
  <c r="E42" i="36"/>
  <c r="I42" i="36" s="1"/>
  <c r="E43" i="36"/>
  <c r="I43" i="36" s="1"/>
  <c r="E43" i="28"/>
  <c r="I43" i="28" s="1"/>
  <c r="E19" i="32"/>
  <c r="J19" i="32" s="1"/>
  <c r="E42" i="38"/>
  <c r="I42" i="38" s="1"/>
  <c r="I122" i="66"/>
  <c r="E19" i="71"/>
  <c r="E18" i="78"/>
  <c r="H18" i="78" s="1"/>
  <c r="I18" i="78" s="1"/>
  <c r="E27" i="78"/>
  <c r="H27" i="78" s="1"/>
  <c r="I27" i="78" s="1"/>
  <c r="E15" i="78"/>
  <c r="J15" i="78" s="1"/>
  <c r="E41" i="18"/>
  <c r="I41" i="18" s="1"/>
  <c r="E42" i="18"/>
  <c r="I42" i="18" s="1"/>
  <c r="E43" i="18"/>
  <c r="I43" i="18" s="1"/>
  <c r="E42" i="28"/>
  <c r="I42" i="28" s="1"/>
  <c r="E29" i="32"/>
  <c r="H29" i="32" s="1"/>
  <c r="I29" i="32" s="1"/>
  <c r="I122" i="33"/>
  <c r="E40" i="36"/>
  <c r="I40" i="36" s="1"/>
  <c r="T114" i="37"/>
  <c r="U114" i="37" s="1"/>
  <c r="E41" i="38"/>
  <c r="I41" i="38" s="1"/>
  <c r="E41" i="42"/>
  <c r="I41" i="42" s="1"/>
  <c r="E105" i="43"/>
  <c r="I122" i="47"/>
  <c r="E42" i="51"/>
  <c r="I42" i="51" s="1"/>
  <c r="E43" i="76"/>
  <c r="I43" i="76" s="1"/>
  <c r="E40" i="66"/>
  <c r="I40" i="66" s="1"/>
  <c r="E16" i="70"/>
  <c r="H16" i="70" s="1"/>
  <c r="I16" i="70" s="1"/>
  <c r="E24" i="70"/>
  <c r="H24" i="70" s="1"/>
  <c r="I24" i="70" s="1"/>
  <c r="E15" i="70"/>
  <c r="J15" i="70" s="1"/>
  <c r="E25" i="70"/>
  <c r="H25" i="70" s="1"/>
  <c r="I25" i="70" s="1"/>
  <c r="E29" i="71"/>
  <c r="H29" i="71" s="1"/>
  <c r="I29" i="71" s="1"/>
  <c r="E19" i="78"/>
  <c r="J19" i="78" s="1"/>
  <c r="E19" i="34"/>
  <c r="E17" i="34"/>
  <c r="E29" i="34"/>
  <c r="H29" i="34" s="1"/>
  <c r="I29" i="34" s="1"/>
  <c r="T121" i="37"/>
  <c r="H123" i="37"/>
  <c r="T123" i="37" s="1"/>
  <c r="I123" i="42"/>
  <c r="E38" i="47"/>
  <c r="I38" i="47" s="1"/>
  <c r="E40" i="47"/>
  <c r="I40" i="47" s="1"/>
  <c r="E39" i="47"/>
  <c r="I39" i="47" s="1"/>
  <c r="E43" i="66"/>
  <c r="I43" i="66" s="1"/>
  <c r="I122" i="18"/>
  <c r="E29" i="24"/>
  <c r="H29" i="24" s="1"/>
  <c r="I29" i="24" s="1"/>
  <c r="E41" i="28"/>
  <c r="I41" i="28" s="1"/>
  <c r="E18" i="32"/>
  <c r="H18" i="32" s="1"/>
  <c r="I18" i="32" s="1"/>
  <c r="E21" i="33"/>
  <c r="H21" i="33" s="1"/>
  <c r="I21" i="33" s="1"/>
  <c r="E26" i="33"/>
  <c r="H26" i="33" s="1"/>
  <c r="I26" i="33" s="1"/>
  <c r="E17" i="33"/>
  <c r="E18" i="33"/>
  <c r="H18" i="33" s="1"/>
  <c r="I18" i="33" s="1"/>
  <c r="E27" i="33"/>
  <c r="H27" i="33" s="1"/>
  <c r="I27" i="33" s="1"/>
  <c r="H123" i="35"/>
  <c r="I123" i="35" s="1"/>
  <c r="T121" i="35"/>
  <c r="E39" i="36"/>
  <c r="I39" i="36" s="1"/>
  <c r="E39" i="38"/>
  <c r="I39" i="38" s="1"/>
  <c r="E38" i="42"/>
  <c r="I38" i="42" s="1"/>
  <c r="E39" i="43"/>
  <c r="I39" i="43" s="1"/>
  <c r="E42" i="43"/>
  <c r="I42" i="43" s="1"/>
  <c r="E40" i="43"/>
  <c r="I40" i="43" s="1"/>
  <c r="E41" i="43"/>
  <c r="I41" i="43" s="1"/>
  <c r="E43" i="47"/>
  <c r="I43" i="47" s="1"/>
  <c r="E41" i="51"/>
  <c r="I41" i="51" s="1"/>
  <c r="E40" i="52"/>
  <c r="I40" i="52" s="1"/>
  <c r="E39" i="52"/>
  <c r="I39" i="52" s="1"/>
  <c r="E42" i="76"/>
  <c r="I42" i="76" s="1"/>
  <c r="I122" i="34"/>
  <c r="E39" i="17"/>
  <c r="I39" i="17" s="1"/>
  <c r="E42" i="17"/>
  <c r="I42" i="17" s="1"/>
  <c r="E16" i="26"/>
  <c r="H16" i="26" s="1"/>
  <c r="I16" i="26" s="1"/>
  <c r="E40" i="28"/>
  <c r="I40" i="28" s="1"/>
  <c r="E28" i="32"/>
  <c r="H28" i="32" s="1"/>
  <c r="I28" i="32" s="1"/>
  <c r="E38" i="36"/>
  <c r="I38" i="36" s="1"/>
  <c r="E38" i="38"/>
  <c r="I38" i="38" s="1"/>
  <c r="E19" i="42"/>
  <c r="E17" i="42"/>
  <c r="E16" i="42"/>
  <c r="H16" i="42" s="1"/>
  <c r="I16" i="42" s="1"/>
  <c r="E26" i="42"/>
  <c r="H26" i="42" s="1"/>
  <c r="I26" i="42" s="1"/>
  <c r="E21" i="42"/>
  <c r="H21" i="42" s="1"/>
  <c r="I21" i="42" s="1"/>
  <c r="I122" i="43"/>
  <c r="E42" i="47"/>
  <c r="I42" i="47" s="1"/>
  <c r="E39" i="51"/>
  <c r="I39" i="51" s="1"/>
  <c r="E19" i="70"/>
  <c r="J19" i="70" s="1"/>
  <c r="I122" i="78"/>
  <c r="E104" i="23"/>
  <c r="E14" i="52"/>
  <c r="E17" i="55"/>
  <c r="E20" i="44"/>
  <c r="H20" i="44" s="1"/>
  <c r="I20" i="44" s="1"/>
  <c r="E41" i="16"/>
  <c r="I41" i="16" s="1"/>
  <c r="E42" i="26"/>
  <c r="I42" i="26" s="1"/>
  <c r="E42" i="35"/>
  <c r="I42" i="35" s="1"/>
  <c r="E41" i="23"/>
  <c r="I41" i="23" s="1"/>
  <c r="E43" i="40"/>
  <c r="I43" i="40" s="1"/>
  <c r="E42" i="45"/>
  <c r="I42" i="45" s="1"/>
  <c r="E38" i="16"/>
  <c r="I38" i="16" s="1"/>
  <c r="E18" i="21"/>
  <c r="H18" i="21" s="1"/>
  <c r="I18" i="21" s="1"/>
  <c r="E41" i="26"/>
  <c r="I41" i="26" s="1"/>
  <c r="E39" i="35"/>
  <c r="I39" i="35" s="1"/>
  <c r="E38" i="23"/>
  <c r="I38" i="23" s="1"/>
  <c r="E42" i="40"/>
  <c r="I42" i="40" s="1"/>
  <c r="E29" i="44"/>
  <c r="H29" i="44" s="1"/>
  <c r="I29" i="44" s="1"/>
  <c r="E39" i="45"/>
  <c r="I39" i="45" s="1"/>
  <c r="E21" i="52"/>
  <c r="H21" i="52" s="1"/>
  <c r="I21" i="52" s="1"/>
  <c r="E29" i="55"/>
  <c r="H29" i="55" s="1"/>
  <c r="I29" i="55" s="1"/>
  <c r="E39" i="7"/>
  <c r="I39" i="7" s="1"/>
  <c r="E106" i="24"/>
  <c r="E106" i="26"/>
  <c r="E106" i="31"/>
  <c r="E105" i="20"/>
  <c r="E104" i="35"/>
  <c r="E105" i="26"/>
  <c r="E105" i="31"/>
  <c r="E104" i="24"/>
  <c r="T8" i="24"/>
  <c r="E104" i="31"/>
  <c r="E106" i="28"/>
  <c r="E105" i="28"/>
  <c r="E106" i="35"/>
  <c r="E106" i="68"/>
  <c r="E106" i="30"/>
  <c r="E106" i="66"/>
  <c r="T8" i="23"/>
  <c r="P106" i="23" s="1"/>
  <c r="E104" i="66"/>
  <c r="T8" i="66"/>
  <c r="P106" i="66" s="1"/>
  <c r="E26" i="7"/>
  <c r="E106" i="17"/>
  <c r="E106" i="21"/>
  <c r="E106" i="52"/>
  <c r="E106" i="77"/>
  <c r="E23" i="7"/>
  <c r="E20" i="7"/>
  <c r="E106" i="45"/>
  <c r="E105" i="52"/>
  <c r="E104" i="17"/>
  <c r="T8" i="50"/>
  <c r="E106" i="22"/>
  <c r="E106" i="27"/>
  <c r="E104" i="43"/>
  <c r="E105" i="45"/>
  <c r="E104" i="26"/>
  <c r="E106" i="50"/>
  <c r="E105" i="58"/>
  <c r="E104" i="30"/>
  <c r="E105" i="27"/>
  <c r="E104" i="45"/>
  <c r="E29" i="7"/>
  <c r="E105" i="40"/>
  <c r="P105" i="20"/>
  <c r="P104" i="20"/>
  <c r="P104" i="43"/>
  <c r="P106" i="43"/>
  <c r="E43" i="7"/>
  <c r="I43" i="7" s="1"/>
  <c r="E28" i="7"/>
  <c r="E22" i="7"/>
  <c r="T114" i="45"/>
  <c r="U114" i="45" s="1"/>
  <c r="E42" i="7"/>
  <c r="I42" i="7" s="1"/>
  <c r="E105" i="21"/>
  <c r="E41" i="7"/>
  <c r="I41" i="7" s="1"/>
  <c r="E104" i="20"/>
  <c r="T113" i="33"/>
  <c r="E105" i="50"/>
  <c r="E40" i="7"/>
  <c r="I40" i="7" s="1"/>
  <c r="E27" i="7"/>
  <c r="E21" i="7"/>
  <c r="T8" i="21"/>
  <c r="P106" i="21" s="1"/>
  <c r="T114" i="31"/>
  <c r="U114" i="31" s="1"/>
  <c r="E19" i="7"/>
  <c r="T8" i="17"/>
  <c r="P104" i="17" s="1"/>
  <c r="I114" i="35"/>
  <c r="H18" i="7"/>
  <c r="E25" i="7"/>
  <c r="E14" i="7"/>
  <c r="E106" i="25"/>
  <c r="D56" i="72"/>
  <c r="D45" i="60"/>
  <c r="E24" i="7"/>
  <c r="T113" i="16"/>
  <c r="E106" i="20"/>
  <c r="E105" i="25"/>
  <c r="I114" i="71"/>
  <c r="P104" i="70"/>
  <c r="P105" i="70"/>
  <c r="P106" i="70"/>
  <c r="P104" i="26"/>
  <c r="P105" i="26"/>
  <c r="P106" i="26"/>
  <c r="T114" i="18"/>
  <c r="U114" i="18" s="1"/>
  <c r="E106" i="38"/>
  <c r="E104" i="58"/>
  <c r="P105" i="43"/>
  <c r="P106" i="51"/>
  <c r="E106" i="70"/>
  <c r="I114" i="17"/>
  <c r="E105" i="38"/>
  <c r="T8" i="38"/>
  <c r="P105" i="51"/>
  <c r="E105" i="70"/>
  <c r="D30" i="60"/>
  <c r="E31" i="60" s="1"/>
  <c r="E105" i="51"/>
  <c r="I114" i="34"/>
  <c r="T8" i="68"/>
  <c r="P105" i="68" s="1"/>
  <c r="T114" i="26"/>
  <c r="U114" i="26" s="1"/>
  <c r="E104" i="51"/>
  <c r="E104" i="70"/>
  <c r="E106" i="58"/>
  <c r="I113" i="47"/>
  <c r="I113" i="55"/>
  <c r="P105" i="31"/>
  <c r="P106" i="31"/>
  <c r="P104" i="31"/>
  <c r="P106" i="35"/>
  <c r="P104" i="35"/>
  <c r="P105" i="35"/>
  <c r="E105" i="37"/>
  <c r="T8" i="37"/>
  <c r="P106" i="37" s="1"/>
  <c r="E106" i="37"/>
  <c r="T8" i="69"/>
  <c r="E106" i="69"/>
  <c r="E104" i="69"/>
  <c r="E105" i="69"/>
  <c r="T8" i="75"/>
  <c r="E104" i="75"/>
  <c r="E105" i="75"/>
  <c r="E106" i="75"/>
  <c r="E106" i="71"/>
  <c r="E104" i="71"/>
  <c r="E105" i="71"/>
  <c r="T8" i="76"/>
  <c r="P106" i="76" s="1"/>
  <c r="E104" i="76"/>
  <c r="E105" i="76"/>
  <c r="E106" i="76"/>
  <c r="P106" i="58"/>
  <c r="P104" i="58"/>
  <c r="P105" i="58"/>
  <c r="P105" i="18"/>
  <c r="I114" i="58"/>
  <c r="T8" i="33"/>
  <c r="P106" i="33" s="1"/>
  <c r="E105" i="68"/>
  <c r="I113" i="25"/>
  <c r="P106" i="25"/>
  <c r="T8" i="36"/>
  <c r="I114" i="67"/>
  <c r="P104" i="18"/>
  <c r="E105" i="77"/>
  <c r="I113" i="31"/>
  <c r="T113" i="40"/>
  <c r="T114" i="52"/>
  <c r="U114" i="52" s="1"/>
  <c r="I113" i="17"/>
  <c r="T8" i="22"/>
  <c r="P104" i="22" s="1"/>
  <c r="E104" i="77"/>
  <c r="E106" i="78"/>
  <c r="I113" i="18"/>
  <c r="P105" i="25"/>
  <c r="I113" i="48"/>
  <c r="E105" i="22"/>
  <c r="H20" i="18"/>
  <c r="I20" i="18" s="1"/>
  <c r="E105" i="78"/>
  <c r="I114" i="66"/>
  <c r="T114" i="24"/>
  <c r="U114" i="24" s="1"/>
  <c r="T114" i="27"/>
  <c r="U114" i="27" s="1"/>
  <c r="I114" i="55"/>
  <c r="I114" i="30"/>
  <c r="T114" i="32"/>
  <c r="U114" i="32" s="1"/>
  <c r="T114" i="38"/>
  <c r="U114" i="38" s="1"/>
  <c r="T114" i="48"/>
  <c r="U114" i="48" s="1"/>
  <c r="I114" i="56"/>
  <c r="T114" i="77"/>
  <c r="U114" i="77" s="1"/>
  <c r="T114" i="40"/>
  <c r="U114" i="40" s="1"/>
  <c r="T114" i="78"/>
  <c r="U114" i="78" s="1"/>
  <c r="T114" i="22"/>
  <c r="U114" i="22" s="1"/>
  <c r="T114" i="42"/>
  <c r="U114" i="42" s="1"/>
  <c r="I114" i="75"/>
  <c r="T113" i="27"/>
  <c r="T113" i="30"/>
  <c r="I113" i="50"/>
  <c r="I113" i="57"/>
  <c r="I113" i="67"/>
  <c r="T113" i="32"/>
  <c r="T113" i="42"/>
  <c r="T113" i="51"/>
  <c r="T113" i="52"/>
  <c r="T113" i="69"/>
  <c r="T113" i="71"/>
  <c r="T113" i="56"/>
  <c r="I113" i="77"/>
  <c r="I113" i="23"/>
  <c r="T113" i="39"/>
  <c r="T113" i="75"/>
  <c r="T113" i="76"/>
  <c r="I113" i="66"/>
  <c r="I113" i="78"/>
  <c r="U12" i="72"/>
  <c r="T8" i="16"/>
  <c r="E104" i="16"/>
  <c r="E106" i="16"/>
  <c r="E17" i="22"/>
  <c r="J17" i="22" s="1"/>
  <c r="E27" i="22"/>
  <c r="H27" i="22" s="1"/>
  <c r="I27" i="22" s="1"/>
  <c r="E14" i="22"/>
  <c r="E29" i="22"/>
  <c r="H29" i="22" s="1"/>
  <c r="I29" i="22" s="1"/>
  <c r="E24" i="22"/>
  <c r="H24" i="22" s="1"/>
  <c r="I24" i="22" s="1"/>
  <c r="E21" i="22"/>
  <c r="H21" i="22" s="1"/>
  <c r="I21" i="22" s="1"/>
  <c r="E15" i="22"/>
  <c r="J15" i="22" s="1"/>
  <c r="H22" i="22"/>
  <c r="I22" i="22" s="1"/>
  <c r="E28" i="22"/>
  <c r="H28" i="22" s="1"/>
  <c r="I28" i="22" s="1"/>
  <c r="E25" i="22"/>
  <c r="H25" i="22" s="1"/>
  <c r="I25" i="22" s="1"/>
  <c r="E20" i="22"/>
  <c r="H20" i="22" s="1"/>
  <c r="I20" i="22" s="1"/>
  <c r="E23" i="22"/>
  <c r="H23" i="22" s="1"/>
  <c r="I23" i="22" s="1"/>
  <c r="E26" i="22"/>
  <c r="H26" i="22" s="1"/>
  <c r="I26" i="22" s="1"/>
  <c r="E18" i="22"/>
  <c r="H18" i="22" s="1"/>
  <c r="I18" i="22" s="1"/>
  <c r="E16" i="22"/>
  <c r="H16" i="22" s="1"/>
  <c r="I16" i="22" s="1"/>
  <c r="T123" i="17"/>
  <c r="H123" i="7"/>
  <c r="T121" i="7"/>
  <c r="E105" i="16"/>
  <c r="I114" i="16"/>
  <c r="T114" i="16"/>
  <c r="U114" i="16" s="1"/>
  <c r="I122" i="17"/>
  <c r="I123" i="17"/>
  <c r="C30" i="60"/>
  <c r="C32" i="60" s="1"/>
  <c r="R94" i="18"/>
  <c r="C45" i="60"/>
  <c r="E18" i="25"/>
  <c r="H18" i="25" s="1"/>
  <c r="I18" i="25" s="1"/>
  <c r="E23" i="25"/>
  <c r="H23" i="25" s="1"/>
  <c r="I23" i="25" s="1"/>
  <c r="E15" i="25"/>
  <c r="J15" i="25" s="1"/>
  <c r="E17" i="25"/>
  <c r="J17" i="25" s="1"/>
  <c r="E27" i="25"/>
  <c r="H27" i="25" s="1"/>
  <c r="I27" i="25" s="1"/>
  <c r="E20" i="25"/>
  <c r="H20" i="25" s="1"/>
  <c r="I20" i="25" s="1"/>
  <c r="E14" i="25"/>
  <c r="E16" i="25"/>
  <c r="H16" i="25" s="1"/>
  <c r="I16" i="25" s="1"/>
  <c r="E29" i="25"/>
  <c r="H29" i="25" s="1"/>
  <c r="I29" i="25" s="1"/>
  <c r="E25" i="25"/>
  <c r="H25" i="25" s="1"/>
  <c r="I25" i="25" s="1"/>
  <c r="E19" i="25"/>
  <c r="J19" i="25" s="1"/>
  <c r="E21" i="25"/>
  <c r="H21" i="25" s="1"/>
  <c r="I21" i="25" s="1"/>
  <c r="E28" i="25"/>
  <c r="H28" i="25" s="1"/>
  <c r="I28" i="25" s="1"/>
  <c r="E26" i="25"/>
  <c r="H26" i="25" s="1"/>
  <c r="I26" i="25" s="1"/>
  <c r="E24" i="25"/>
  <c r="H24" i="25" s="1"/>
  <c r="I24" i="25" s="1"/>
  <c r="E16" i="7"/>
  <c r="I122" i="21"/>
  <c r="T123" i="28"/>
  <c r="E43" i="16"/>
  <c r="I43" i="16" s="1"/>
  <c r="E40" i="16"/>
  <c r="I40" i="16" s="1"/>
  <c r="P106" i="7"/>
  <c r="E17" i="7"/>
  <c r="T122" i="16"/>
  <c r="E14" i="16"/>
  <c r="E16" i="16"/>
  <c r="H16" i="16" s="1"/>
  <c r="I16" i="16" s="1"/>
  <c r="H18" i="16"/>
  <c r="I18" i="16" s="1"/>
  <c r="E25" i="16"/>
  <c r="E40" i="17"/>
  <c r="I40" i="17" s="1"/>
  <c r="R90" i="16"/>
  <c r="R85" i="16"/>
  <c r="E42" i="16"/>
  <c r="I42" i="16" s="1"/>
  <c r="E23" i="16"/>
  <c r="E15" i="16"/>
  <c r="J15" i="16" s="1"/>
  <c r="T122" i="18"/>
  <c r="I114" i="20"/>
  <c r="H123" i="25"/>
  <c r="T121" i="25"/>
  <c r="T123" i="24"/>
  <c r="E38" i="17"/>
  <c r="I38" i="17" s="1"/>
  <c r="E41" i="17"/>
  <c r="I41" i="17" s="1"/>
  <c r="I113" i="20"/>
  <c r="T113" i="20"/>
  <c r="R92" i="21"/>
  <c r="E23" i="17"/>
  <c r="H23" i="17" s="1"/>
  <c r="I23" i="17" s="1"/>
  <c r="E18" i="17"/>
  <c r="H18" i="17" s="1"/>
  <c r="I18" i="17" s="1"/>
  <c r="E21" i="18"/>
  <c r="P106" i="20"/>
  <c r="E24" i="20"/>
  <c r="H24" i="20" s="1"/>
  <c r="I24" i="20" s="1"/>
  <c r="E19" i="20"/>
  <c r="J19" i="20" s="1"/>
  <c r="I113" i="21"/>
  <c r="E27" i="21"/>
  <c r="H27" i="21" s="1"/>
  <c r="I27" i="21" s="1"/>
  <c r="E17" i="21"/>
  <c r="J17" i="21" s="1"/>
  <c r="H123" i="31"/>
  <c r="T121" i="31"/>
  <c r="I113" i="22"/>
  <c r="T113" i="22"/>
  <c r="E25" i="21"/>
  <c r="H25" i="21" s="1"/>
  <c r="I25" i="21" s="1"/>
  <c r="T114" i="25"/>
  <c r="U114" i="25" s="1"/>
  <c r="E26" i="17"/>
  <c r="H26" i="17" s="1"/>
  <c r="I26" i="17" s="1"/>
  <c r="E16" i="17"/>
  <c r="H16" i="17" s="1"/>
  <c r="I16" i="17" s="1"/>
  <c r="T121" i="18"/>
  <c r="E24" i="18"/>
  <c r="H24" i="18" s="1"/>
  <c r="I24" i="18" s="1"/>
  <c r="E19" i="18"/>
  <c r="J19" i="18" s="1"/>
  <c r="I123" i="20"/>
  <c r="E27" i="20"/>
  <c r="H27" i="20" s="1"/>
  <c r="I27" i="20" s="1"/>
  <c r="E17" i="20"/>
  <c r="J17" i="20" s="1"/>
  <c r="E42" i="21"/>
  <c r="I42" i="21" s="1"/>
  <c r="E15" i="21"/>
  <c r="J15" i="21" s="1"/>
  <c r="I113" i="24"/>
  <c r="E19" i="24"/>
  <c r="J19" i="24" s="1"/>
  <c r="E24" i="24"/>
  <c r="H24" i="24" s="1"/>
  <c r="I24" i="24" s="1"/>
  <c r="E16" i="24"/>
  <c r="H16" i="24" s="1"/>
  <c r="I16" i="24" s="1"/>
  <c r="E26" i="24"/>
  <c r="H26" i="24" s="1"/>
  <c r="I26" i="24" s="1"/>
  <c r="E21" i="24"/>
  <c r="H21" i="24" s="1"/>
  <c r="I21" i="24" s="1"/>
  <c r="E28" i="24"/>
  <c r="H28" i="24" s="1"/>
  <c r="I28" i="24" s="1"/>
  <c r="E15" i="24"/>
  <c r="J15" i="24" s="1"/>
  <c r="E17" i="24"/>
  <c r="J17" i="24" s="1"/>
  <c r="E27" i="24"/>
  <c r="H27" i="24" s="1"/>
  <c r="I27" i="24" s="1"/>
  <c r="R96" i="17"/>
  <c r="R88" i="17"/>
  <c r="E24" i="17"/>
  <c r="H24" i="17" s="1"/>
  <c r="I24" i="17" s="1"/>
  <c r="E19" i="17"/>
  <c r="J19" i="17" s="1"/>
  <c r="E25" i="20"/>
  <c r="H25" i="20" s="1"/>
  <c r="I25" i="20" s="1"/>
  <c r="T114" i="21"/>
  <c r="U114" i="21" s="1"/>
  <c r="E28" i="21"/>
  <c r="H28" i="21" s="1"/>
  <c r="I28" i="21" s="1"/>
  <c r="I122" i="25"/>
  <c r="T121" i="24"/>
  <c r="E18" i="24"/>
  <c r="H18" i="24" s="1"/>
  <c r="I18" i="24" s="1"/>
  <c r="I122" i="22"/>
  <c r="I121" i="22"/>
  <c r="T121" i="17"/>
  <c r="E29" i="17"/>
  <c r="E14" i="17"/>
  <c r="E27" i="18"/>
  <c r="H27" i="18" s="1"/>
  <c r="I27" i="18" s="1"/>
  <c r="E17" i="18"/>
  <c r="J17" i="18" s="1"/>
  <c r="E15" i="20"/>
  <c r="J15" i="20" s="1"/>
  <c r="E21" i="21"/>
  <c r="H21" i="21" s="1"/>
  <c r="I21" i="21" s="1"/>
  <c r="E14" i="28"/>
  <c r="E29" i="28"/>
  <c r="H29" i="28" s="1"/>
  <c r="I29" i="28" s="1"/>
  <c r="E19" i="28"/>
  <c r="J19" i="28" s="1"/>
  <c r="E24" i="28"/>
  <c r="H24" i="28" s="1"/>
  <c r="I24" i="28" s="1"/>
  <c r="E16" i="28"/>
  <c r="H16" i="28" s="1"/>
  <c r="I16" i="28" s="1"/>
  <c r="E26" i="28"/>
  <c r="H26" i="28" s="1"/>
  <c r="I26" i="28" s="1"/>
  <c r="E21" i="28"/>
  <c r="H21" i="28" s="1"/>
  <c r="I21" i="28" s="1"/>
  <c r="E28" i="28"/>
  <c r="H28" i="28" s="1"/>
  <c r="I28" i="28" s="1"/>
  <c r="E18" i="28"/>
  <c r="H18" i="28" s="1"/>
  <c r="I18" i="28" s="1"/>
  <c r="E23" i="28"/>
  <c r="H23" i="28" s="1"/>
  <c r="I23" i="28" s="1"/>
  <c r="E15" i="28"/>
  <c r="J15" i="28" s="1"/>
  <c r="E20" i="28"/>
  <c r="H20" i="28" s="1"/>
  <c r="I20" i="28" s="1"/>
  <c r="E17" i="28"/>
  <c r="J17" i="28" s="1"/>
  <c r="E27" i="28"/>
  <c r="H27" i="28" s="1"/>
  <c r="I27" i="28" s="1"/>
  <c r="E17" i="31"/>
  <c r="J17" i="31" s="1"/>
  <c r="E27" i="31"/>
  <c r="H27" i="31" s="1"/>
  <c r="I27" i="31" s="1"/>
  <c r="E22" i="31"/>
  <c r="H22" i="31" s="1"/>
  <c r="I22" i="31" s="1"/>
  <c r="E19" i="31"/>
  <c r="J19" i="31" s="1"/>
  <c r="E24" i="31"/>
  <c r="H24" i="31" s="1"/>
  <c r="I24" i="31" s="1"/>
  <c r="E16" i="31"/>
  <c r="H16" i="31" s="1"/>
  <c r="I16" i="31" s="1"/>
  <c r="E26" i="31"/>
  <c r="H26" i="31" s="1"/>
  <c r="I26" i="31" s="1"/>
  <c r="E15" i="31"/>
  <c r="J15" i="31" s="1"/>
  <c r="E14" i="31"/>
  <c r="E23" i="31"/>
  <c r="H23" i="31" s="1"/>
  <c r="I23" i="31" s="1"/>
  <c r="E20" i="31"/>
  <c r="H20" i="31" s="1"/>
  <c r="I20" i="31" s="1"/>
  <c r="E29" i="31"/>
  <c r="H29" i="31" s="1"/>
  <c r="I29" i="31" s="1"/>
  <c r="E18" i="31"/>
  <c r="H18" i="31" s="1"/>
  <c r="I18" i="31" s="1"/>
  <c r="E21" i="31"/>
  <c r="H21" i="31" s="1"/>
  <c r="I21" i="31" s="1"/>
  <c r="E28" i="31"/>
  <c r="H28" i="31" s="1"/>
  <c r="I28" i="31" s="1"/>
  <c r="E16" i="21"/>
  <c r="H16" i="21" s="1"/>
  <c r="I16" i="21" s="1"/>
  <c r="I123" i="24"/>
  <c r="I122" i="28"/>
  <c r="I123" i="28"/>
  <c r="E25" i="18"/>
  <c r="H25" i="18" s="1"/>
  <c r="I25" i="18" s="1"/>
  <c r="T114" i="20"/>
  <c r="U114" i="20" s="1"/>
  <c r="E28" i="20"/>
  <c r="H28" i="20" s="1"/>
  <c r="I28" i="20" s="1"/>
  <c r="R92" i="17"/>
  <c r="E20" i="17"/>
  <c r="H20" i="17" s="1"/>
  <c r="I20" i="17" s="1"/>
  <c r="J15" i="18"/>
  <c r="E21" i="20"/>
  <c r="H21" i="20" s="1"/>
  <c r="I21" i="20" s="1"/>
  <c r="R96" i="21"/>
  <c r="R88" i="21"/>
  <c r="E24" i="21"/>
  <c r="H24" i="21" s="1"/>
  <c r="I24" i="21" s="1"/>
  <c r="E19" i="21"/>
  <c r="J19" i="21" s="1"/>
  <c r="I123" i="27"/>
  <c r="T121" i="28"/>
  <c r="E23" i="18"/>
  <c r="H23" i="18" s="1"/>
  <c r="I23" i="18" s="1"/>
  <c r="E41" i="20"/>
  <c r="I41" i="20" s="1"/>
  <c r="E26" i="20"/>
  <c r="H26" i="20" s="1"/>
  <c r="I26" i="20" s="1"/>
  <c r="E29" i="21"/>
  <c r="H29" i="21" s="1"/>
  <c r="I29" i="21" s="1"/>
  <c r="H123" i="22"/>
  <c r="E21" i="26"/>
  <c r="H21" i="26" s="1"/>
  <c r="I21" i="26" s="1"/>
  <c r="I113" i="28"/>
  <c r="I114" i="33"/>
  <c r="T113" i="34"/>
  <c r="I113" i="34"/>
  <c r="R94" i="34"/>
  <c r="I113" i="35"/>
  <c r="T113" i="35"/>
  <c r="R92" i="23"/>
  <c r="E24" i="26"/>
  <c r="H24" i="26" s="1"/>
  <c r="I24" i="26" s="1"/>
  <c r="E19" i="26"/>
  <c r="J19" i="26" s="1"/>
  <c r="R92" i="32"/>
  <c r="T121" i="36"/>
  <c r="T113" i="26"/>
  <c r="E29" i="26"/>
  <c r="H29" i="26" s="1"/>
  <c r="I29" i="26" s="1"/>
  <c r="E14" i="26"/>
  <c r="R92" i="27"/>
  <c r="E20" i="27"/>
  <c r="H20" i="27" s="1"/>
  <c r="I20" i="27" s="1"/>
  <c r="E38" i="37"/>
  <c r="I38" i="37" s="1"/>
  <c r="E41" i="37"/>
  <c r="I41" i="37" s="1"/>
  <c r="E39" i="37"/>
  <c r="I39" i="37" s="1"/>
  <c r="E42" i="37"/>
  <c r="I42" i="37" s="1"/>
  <c r="E40" i="37"/>
  <c r="I40" i="37" s="1"/>
  <c r="E43" i="37"/>
  <c r="I43" i="37" s="1"/>
  <c r="E43" i="26"/>
  <c r="I43" i="26" s="1"/>
  <c r="E22" i="26"/>
  <c r="H22" i="26" s="1"/>
  <c r="I22" i="26" s="1"/>
  <c r="E25" i="27"/>
  <c r="H25" i="27" s="1"/>
  <c r="I25" i="27" s="1"/>
  <c r="T114" i="28"/>
  <c r="U114" i="28" s="1"/>
  <c r="E41" i="31"/>
  <c r="I41" i="31" s="1"/>
  <c r="E38" i="31"/>
  <c r="I38" i="31" s="1"/>
  <c r="E105" i="34"/>
  <c r="E104" i="34"/>
  <c r="T8" i="34"/>
  <c r="R96" i="22"/>
  <c r="R88" i="22"/>
  <c r="E27" i="26"/>
  <c r="H27" i="26" s="1"/>
  <c r="I27" i="26" s="1"/>
  <c r="E17" i="26"/>
  <c r="J17" i="26" s="1"/>
  <c r="E15" i="27"/>
  <c r="J15" i="27" s="1"/>
  <c r="R94" i="36"/>
  <c r="E25" i="26"/>
  <c r="H25" i="26" s="1"/>
  <c r="I25" i="26" s="1"/>
  <c r="E21" i="27"/>
  <c r="H21" i="27" s="1"/>
  <c r="I21" i="27" s="1"/>
  <c r="R96" i="28"/>
  <c r="R88" i="28"/>
  <c r="E43" i="31"/>
  <c r="I43" i="31" s="1"/>
  <c r="H123" i="36"/>
  <c r="E23" i="26"/>
  <c r="H23" i="26" s="1"/>
  <c r="I23" i="26" s="1"/>
  <c r="E41" i="27"/>
  <c r="I41" i="27" s="1"/>
  <c r="E26" i="27"/>
  <c r="H26" i="27" s="1"/>
  <c r="I26" i="27" s="1"/>
  <c r="E21" i="32"/>
  <c r="H21" i="32" s="1"/>
  <c r="I21" i="32" s="1"/>
  <c r="E105" i="33"/>
  <c r="E43" i="34"/>
  <c r="I43" i="34" s="1"/>
  <c r="E40" i="34"/>
  <c r="I40" i="34" s="1"/>
  <c r="E22" i="34"/>
  <c r="H22" i="34" s="1"/>
  <c r="I22" i="34" s="1"/>
  <c r="E25" i="35"/>
  <c r="H25" i="35" s="1"/>
  <c r="I25" i="35" s="1"/>
  <c r="T114" i="23"/>
  <c r="U114" i="23" s="1"/>
  <c r="I121" i="36"/>
  <c r="I113" i="38"/>
  <c r="I114" i="36"/>
  <c r="T114" i="36"/>
  <c r="U114" i="36" s="1"/>
  <c r="E15" i="38"/>
  <c r="J15" i="38" s="1"/>
  <c r="E20" i="38"/>
  <c r="H20" i="38" s="1"/>
  <c r="I20" i="38" s="1"/>
  <c r="E17" i="38"/>
  <c r="J17" i="38" s="1"/>
  <c r="E27" i="38"/>
  <c r="H27" i="38" s="1"/>
  <c r="I27" i="38" s="1"/>
  <c r="E22" i="38"/>
  <c r="H22" i="38" s="1"/>
  <c r="I22" i="38" s="1"/>
  <c r="E14" i="38"/>
  <c r="E29" i="38"/>
  <c r="H29" i="38" s="1"/>
  <c r="I29" i="38" s="1"/>
  <c r="E19" i="38"/>
  <c r="J19" i="38" s="1"/>
  <c r="E24" i="38"/>
  <c r="H24" i="38" s="1"/>
  <c r="I24" i="38" s="1"/>
  <c r="E16" i="38"/>
  <c r="H16" i="38" s="1"/>
  <c r="I16" i="38" s="1"/>
  <c r="E26" i="38"/>
  <c r="H26" i="38" s="1"/>
  <c r="I26" i="38" s="1"/>
  <c r="E21" i="38"/>
  <c r="H21" i="38" s="1"/>
  <c r="I21" i="38" s="1"/>
  <c r="E28" i="38"/>
  <c r="H28" i="38" s="1"/>
  <c r="I28" i="38" s="1"/>
  <c r="E25" i="34"/>
  <c r="H25" i="34" s="1"/>
  <c r="I25" i="34" s="1"/>
  <c r="I122" i="23"/>
  <c r="E19" i="36"/>
  <c r="J19" i="36" s="1"/>
  <c r="E14" i="36"/>
  <c r="I114" i="39"/>
  <c r="T114" i="39"/>
  <c r="U114" i="39" s="1"/>
  <c r="E14" i="32"/>
  <c r="E106" i="33"/>
  <c r="R92" i="33"/>
  <c r="E20" i="33"/>
  <c r="H20" i="33" s="1"/>
  <c r="I20" i="33" s="1"/>
  <c r="R90" i="34"/>
  <c r="R85" i="34"/>
  <c r="E42" i="34"/>
  <c r="I42" i="34" s="1"/>
  <c r="E39" i="34"/>
  <c r="I39" i="34" s="1"/>
  <c r="E15" i="34"/>
  <c r="J15" i="34" s="1"/>
  <c r="E21" i="35"/>
  <c r="H21" i="35" s="1"/>
  <c r="I21" i="35" s="1"/>
  <c r="R96" i="23"/>
  <c r="R88" i="23"/>
  <c r="E24" i="23"/>
  <c r="H24" i="23" s="1"/>
  <c r="I24" i="23" s="1"/>
  <c r="E19" i="23"/>
  <c r="J19" i="23" s="1"/>
  <c r="I113" i="37"/>
  <c r="T113" i="37"/>
  <c r="E22" i="32"/>
  <c r="H22" i="32" s="1"/>
  <c r="I22" i="32" s="1"/>
  <c r="E25" i="33"/>
  <c r="H25" i="33" s="1"/>
  <c r="I25" i="33" s="1"/>
  <c r="E23" i="34"/>
  <c r="H23" i="34" s="1"/>
  <c r="I23" i="34" s="1"/>
  <c r="E18" i="34"/>
  <c r="H18" i="34" s="1"/>
  <c r="I18" i="34" s="1"/>
  <c r="E41" i="35"/>
  <c r="I41" i="35" s="1"/>
  <c r="E38" i="35"/>
  <c r="I38" i="35" s="1"/>
  <c r="E26" i="35"/>
  <c r="H26" i="35" s="1"/>
  <c r="I26" i="35" s="1"/>
  <c r="E16" i="35"/>
  <c r="E29" i="23"/>
  <c r="H29" i="23" s="1"/>
  <c r="I29" i="23" s="1"/>
  <c r="E14" i="23"/>
  <c r="I122" i="37"/>
  <c r="E18" i="38"/>
  <c r="H18" i="38" s="1"/>
  <c r="I18" i="38" s="1"/>
  <c r="E17" i="32"/>
  <c r="J17" i="32" s="1"/>
  <c r="E28" i="34"/>
  <c r="H28" i="34" s="1"/>
  <c r="I28" i="34" s="1"/>
  <c r="E43" i="23"/>
  <c r="I43" i="23" s="1"/>
  <c r="E40" i="23"/>
  <c r="I40" i="23" s="1"/>
  <c r="I122" i="36"/>
  <c r="H123" i="38"/>
  <c r="T121" i="38"/>
  <c r="E23" i="38"/>
  <c r="H23" i="38" s="1"/>
  <c r="I23" i="38" s="1"/>
  <c r="R94" i="40"/>
  <c r="E20" i="32"/>
  <c r="H20" i="32" s="1"/>
  <c r="I20" i="32" s="1"/>
  <c r="E21" i="34"/>
  <c r="H21" i="34" s="1"/>
  <c r="I21" i="34" s="1"/>
  <c r="I113" i="36"/>
  <c r="E25" i="32"/>
  <c r="H25" i="32" s="1"/>
  <c r="I25" i="32" s="1"/>
  <c r="T114" i="33"/>
  <c r="U114" i="33" s="1"/>
  <c r="E26" i="34"/>
  <c r="H26" i="34" s="1"/>
  <c r="I26" i="34" s="1"/>
  <c r="E16" i="34"/>
  <c r="H16" i="34" s="1"/>
  <c r="I16" i="34" s="1"/>
  <c r="E16" i="36"/>
  <c r="H16" i="36" s="1"/>
  <c r="I16" i="36" s="1"/>
  <c r="E26" i="36"/>
  <c r="H26" i="36" s="1"/>
  <c r="I26" i="36" s="1"/>
  <c r="E21" i="36"/>
  <c r="H21" i="36" s="1"/>
  <c r="I21" i="36" s="1"/>
  <c r="E28" i="36"/>
  <c r="H28" i="36" s="1"/>
  <c r="I28" i="36" s="1"/>
  <c r="E17" i="36"/>
  <c r="J17" i="36" s="1"/>
  <c r="E27" i="36"/>
  <c r="H27" i="36" s="1"/>
  <c r="I27" i="36" s="1"/>
  <c r="E42" i="32"/>
  <c r="I42" i="32" s="1"/>
  <c r="R96" i="34"/>
  <c r="E43" i="35"/>
  <c r="I43" i="35" s="1"/>
  <c r="E22" i="35"/>
  <c r="H22" i="35" s="1"/>
  <c r="I22" i="35" s="1"/>
  <c r="E25" i="23"/>
  <c r="H25" i="23" s="1"/>
  <c r="I25" i="23" s="1"/>
  <c r="E25" i="36"/>
  <c r="H25" i="36" s="1"/>
  <c r="I25" i="36" s="1"/>
  <c r="E18" i="36"/>
  <c r="H18" i="36" s="1"/>
  <c r="I18" i="36" s="1"/>
  <c r="E17" i="37"/>
  <c r="J17" i="37" s="1"/>
  <c r="E27" i="37"/>
  <c r="H27" i="37" s="1"/>
  <c r="I27" i="37" s="1"/>
  <c r="E14" i="37"/>
  <c r="E29" i="37"/>
  <c r="H29" i="37" s="1"/>
  <c r="I29" i="37" s="1"/>
  <c r="E19" i="37"/>
  <c r="J19" i="37" s="1"/>
  <c r="E24" i="37"/>
  <c r="H24" i="37" s="1"/>
  <c r="I24" i="37" s="1"/>
  <c r="E16" i="37"/>
  <c r="H16" i="37" s="1"/>
  <c r="I16" i="37" s="1"/>
  <c r="E26" i="37"/>
  <c r="H26" i="37" s="1"/>
  <c r="I26" i="37" s="1"/>
  <c r="E21" i="37"/>
  <c r="H21" i="37" s="1"/>
  <c r="I21" i="37" s="1"/>
  <c r="E28" i="37"/>
  <c r="H28" i="37" s="1"/>
  <c r="I28" i="37" s="1"/>
  <c r="E18" i="37"/>
  <c r="H18" i="37" s="1"/>
  <c r="I18" i="37" s="1"/>
  <c r="E23" i="37"/>
  <c r="H23" i="37" s="1"/>
  <c r="I23" i="37" s="1"/>
  <c r="E15" i="37"/>
  <c r="J15" i="37" s="1"/>
  <c r="E24" i="34"/>
  <c r="H24" i="34" s="1"/>
  <c r="I24" i="34" s="1"/>
  <c r="E27" i="35"/>
  <c r="H27" i="35" s="1"/>
  <c r="I27" i="35" s="1"/>
  <c r="E42" i="23"/>
  <c r="I42" i="23" s="1"/>
  <c r="E20" i="36"/>
  <c r="H20" i="36" s="1"/>
  <c r="I20" i="36" s="1"/>
  <c r="E25" i="37"/>
  <c r="H25" i="37" s="1"/>
  <c r="I25" i="37" s="1"/>
  <c r="R88" i="44"/>
  <c r="E105" i="39"/>
  <c r="I123" i="40"/>
  <c r="R94" i="42"/>
  <c r="I114" i="44"/>
  <c r="I122" i="48"/>
  <c r="I113" i="43"/>
  <c r="T113" i="43"/>
  <c r="E104" i="37"/>
  <c r="H123" i="39"/>
  <c r="E43" i="39"/>
  <c r="I43" i="39" s="1"/>
  <c r="E40" i="39"/>
  <c r="I40" i="39" s="1"/>
  <c r="E22" i="39"/>
  <c r="H22" i="39" s="1"/>
  <c r="I22" i="39" s="1"/>
  <c r="T8" i="39"/>
  <c r="T122" i="40"/>
  <c r="E21" i="40"/>
  <c r="H21" i="40" s="1"/>
  <c r="I21" i="40" s="1"/>
  <c r="E20" i="40"/>
  <c r="H20" i="40" s="1"/>
  <c r="I20" i="40" s="1"/>
  <c r="E17" i="40"/>
  <c r="J17" i="40" s="1"/>
  <c r="E22" i="40"/>
  <c r="H22" i="40" s="1"/>
  <c r="I22" i="40" s="1"/>
  <c r="I121" i="40"/>
  <c r="E105" i="42"/>
  <c r="T8" i="42"/>
  <c r="R96" i="48"/>
  <c r="R94" i="37"/>
  <c r="T113" i="38"/>
  <c r="E106" i="39"/>
  <c r="E20" i="39"/>
  <c r="H20" i="39" s="1"/>
  <c r="I20" i="39" s="1"/>
  <c r="E19" i="40"/>
  <c r="J19" i="40" s="1"/>
  <c r="T122" i="44"/>
  <c r="E104" i="44"/>
  <c r="T8" i="44"/>
  <c r="E106" i="44"/>
  <c r="E105" i="44"/>
  <c r="H123" i="45"/>
  <c r="T121" i="45"/>
  <c r="E43" i="38"/>
  <c r="I43" i="38" s="1"/>
  <c r="T122" i="39"/>
  <c r="E25" i="39"/>
  <c r="H25" i="39" s="1"/>
  <c r="I25" i="39" s="1"/>
  <c r="E28" i="40"/>
  <c r="H28" i="40" s="1"/>
  <c r="I28" i="40" s="1"/>
  <c r="E16" i="40"/>
  <c r="H16" i="40" s="1"/>
  <c r="I16" i="40" s="1"/>
  <c r="E38" i="44"/>
  <c r="I38" i="44" s="1"/>
  <c r="E41" i="44"/>
  <c r="I41" i="44" s="1"/>
  <c r="E40" i="44"/>
  <c r="I40" i="44" s="1"/>
  <c r="E42" i="44"/>
  <c r="I42" i="44" s="1"/>
  <c r="E39" i="44"/>
  <c r="I39" i="44" s="1"/>
  <c r="R96" i="37"/>
  <c r="R88" i="37"/>
  <c r="R90" i="39"/>
  <c r="R85" i="39"/>
  <c r="E42" i="39"/>
  <c r="I42" i="39" s="1"/>
  <c r="E15" i="39"/>
  <c r="J15" i="39" s="1"/>
  <c r="E24" i="40"/>
  <c r="H24" i="40" s="1"/>
  <c r="I24" i="40" s="1"/>
  <c r="E104" i="42"/>
  <c r="E17" i="45"/>
  <c r="J17" i="45" s="1"/>
  <c r="E27" i="45"/>
  <c r="H27" i="45" s="1"/>
  <c r="I27" i="45" s="1"/>
  <c r="E22" i="45"/>
  <c r="H22" i="45" s="1"/>
  <c r="I22" i="45" s="1"/>
  <c r="E14" i="45"/>
  <c r="E29" i="45"/>
  <c r="H29" i="45" s="1"/>
  <c r="I29" i="45" s="1"/>
  <c r="E19" i="45"/>
  <c r="J19" i="45" s="1"/>
  <c r="E24" i="45"/>
  <c r="H24" i="45" s="1"/>
  <c r="I24" i="45" s="1"/>
  <c r="E16" i="45"/>
  <c r="H16" i="45" s="1"/>
  <c r="I16" i="45" s="1"/>
  <c r="E26" i="45"/>
  <c r="H26" i="45" s="1"/>
  <c r="I26" i="45" s="1"/>
  <c r="E21" i="45"/>
  <c r="H21" i="45" s="1"/>
  <c r="I21" i="45" s="1"/>
  <c r="E28" i="45"/>
  <c r="H28" i="45" s="1"/>
  <c r="I28" i="45" s="1"/>
  <c r="E15" i="45"/>
  <c r="J15" i="45" s="1"/>
  <c r="E18" i="45"/>
  <c r="H18" i="45" s="1"/>
  <c r="I18" i="45" s="1"/>
  <c r="E23" i="45"/>
  <c r="H23" i="45" s="1"/>
  <c r="I23" i="45" s="1"/>
  <c r="E20" i="45"/>
  <c r="H20" i="45" s="1"/>
  <c r="I20" i="45" s="1"/>
  <c r="T8" i="47"/>
  <c r="E106" i="47"/>
  <c r="E105" i="47"/>
  <c r="E104" i="47"/>
  <c r="E23" i="39"/>
  <c r="H23" i="39" s="1"/>
  <c r="I23" i="39" s="1"/>
  <c r="E18" i="39"/>
  <c r="H18" i="39" s="1"/>
  <c r="I18" i="39" s="1"/>
  <c r="E41" i="40"/>
  <c r="I41" i="40" s="1"/>
  <c r="E26" i="40"/>
  <c r="H26" i="40" s="1"/>
  <c r="I26" i="40" s="1"/>
  <c r="I122" i="40"/>
  <c r="E18" i="40"/>
  <c r="H18" i="40" s="1"/>
  <c r="I18" i="40" s="1"/>
  <c r="T123" i="43"/>
  <c r="E43" i="44"/>
  <c r="I43" i="44" s="1"/>
  <c r="E43" i="42"/>
  <c r="I43" i="42" s="1"/>
  <c r="E40" i="42"/>
  <c r="I40" i="42" s="1"/>
  <c r="E25" i="43"/>
  <c r="H25" i="43" s="1"/>
  <c r="I25" i="43" s="1"/>
  <c r="E25" i="42"/>
  <c r="H25" i="42" s="1"/>
  <c r="I25" i="42" s="1"/>
  <c r="T114" i="43"/>
  <c r="U114" i="43" s="1"/>
  <c r="E28" i="43"/>
  <c r="H28" i="43" s="1"/>
  <c r="I28" i="43" s="1"/>
  <c r="T123" i="44"/>
  <c r="I122" i="44"/>
  <c r="R92" i="45"/>
  <c r="R90" i="42"/>
  <c r="R85" i="42"/>
  <c r="E42" i="42"/>
  <c r="I42" i="42" s="1"/>
  <c r="E15" i="42"/>
  <c r="J15" i="42" s="1"/>
  <c r="E21" i="43"/>
  <c r="H21" i="43" s="1"/>
  <c r="I21" i="43" s="1"/>
  <c r="T114" i="47"/>
  <c r="U114" i="47" s="1"/>
  <c r="R92" i="47"/>
  <c r="E105" i="48"/>
  <c r="E104" i="48"/>
  <c r="E106" i="48"/>
  <c r="T8" i="48"/>
  <c r="E26" i="43"/>
  <c r="H26" i="43" s="1"/>
  <c r="I26" i="43" s="1"/>
  <c r="E16" i="43"/>
  <c r="H16" i="43" s="1"/>
  <c r="I16" i="43" s="1"/>
  <c r="T113" i="44"/>
  <c r="P106" i="45"/>
  <c r="P105" i="45"/>
  <c r="T122" i="75"/>
  <c r="E22" i="43"/>
  <c r="H22" i="43" s="1"/>
  <c r="I22" i="43" s="1"/>
  <c r="I113" i="45"/>
  <c r="T113" i="45"/>
  <c r="E24" i="42"/>
  <c r="H24" i="42" s="1"/>
  <c r="I24" i="42" s="1"/>
  <c r="E27" i="43"/>
  <c r="H27" i="43" s="1"/>
  <c r="I27" i="43" s="1"/>
  <c r="R85" i="75"/>
  <c r="R88" i="48"/>
  <c r="E25" i="44"/>
  <c r="H25" i="44" s="1"/>
  <c r="I25" i="44" s="1"/>
  <c r="E38" i="48"/>
  <c r="I38" i="48" s="1"/>
  <c r="E41" i="48"/>
  <c r="I41" i="48" s="1"/>
  <c r="E39" i="48"/>
  <c r="I39" i="48" s="1"/>
  <c r="E42" i="48"/>
  <c r="I42" i="48" s="1"/>
  <c r="E20" i="50"/>
  <c r="H20" i="50" s="1"/>
  <c r="I20" i="50" s="1"/>
  <c r="E17" i="50"/>
  <c r="J17" i="50" s="1"/>
  <c r="E27" i="50"/>
  <c r="H27" i="50" s="1"/>
  <c r="I27" i="50" s="1"/>
  <c r="E22" i="50"/>
  <c r="H22" i="50" s="1"/>
  <c r="I22" i="50" s="1"/>
  <c r="E14" i="50"/>
  <c r="E29" i="50"/>
  <c r="H29" i="50" s="1"/>
  <c r="I29" i="50" s="1"/>
  <c r="E19" i="50"/>
  <c r="J19" i="50" s="1"/>
  <c r="E24" i="50"/>
  <c r="H24" i="50" s="1"/>
  <c r="I24" i="50" s="1"/>
  <c r="E16" i="50"/>
  <c r="H16" i="50" s="1"/>
  <c r="I16" i="50" s="1"/>
  <c r="E26" i="50"/>
  <c r="H26" i="50" s="1"/>
  <c r="I26" i="50" s="1"/>
  <c r="E21" i="50"/>
  <c r="H21" i="50" s="1"/>
  <c r="I21" i="50" s="1"/>
  <c r="E28" i="50"/>
  <c r="H28" i="50" s="1"/>
  <c r="I28" i="50" s="1"/>
  <c r="E18" i="50"/>
  <c r="H18" i="50" s="1"/>
  <c r="I18" i="50" s="1"/>
  <c r="E23" i="50"/>
  <c r="H23" i="50" s="1"/>
  <c r="I23" i="50" s="1"/>
  <c r="E23" i="44"/>
  <c r="H23" i="44" s="1"/>
  <c r="I23" i="44" s="1"/>
  <c r="E18" i="44"/>
  <c r="H18" i="44" s="1"/>
  <c r="I18" i="44" s="1"/>
  <c r="R94" i="45"/>
  <c r="E41" i="45"/>
  <c r="I41" i="45" s="1"/>
  <c r="E38" i="45"/>
  <c r="I38" i="45" s="1"/>
  <c r="E43" i="48"/>
  <c r="I43" i="48" s="1"/>
  <c r="E28" i="44"/>
  <c r="H28" i="44" s="1"/>
  <c r="E16" i="47"/>
  <c r="H16" i="47" s="1"/>
  <c r="I16" i="47" s="1"/>
  <c r="E26" i="47"/>
  <c r="H26" i="47" s="1"/>
  <c r="I26" i="47" s="1"/>
  <c r="E21" i="47"/>
  <c r="H21" i="47" s="1"/>
  <c r="I21" i="47" s="1"/>
  <c r="E28" i="47"/>
  <c r="H28" i="47" s="1"/>
  <c r="I28" i="47" s="1"/>
  <c r="E18" i="47"/>
  <c r="H18" i="47" s="1"/>
  <c r="I18" i="47" s="1"/>
  <c r="E23" i="47"/>
  <c r="H23" i="47" s="1"/>
  <c r="I23" i="47" s="1"/>
  <c r="E14" i="47"/>
  <c r="R92" i="48"/>
  <c r="E26" i="44"/>
  <c r="H26" i="44" s="1"/>
  <c r="I26" i="44" s="1"/>
  <c r="E16" i="44"/>
  <c r="H123" i="50"/>
  <c r="T121" i="50"/>
  <c r="E43" i="45"/>
  <c r="I43" i="45" s="1"/>
  <c r="T122" i="48"/>
  <c r="E40" i="48"/>
  <c r="I40" i="48" s="1"/>
  <c r="I122" i="51"/>
  <c r="E24" i="44"/>
  <c r="H24" i="44" s="1"/>
  <c r="I24" i="44" s="1"/>
  <c r="E20" i="48"/>
  <c r="H20" i="48" s="1"/>
  <c r="I20" i="48" s="1"/>
  <c r="R94" i="51"/>
  <c r="I123" i="76"/>
  <c r="I122" i="76"/>
  <c r="E25" i="48"/>
  <c r="H25" i="48" s="1"/>
  <c r="I25" i="48" s="1"/>
  <c r="T114" i="50"/>
  <c r="U114" i="50" s="1"/>
  <c r="E39" i="75"/>
  <c r="I39" i="75" s="1"/>
  <c r="E42" i="75"/>
  <c r="I42" i="75" s="1"/>
  <c r="E40" i="75"/>
  <c r="I40" i="75" s="1"/>
  <c r="E43" i="75"/>
  <c r="I43" i="75" s="1"/>
  <c r="E15" i="48"/>
  <c r="J15" i="48" s="1"/>
  <c r="R96" i="51"/>
  <c r="P104" i="52"/>
  <c r="P106" i="52"/>
  <c r="P105" i="52"/>
  <c r="E41" i="75"/>
  <c r="I41" i="75" s="1"/>
  <c r="R90" i="58"/>
  <c r="R92" i="52"/>
  <c r="E26" i="48"/>
  <c r="H26" i="48" s="1"/>
  <c r="I26" i="48" s="1"/>
  <c r="E16" i="48"/>
  <c r="H16" i="48" s="1"/>
  <c r="I16" i="48" s="1"/>
  <c r="E106" i="51"/>
  <c r="E23" i="51"/>
  <c r="H23" i="51" s="1"/>
  <c r="I23" i="51" s="1"/>
  <c r="R90" i="75"/>
  <c r="E38" i="75"/>
  <c r="I38" i="75" s="1"/>
  <c r="E43" i="50"/>
  <c r="I43" i="50" s="1"/>
  <c r="E24" i="48"/>
  <c r="H24" i="48" s="1"/>
  <c r="I24" i="48" s="1"/>
  <c r="E19" i="48"/>
  <c r="J19" i="48" s="1"/>
  <c r="I114" i="76"/>
  <c r="T114" i="76"/>
  <c r="U114" i="76" s="1"/>
  <c r="E41" i="47"/>
  <c r="I41" i="47" s="1"/>
  <c r="E29" i="48"/>
  <c r="H29" i="48" s="1"/>
  <c r="I29" i="48" s="1"/>
  <c r="E22" i="51"/>
  <c r="H22" i="51" s="1"/>
  <c r="I22" i="51" s="1"/>
  <c r="E14" i="51"/>
  <c r="E29" i="51"/>
  <c r="H29" i="51" s="1"/>
  <c r="I29" i="51" s="1"/>
  <c r="E21" i="51"/>
  <c r="H21" i="51" s="1"/>
  <c r="I21" i="51" s="1"/>
  <c r="E28" i="51"/>
  <c r="H28" i="51" s="1"/>
  <c r="I28" i="51" s="1"/>
  <c r="E15" i="51"/>
  <c r="J15" i="51" s="1"/>
  <c r="R94" i="55"/>
  <c r="E38" i="56"/>
  <c r="I38" i="56" s="1"/>
  <c r="E41" i="56"/>
  <c r="I41" i="56" s="1"/>
  <c r="E39" i="56"/>
  <c r="I39" i="56" s="1"/>
  <c r="E40" i="56"/>
  <c r="I40" i="56" s="1"/>
  <c r="E42" i="56"/>
  <c r="I42" i="56" s="1"/>
  <c r="E43" i="56"/>
  <c r="I43" i="56" s="1"/>
  <c r="T123" i="76"/>
  <c r="P105" i="56"/>
  <c r="P104" i="56"/>
  <c r="R94" i="52"/>
  <c r="E41" i="52"/>
  <c r="I41" i="52" s="1"/>
  <c r="E38" i="52"/>
  <c r="I38" i="52" s="1"/>
  <c r="E29" i="75"/>
  <c r="H29" i="75" s="1"/>
  <c r="I29" i="75" s="1"/>
  <c r="E105" i="55"/>
  <c r="E104" i="55"/>
  <c r="E106" i="55"/>
  <c r="T8" i="55"/>
  <c r="E17" i="75"/>
  <c r="J17" i="75" s="1"/>
  <c r="P106" i="56"/>
  <c r="E43" i="52"/>
  <c r="I43" i="52" s="1"/>
  <c r="E22" i="52"/>
  <c r="H22" i="52" s="1"/>
  <c r="I22" i="52" s="1"/>
  <c r="E15" i="75"/>
  <c r="J15" i="75" s="1"/>
  <c r="E20" i="75"/>
  <c r="H20" i="75" s="1"/>
  <c r="I20" i="75" s="1"/>
  <c r="E14" i="75"/>
  <c r="E25" i="75"/>
  <c r="H25" i="75" s="1"/>
  <c r="I25" i="75" s="1"/>
  <c r="E21" i="75"/>
  <c r="H21" i="75" s="1"/>
  <c r="I21" i="75" s="1"/>
  <c r="E16" i="75"/>
  <c r="H16" i="75" s="1"/>
  <c r="I16" i="75" s="1"/>
  <c r="E23" i="75"/>
  <c r="H23" i="75" s="1"/>
  <c r="I23" i="75" s="1"/>
  <c r="E43" i="51"/>
  <c r="I43" i="51" s="1"/>
  <c r="H123" i="55"/>
  <c r="E43" i="55"/>
  <c r="I43" i="55" s="1"/>
  <c r="E40" i="55"/>
  <c r="I40" i="55" s="1"/>
  <c r="E22" i="55"/>
  <c r="H22" i="55" s="1"/>
  <c r="I22" i="55" s="1"/>
  <c r="E20" i="55"/>
  <c r="H20" i="55" s="1"/>
  <c r="I20" i="55" s="1"/>
  <c r="I122" i="56"/>
  <c r="I122" i="57"/>
  <c r="E15" i="57"/>
  <c r="J15" i="57" s="1"/>
  <c r="E25" i="55"/>
  <c r="H25" i="55" s="1"/>
  <c r="I25" i="55" s="1"/>
  <c r="T122" i="56"/>
  <c r="R92" i="56"/>
  <c r="E104" i="56"/>
  <c r="E106" i="56"/>
  <c r="H123" i="66"/>
  <c r="T121" i="66"/>
  <c r="R90" i="55"/>
  <c r="R85" i="55"/>
  <c r="E42" i="55"/>
  <c r="I42" i="55" s="1"/>
  <c r="E39" i="55"/>
  <c r="I39" i="55" s="1"/>
  <c r="E15" i="55"/>
  <c r="J15" i="55" s="1"/>
  <c r="R92" i="76"/>
  <c r="E20" i="76"/>
  <c r="H20" i="76" s="1"/>
  <c r="I20" i="76" s="1"/>
  <c r="E23" i="55"/>
  <c r="H23" i="55" s="1"/>
  <c r="I23" i="55" s="1"/>
  <c r="E18" i="55"/>
  <c r="H18" i="55" s="1"/>
  <c r="I18" i="55" s="1"/>
  <c r="E27" i="57"/>
  <c r="H27" i="57" s="1"/>
  <c r="I27" i="57" s="1"/>
  <c r="E106" i="57"/>
  <c r="T8" i="57"/>
  <c r="E104" i="57"/>
  <c r="E25" i="76"/>
  <c r="H25" i="76" s="1"/>
  <c r="I25" i="76" s="1"/>
  <c r="E28" i="55"/>
  <c r="H28" i="55" s="1"/>
  <c r="I28" i="55" s="1"/>
  <c r="E105" i="56"/>
  <c r="E20" i="57"/>
  <c r="H20" i="57" s="1"/>
  <c r="I20" i="57" s="1"/>
  <c r="E22" i="57"/>
  <c r="H22" i="57" s="1"/>
  <c r="I22" i="57" s="1"/>
  <c r="E14" i="57"/>
  <c r="E29" i="57"/>
  <c r="H29" i="57" s="1"/>
  <c r="I29" i="57" s="1"/>
  <c r="E21" i="57"/>
  <c r="H21" i="57" s="1"/>
  <c r="I21" i="57" s="1"/>
  <c r="E28" i="57"/>
  <c r="H28" i="57" s="1"/>
  <c r="I28" i="57" s="1"/>
  <c r="E18" i="57"/>
  <c r="H18" i="57" s="1"/>
  <c r="I18" i="57" s="1"/>
  <c r="E23" i="57"/>
  <c r="H23" i="57" s="1"/>
  <c r="I23" i="57" s="1"/>
  <c r="E17" i="57"/>
  <c r="J17" i="57" s="1"/>
  <c r="E21" i="55"/>
  <c r="H21" i="55" s="1"/>
  <c r="I21" i="55" s="1"/>
  <c r="E41" i="55"/>
  <c r="I41" i="55" s="1"/>
  <c r="E26" i="55"/>
  <c r="H26" i="55" s="1"/>
  <c r="I26" i="55" s="1"/>
  <c r="E16" i="55"/>
  <c r="H16" i="55" s="1"/>
  <c r="I16" i="55" s="1"/>
  <c r="I121" i="57"/>
  <c r="H123" i="57"/>
  <c r="T121" i="57"/>
  <c r="I122" i="55"/>
  <c r="E26" i="57"/>
  <c r="H26" i="57" s="1"/>
  <c r="I26" i="57" s="1"/>
  <c r="E24" i="55"/>
  <c r="H24" i="55" s="1"/>
  <c r="I24" i="55" s="1"/>
  <c r="I114" i="57"/>
  <c r="T114" i="57"/>
  <c r="U114" i="57" s="1"/>
  <c r="E16" i="57"/>
  <c r="H16" i="57" s="1"/>
  <c r="I16" i="57" s="1"/>
  <c r="E20" i="56"/>
  <c r="H20" i="56" s="1"/>
  <c r="I20" i="56" s="1"/>
  <c r="E15" i="66"/>
  <c r="J15" i="66" s="1"/>
  <c r="E20" i="66"/>
  <c r="H20" i="66" s="1"/>
  <c r="E17" i="66"/>
  <c r="J17" i="66" s="1"/>
  <c r="E27" i="66"/>
  <c r="H27" i="66" s="1"/>
  <c r="E22" i="66"/>
  <c r="H22" i="66" s="1"/>
  <c r="E14" i="66"/>
  <c r="E29" i="66"/>
  <c r="H29" i="66" s="1"/>
  <c r="I29" i="66" s="1"/>
  <c r="E16" i="66"/>
  <c r="H16" i="66" s="1"/>
  <c r="E26" i="66"/>
  <c r="H26" i="66" s="1"/>
  <c r="E21" i="66"/>
  <c r="H21" i="66" s="1"/>
  <c r="E19" i="66"/>
  <c r="J19" i="66" s="1"/>
  <c r="E25" i="56"/>
  <c r="H25" i="56" s="1"/>
  <c r="I25" i="56" s="1"/>
  <c r="H123" i="58"/>
  <c r="R85" i="58"/>
  <c r="E38" i="58"/>
  <c r="I38" i="58" s="1"/>
  <c r="E39" i="58"/>
  <c r="I39" i="58" s="1"/>
  <c r="E42" i="58"/>
  <c r="I42" i="58" s="1"/>
  <c r="E28" i="56"/>
  <c r="H28" i="56" s="1"/>
  <c r="I28" i="56" s="1"/>
  <c r="E25" i="66"/>
  <c r="H25" i="66" s="1"/>
  <c r="E26" i="56"/>
  <c r="H26" i="56" s="1"/>
  <c r="I26" i="56" s="1"/>
  <c r="E16" i="56"/>
  <c r="H16" i="56" s="1"/>
  <c r="I16" i="56" s="1"/>
  <c r="T113" i="58"/>
  <c r="E17" i="58"/>
  <c r="J17" i="58" s="1"/>
  <c r="E27" i="58"/>
  <c r="H27" i="58" s="1"/>
  <c r="I27" i="58" s="1"/>
  <c r="E14" i="58"/>
  <c r="E29" i="58"/>
  <c r="H29" i="58" s="1"/>
  <c r="I29" i="58" s="1"/>
  <c r="E19" i="58"/>
  <c r="J19" i="58" s="1"/>
  <c r="E24" i="58"/>
  <c r="H24" i="58" s="1"/>
  <c r="I24" i="58" s="1"/>
  <c r="E16" i="58"/>
  <c r="H16" i="58" s="1"/>
  <c r="I16" i="58" s="1"/>
  <c r="E26" i="58"/>
  <c r="H26" i="58" s="1"/>
  <c r="I26" i="58" s="1"/>
  <c r="E18" i="58"/>
  <c r="H18" i="58" s="1"/>
  <c r="I18" i="58" s="1"/>
  <c r="E23" i="58"/>
  <c r="H23" i="58" s="1"/>
  <c r="I23" i="58" s="1"/>
  <c r="E15" i="58"/>
  <c r="J15" i="58" s="1"/>
  <c r="E20" i="58"/>
  <c r="H20" i="58" s="1"/>
  <c r="I20" i="58" s="1"/>
  <c r="E40" i="67"/>
  <c r="I40" i="67" s="1"/>
  <c r="E43" i="67"/>
  <c r="I43" i="67" s="1"/>
  <c r="E41" i="67"/>
  <c r="I41" i="67" s="1"/>
  <c r="E38" i="67"/>
  <c r="I38" i="67" s="1"/>
  <c r="E43" i="57"/>
  <c r="I43" i="57" s="1"/>
  <c r="E28" i="66"/>
  <c r="H28" i="66" s="1"/>
  <c r="I28" i="66" s="1"/>
  <c r="E29" i="56"/>
  <c r="H29" i="56" s="1"/>
  <c r="I29" i="56" s="1"/>
  <c r="E42" i="67"/>
  <c r="I42" i="67" s="1"/>
  <c r="E23" i="67"/>
  <c r="H23" i="67" s="1"/>
  <c r="I23" i="67" s="1"/>
  <c r="E21" i="67"/>
  <c r="H21" i="67" s="1"/>
  <c r="I21" i="67" s="1"/>
  <c r="E41" i="66"/>
  <c r="I41" i="66" s="1"/>
  <c r="E38" i="66"/>
  <c r="I38" i="66" s="1"/>
  <c r="I121" i="67"/>
  <c r="E29" i="67"/>
  <c r="H29" i="67" s="1"/>
  <c r="I29" i="67" s="1"/>
  <c r="E27" i="67"/>
  <c r="H27" i="67" s="1"/>
  <c r="I27" i="67" s="1"/>
  <c r="E25" i="67"/>
  <c r="H25" i="67" s="1"/>
  <c r="I25" i="67" s="1"/>
  <c r="T8" i="67"/>
  <c r="E105" i="67"/>
  <c r="E20" i="67"/>
  <c r="H20" i="67" s="1"/>
  <c r="I20" i="67" s="1"/>
  <c r="E18" i="67"/>
  <c r="H18" i="67" s="1"/>
  <c r="I18" i="67" s="1"/>
  <c r="E22" i="67"/>
  <c r="H22" i="67" s="1"/>
  <c r="I22" i="67" s="1"/>
  <c r="E14" i="67"/>
  <c r="E19" i="67"/>
  <c r="J19" i="67" s="1"/>
  <c r="E24" i="67"/>
  <c r="H24" i="67" s="1"/>
  <c r="I24" i="67" s="1"/>
  <c r="E28" i="67"/>
  <c r="H28" i="67" s="1"/>
  <c r="I28" i="67" s="1"/>
  <c r="R92" i="69"/>
  <c r="E42" i="66"/>
  <c r="I42" i="66" s="1"/>
  <c r="E106" i="67"/>
  <c r="E17" i="67"/>
  <c r="J17" i="67" s="1"/>
  <c r="E40" i="70"/>
  <c r="I40" i="70" s="1"/>
  <c r="E43" i="70"/>
  <c r="I43" i="70" s="1"/>
  <c r="E41" i="70"/>
  <c r="I41" i="70" s="1"/>
  <c r="E42" i="70"/>
  <c r="I42" i="70" s="1"/>
  <c r="E38" i="70"/>
  <c r="I38" i="70" s="1"/>
  <c r="E39" i="70"/>
  <c r="I39" i="70" s="1"/>
  <c r="I122" i="68"/>
  <c r="H123" i="77"/>
  <c r="T121" i="77"/>
  <c r="I113" i="70"/>
  <c r="I114" i="68"/>
  <c r="T114" i="68"/>
  <c r="U114" i="68" s="1"/>
  <c r="R92" i="71"/>
  <c r="I113" i="68"/>
  <c r="T113" i="68"/>
  <c r="E43" i="69"/>
  <c r="I43" i="69" s="1"/>
  <c r="T114" i="70"/>
  <c r="U114" i="70" s="1"/>
  <c r="T122" i="78"/>
  <c r="E27" i="69"/>
  <c r="H27" i="69" s="1"/>
  <c r="I27" i="69" s="1"/>
  <c r="E17" i="69"/>
  <c r="J17" i="69" s="1"/>
  <c r="E17" i="70"/>
  <c r="J17" i="70" s="1"/>
  <c r="E27" i="70"/>
  <c r="H27" i="70" s="1"/>
  <c r="I27" i="70" s="1"/>
  <c r="E22" i="70"/>
  <c r="H22" i="70" s="1"/>
  <c r="I22" i="70" s="1"/>
  <c r="E14" i="70"/>
  <c r="E29" i="70"/>
  <c r="H29" i="70" s="1"/>
  <c r="I29" i="70" s="1"/>
  <c r="E18" i="70"/>
  <c r="H18" i="70" s="1"/>
  <c r="I18" i="70" s="1"/>
  <c r="E23" i="70"/>
  <c r="H23" i="70" s="1"/>
  <c r="I23" i="70" s="1"/>
  <c r="E39" i="71"/>
  <c r="I39" i="71" s="1"/>
  <c r="E42" i="71"/>
  <c r="I42" i="71" s="1"/>
  <c r="E40" i="71"/>
  <c r="I40" i="71" s="1"/>
  <c r="E43" i="71"/>
  <c r="I43" i="71" s="1"/>
  <c r="E38" i="71"/>
  <c r="I38" i="71" s="1"/>
  <c r="E41" i="71"/>
  <c r="I41" i="71" s="1"/>
  <c r="E26" i="71"/>
  <c r="H26" i="71" s="1"/>
  <c r="I26" i="71" s="1"/>
  <c r="E16" i="71"/>
  <c r="H16" i="71" s="1"/>
  <c r="I16" i="71" s="1"/>
  <c r="E29" i="68"/>
  <c r="H29" i="68" s="1"/>
  <c r="I29" i="68" s="1"/>
  <c r="E27" i="68"/>
  <c r="H27" i="68" s="1"/>
  <c r="I27" i="68" s="1"/>
  <c r="R85" i="78"/>
  <c r="P104" i="77"/>
  <c r="P106" i="77"/>
  <c r="P105" i="77"/>
  <c r="T8" i="71"/>
  <c r="E14" i="68"/>
  <c r="E16" i="68"/>
  <c r="H16" i="68" s="1"/>
  <c r="I16" i="68" s="1"/>
  <c r="E28" i="68"/>
  <c r="H28" i="68" s="1"/>
  <c r="I28" i="68" s="1"/>
  <c r="E15" i="68"/>
  <c r="J15" i="68" s="1"/>
  <c r="E20" i="68"/>
  <c r="H20" i="68" s="1"/>
  <c r="I20" i="68" s="1"/>
  <c r="E22" i="68"/>
  <c r="H22" i="68" s="1"/>
  <c r="I22" i="68" s="1"/>
  <c r="E20" i="71"/>
  <c r="H20" i="71" s="1"/>
  <c r="I20" i="71" s="1"/>
  <c r="E26" i="68"/>
  <c r="H26" i="68" s="1"/>
  <c r="I26" i="68" s="1"/>
  <c r="E20" i="77"/>
  <c r="H20" i="77" s="1"/>
  <c r="I20" i="77" s="1"/>
  <c r="E17" i="77"/>
  <c r="J17" i="77" s="1"/>
  <c r="E27" i="77"/>
  <c r="H27" i="77" s="1"/>
  <c r="I27" i="77" s="1"/>
  <c r="E22" i="77"/>
  <c r="H22" i="77" s="1"/>
  <c r="I22" i="77" s="1"/>
  <c r="E14" i="77"/>
  <c r="E29" i="77"/>
  <c r="H29" i="77" s="1"/>
  <c r="I29" i="77" s="1"/>
  <c r="E19" i="77"/>
  <c r="J19" i="77" s="1"/>
  <c r="E24" i="77"/>
  <c r="H24" i="77" s="1"/>
  <c r="I24" i="77" s="1"/>
  <c r="E16" i="77"/>
  <c r="H16" i="77" s="1"/>
  <c r="I16" i="77" s="1"/>
  <c r="E26" i="77"/>
  <c r="H26" i="77" s="1"/>
  <c r="I26" i="77" s="1"/>
  <c r="E21" i="77"/>
  <c r="H21" i="77" s="1"/>
  <c r="I21" i="77" s="1"/>
  <c r="E28" i="77"/>
  <c r="H28" i="77" s="1"/>
  <c r="I28" i="77" s="1"/>
  <c r="E18" i="77"/>
  <c r="H18" i="77" s="1"/>
  <c r="I18" i="77" s="1"/>
  <c r="E23" i="77"/>
  <c r="H23" i="77" s="1"/>
  <c r="I23" i="77" s="1"/>
  <c r="E25" i="71"/>
  <c r="H25" i="71" s="1"/>
  <c r="I25" i="71" s="1"/>
  <c r="P104" i="78"/>
  <c r="P106" i="78"/>
  <c r="R90" i="78"/>
  <c r="E19" i="62"/>
  <c r="E20" i="62" s="1"/>
  <c r="E26" i="62" s="1"/>
  <c r="E28" i="62" s="1"/>
  <c r="E39" i="78"/>
  <c r="I39" i="78" s="1"/>
  <c r="E42" i="78"/>
  <c r="I42" i="78" s="1"/>
  <c r="E40" i="78"/>
  <c r="I40" i="78" s="1"/>
  <c r="E43" i="78"/>
  <c r="I43" i="78" s="1"/>
  <c r="E38" i="78"/>
  <c r="I38" i="78" s="1"/>
  <c r="E41" i="78"/>
  <c r="I41" i="78" s="1"/>
  <c r="E26" i="78"/>
  <c r="H26" i="78" s="1"/>
  <c r="I26" i="78" s="1"/>
  <c r="E16" i="78"/>
  <c r="H16" i="78" s="1"/>
  <c r="I16" i="78" s="1"/>
  <c r="T121" i="30"/>
  <c r="E29" i="30"/>
  <c r="H29" i="30" s="1"/>
  <c r="I29" i="30" s="1"/>
  <c r="E14" i="30"/>
  <c r="E43" i="30"/>
  <c r="I43" i="30" s="1"/>
  <c r="E40" i="30"/>
  <c r="I40" i="30" s="1"/>
  <c r="R96" i="78"/>
  <c r="R88" i="78"/>
  <c r="I123" i="30"/>
  <c r="E27" i="30"/>
  <c r="H27" i="30" s="1"/>
  <c r="I27" i="30" s="1"/>
  <c r="E17" i="30"/>
  <c r="J17" i="30" s="1"/>
  <c r="R94" i="77"/>
  <c r="E41" i="77"/>
  <c r="I41" i="77" s="1"/>
  <c r="E38" i="77"/>
  <c r="I38" i="77" s="1"/>
  <c r="T121" i="78"/>
  <c r="E29" i="78"/>
  <c r="H29" i="78" s="1"/>
  <c r="I29" i="78" s="1"/>
  <c r="E14" i="78"/>
  <c r="E20" i="30"/>
  <c r="H20" i="30" s="1"/>
  <c r="I20" i="30" s="1"/>
  <c r="H123" i="78"/>
  <c r="E22" i="78"/>
  <c r="H22" i="78" s="1"/>
  <c r="I22" i="78" s="1"/>
  <c r="T122" i="30"/>
  <c r="E25" i="30"/>
  <c r="H25" i="30" s="1"/>
  <c r="I25" i="30" s="1"/>
  <c r="R96" i="77"/>
  <c r="R88" i="77"/>
  <c r="E17" i="78"/>
  <c r="J17" i="78" s="1"/>
  <c r="R90" i="30"/>
  <c r="R85" i="30"/>
  <c r="E42" i="30"/>
  <c r="I42" i="30" s="1"/>
  <c r="E39" i="30"/>
  <c r="I39" i="30" s="1"/>
  <c r="E15" i="30"/>
  <c r="J15" i="30" s="1"/>
  <c r="R92" i="78"/>
  <c r="E20" i="78"/>
  <c r="H20" i="78" s="1"/>
  <c r="I20" i="78" s="1"/>
  <c r="E23" i="30"/>
  <c r="H23" i="30" s="1"/>
  <c r="I23" i="30" s="1"/>
  <c r="E18" i="30"/>
  <c r="H18" i="30" s="1"/>
  <c r="I18" i="30" s="1"/>
  <c r="E43" i="77"/>
  <c r="I43" i="77" s="1"/>
  <c r="E25" i="78"/>
  <c r="H25" i="78" s="1"/>
  <c r="I25" i="78" s="1"/>
  <c r="E28" i="30"/>
  <c r="H28" i="30" s="1"/>
  <c r="I28" i="30" s="1"/>
  <c r="E41" i="30"/>
  <c r="I41" i="30" s="1"/>
  <c r="E26" i="30"/>
  <c r="H26" i="30" s="1"/>
  <c r="I26" i="30" s="1"/>
  <c r="I14" i="20" l="1"/>
  <c r="I28" i="44"/>
  <c r="H28" i="60"/>
  <c r="I21" i="66"/>
  <c r="I26" i="66"/>
  <c r="I23" i="66"/>
  <c r="I16" i="66"/>
  <c r="I25" i="66"/>
  <c r="H25" i="60"/>
  <c r="I22" i="66"/>
  <c r="H22" i="60"/>
  <c r="I27" i="66"/>
  <c r="I18" i="66"/>
  <c r="H18" i="60"/>
  <c r="I20" i="66"/>
  <c r="I24" i="66"/>
  <c r="I115" i="60"/>
  <c r="I114" i="60"/>
  <c r="E18" i="60"/>
  <c r="E15" i="60"/>
  <c r="E16" i="60"/>
  <c r="J17" i="7"/>
  <c r="E17" i="60"/>
  <c r="H28" i="7"/>
  <c r="E28" i="60"/>
  <c r="H24" i="7"/>
  <c r="H24" i="60" s="1"/>
  <c r="E24" i="60"/>
  <c r="H21" i="7"/>
  <c r="I21" i="7" s="1"/>
  <c r="E21" i="60"/>
  <c r="H27" i="7"/>
  <c r="I27" i="7" s="1"/>
  <c r="I27" i="60" s="1"/>
  <c r="E27" i="60"/>
  <c r="H26" i="7"/>
  <c r="H26" i="60" s="1"/>
  <c r="E26" i="60"/>
  <c r="H14" i="7"/>
  <c r="I14" i="7" s="1"/>
  <c r="E14" i="60"/>
  <c r="H25" i="7"/>
  <c r="I25" i="7" s="1"/>
  <c r="E25" i="60"/>
  <c r="H29" i="7"/>
  <c r="E29" i="60"/>
  <c r="J19" i="7"/>
  <c r="E19" i="60"/>
  <c r="H20" i="7"/>
  <c r="I20" i="7" s="1"/>
  <c r="I20" i="60" s="1"/>
  <c r="E20" i="60"/>
  <c r="H22" i="7"/>
  <c r="I22" i="7" s="1"/>
  <c r="E22" i="60"/>
  <c r="H23" i="7"/>
  <c r="I23" i="7" s="1"/>
  <c r="E23" i="60"/>
  <c r="H19" i="35"/>
  <c r="I19" i="35" s="1"/>
  <c r="I123" i="69"/>
  <c r="I124" i="69" s="1"/>
  <c r="H19" i="75"/>
  <c r="I19" i="75" s="1"/>
  <c r="J19" i="75"/>
  <c r="H19" i="76"/>
  <c r="I19" i="76" s="1"/>
  <c r="J19" i="76"/>
  <c r="H17" i="56"/>
  <c r="I17" i="56" s="1"/>
  <c r="J17" i="56"/>
  <c r="H19" i="55"/>
  <c r="I19" i="55" s="1"/>
  <c r="J19" i="55"/>
  <c r="H19" i="33"/>
  <c r="I19" i="33" s="1"/>
  <c r="J19" i="33"/>
  <c r="H17" i="23"/>
  <c r="I17" i="23" s="1"/>
  <c r="J17" i="23"/>
  <c r="H19" i="7"/>
  <c r="I19" i="7" s="1"/>
  <c r="H17" i="55"/>
  <c r="I17" i="55" s="1"/>
  <c r="J17" i="55"/>
  <c r="H17" i="42"/>
  <c r="I17" i="42" s="1"/>
  <c r="J17" i="42"/>
  <c r="H15" i="47"/>
  <c r="I15" i="47" s="1"/>
  <c r="J15" i="47"/>
  <c r="H19" i="42"/>
  <c r="I19" i="42" s="1"/>
  <c r="J19" i="42"/>
  <c r="H19" i="71"/>
  <c r="I19" i="71" s="1"/>
  <c r="J19" i="71"/>
  <c r="H19" i="57"/>
  <c r="I19" i="57" s="1"/>
  <c r="J19" i="57"/>
  <c r="H17" i="47"/>
  <c r="I17" i="47" s="1"/>
  <c r="J17" i="47"/>
  <c r="H19" i="44"/>
  <c r="I19" i="44" s="1"/>
  <c r="J19" i="44"/>
  <c r="H19" i="69"/>
  <c r="I19" i="69" s="1"/>
  <c r="J19" i="69"/>
  <c r="H19" i="56"/>
  <c r="I19" i="56" s="1"/>
  <c r="J19" i="56"/>
  <c r="H15" i="52"/>
  <c r="I15" i="52" s="1"/>
  <c r="J15" i="52"/>
  <c r="H17" i="48"/>
  <c r="I17" i="48" s="1"/>
  <c r="J17" i="48"/>
  <c r="H15" i="69"/>
  <c r="I15" i="69" s="1"/>
  <c r="J15" i="69"/>
  <c r="H19" i="39"/>
  <c r="I19" i="39" s="1"/>
  <c r="J19" i="39"/>
  <c r="H17" i="35"/>
  <c r="I17" i="35" s="1"/>
  <c r="J17" i="35"/>
  <c r="H19" i="16"/>
  <c r="I19" i="16" s="1"/>
  <c r="J19" i="16"/>
  <c r="H15" i="26"/>
  <c r="I15" i="26" s="1"/>
  <c r="J15" i="26"/>
  <c r="H17" i="39"/>
  <c r="I17" i="39" s="1"/>
  <c r="J17" i="39"/>
  <c r="H19" i="47"/>
  <c r="I19" i="47" s="1"/>
  <c r="J19" i="47"/>
  <c r="H19" i="68"/>
  <c r="I19" i="68" s="1"/>
  <c r="J19" i="68"/>
  <c r="H19" i="51"/>
  <c r="I19" i="51" s="1"/>
  <c r="J19" i="51"/>
  <c r="H19" i="43"/>
  <c r="I19" i="43" s="1"/>
  <c r="J19" i="43"/>
  <c r="H15" i="7"/>
  <c r="I15" i="7" s="1"/>
  <c r="J15" i="7"/>
  <c r="H17" i="51"/>
  <c r="I17" i="51" s="1"/>
  <c r="J17" i="51"/>
  <c r="H17" i="33"/>
  <c r="I17" i="33" s="1"/>
  <c r="J17" i="33"/>
  <c r="H15" i="40"/>
  <c r="I15" i="40" s="1"/>
  <c r="J15" i="40"/>
  <c r="H17" i="16"/>
  <c r="I17" i="16" s="1"/>
  <c r="J17" i="16"/>
  <c r="H17" i="52"/>
  <c r="I17" i="52" s="1"/>
  <c r="J17" i="52"/>
  <c r="H17" i="43"/>
  <c r="I17" i="43" s="1"/>
  <c r="J17" i="43"/>
  <c r="H19" i="27"/>
  <c r="I19" i="27" s="1"/>
  <c r="J19" i="27"/>
  <c r="H17" i="34"/>
  <c r="I17" i="34" s="1"/>
  <c r="J17" i="34"/>
  <c r="H17" i="17"/>
  <c r="J17" i="17"/>
  <c r="H17" i="44"/>
  <c r="I17" i="44" s="1"/>
  <c r="J17" i="44"/>
  <c r="H19" i="30"/>
  <c r="I19" i="30" s="1"/>
  <c r="J19" i="30"/>
  <c r="H19" i="34"/>
  <c r="I19" i="34" s="1"/>
  <c r="J19" i="34"/>
  <c r="H15" i="33"/>
  <c r="I15" i="33" s="1"/>
  <c r="J15" i="33"/>
  <c r="H17" i="27"/>
  <c r="I17" i="27" s="1"/>
  <c r="J17" i="27"/>
  <c r="T123" i="68"/>
  <c r="E44" i="68"/>
  <c r="I123" i="56"/>
  <c r="I124" i="56" s="1"/>
  <c r="I123" i="23"/>
  <c r="I124" i="23" s="1"/>
  <c r="I123" i="21"/>
  <c r="I124" i="21" s="1"/>
  <c r="I18" i="7"/>
  <c r="H31" i="60"/>
  <c r="I123" i="48"/>
  <c r="I124" i="48" s="1"/>
  <c r="I123" i="52"/>
  <c r="I124" i="52" s="1"/>
  <c r="T123" i="35"/>
  <c r="T123" i="47"/>
  <c r="E44" i="33"/>
  <c r="H15" i="78"/>
  <c r="I15" i="78" s="1"/>
  <c r="H15" i="67"/>
  <c r="I15" i="67" s="1"/>
  <c r="H15" i="77"/>
  <c r="I15" i="77" s="1"/>
  <c r="H15" i="56"/>
  <c r="I15" i="56" s="1"/>
  <c r="H15" i="17"/>
  <c r="I15" i="17" s="1"/>
  <c r="H15" i="70"/>
  <c r="I15" i="70" s="1"/>
  <c r="H15" i="43"/>
  <c r="I15" i="43" s="1"/>
  <c r="H15" i="71"/>
  <c r="I15" i="71" s="1"/>
  <c r="H15" i="36"/>
  <c r="I15" i="36" s="1"/>
  <c r="H15" i="50"/>
  <c r="I15" i="50" s="1"/>
  <c r="H15" i="76"/>
  <c r="I15" i="76" s="1"/>
  <c r="H15" i="35"/>
  <c r="I15" i="35" s="1"/>
  <c r="H15" i="32"/>
  <c r="I15" i="32" s="1"/>
  <c r="H15" i="23"/>
  <c r="I15" i="23" s="1"/>
  <c r="H15" i="44"/>
  <c r="I15" i="44" s="1"/>
  <c r="P104" i="76"/>
  <c r="I123" i="75"/>
  <c r="I124" i="75" s="1"/>
  <c r="P106" i="68"/>
  <c r="I123" i="18"/>
  <c r="I124" i="18" s="1"/>
  <c r="E44" i="22"/>
  <c r="P104" i="21"/>
  <c r="I123" i="37"/>
  <c r="I124" i="37" s="1"/>
  <c r="I123" i="34"/>
  <c r="I124" i="34" s="1"/>
  <c r="E44" i="24"/>
  <c r="I123" i="51"/>
  <c r="I124" i="51" s="1"/>
  <c r="I44" i="22"/>
  <c r="E44" i="25"/>
  <c r="P105" i="23"/>
  <c r="I124" i="42"/>
  <c r="H19" i="70"/>
  <c r="I19" i="70" s="1"/>
  <c r="E44" i="38"/>
  <c r="P105" i="76"/>
  <c r="E44" i="32"/>
  <c r="E44" i="18"/>
  <c r="E44" i="43"/>
  <c r="E44" i="76"/>
  <c r="I44" i="69"/>
  <c r="P106" i="30"/>
  <c r="P105" i="30"/>
  <c r="P104" i="33"/>
  <c r="I44" i="68"/>
  <c r="P104" i="68"/>
  <c r="P104" i="40"/>
  <c r="P105" i="40"/>
  <c r="I124" i="71"/>
  <c r="I123" i="70"/>
  <c r="I124" i="70" s="1"/>
  <c r="H19" i="52"/>
  <c r="I19" i="52" s="1"/>
  <c r="E30" i="52"/>
  <c r="I124" i="44"/>
  <c r="I124" i="35"/>
  <c r="I124" i="32"/>
  <c r="I44" i="28"/>
  <c r="E44" i="28"/>
  <c r="P106" i="27"/>
  <c r="P104" i="27"/>
  <c r="E44" i="36"/>
  <c r="I124" i="30"/>
  <c r="P104" i="24"/>
  <c r="P106" i="24"/>
  <c r="P105" i="24"/>
  <c r="I124" i="27"/>
  <c r="I123" i="26"/>
  <c r="I124" i="26" s="1"/>
  <c r="T123" i="26"/>
  <c r="P104" i="50"/>
  <c r="P105" i="50"/>
  <c r="H17" i="68"/>
  <c r="I17" i="68" s="1"/>
  <c r="I44" i="38"/>
  <c r="E44" i="39"/>
  <c r="I44" i="25"/>
  <c r="E30" i="34"/>
  <c r="H17" i="71"/>
  <c r="I17" i="71" s="1"/>
  <c r="E44" i="69"/>
  <c r="P105" i="28"/>
  <c r="P104" i="28"/>
  <c r="E44" i="21"/>
  <c r="I44" i="21"/>
  <c r="H19" i="32"/>
  <c r="I19" i="32" s="1"/>
  <c r="H14" i="52"/>
  <c r="H17" i="76"/>
  <c r="I17" i="76" s="1"/>
  <c r="E44" i="50"/>
  <c r="I124" i="43"/>
  <c r="T123" i="16"/>
  <c r="I124" i="67"/>
  <c r="I124" i="47"/>
  <c r="I44" i="32"/>
  <c r="I44" i="18"/>
  <c r="H19" i="78"/>
  <c r="I19" i="78" s="1"/>
  <c r="I124" i="24"/>
  <c r="I123" i="33"/>
  <c r="I124" i="33" s="1"/>
  <c r="I124" i="28"/>
  <c r="P105" i="33"/>
  <c r="P106" i="50"/>
  <c r="P104" i="23"/>
  <c r="P105" i="17"/>
  <c r="P106" i="17"/>
  <c r="P104" i="66"/>
  <c r="P105" i="66"/>
  <c r="P105" i="37"/>
  <c r="P104" i="37"/>
  <c r="I44" i="50"/>
  <c r="D32" i="60"/>
  <c r="E123" i="60" s="1"/>
  <c r="I123" i="60" s="1"/>
  <c r="I125" i="60" s="1"/>
  <c r="E44" i="7"/>
  <c r="P105" i="21"/>
  <c r="I44" i="76"/>
  <c r="I44" i="36"/>
  <c r="P106" i="38"/>
  <c r="P104" i="38"/>
  <c r="P105" i="38"/>
  <c r="I44" i="33"/>
  <c r="I44" i="34"/>
  <c r="I44" i="20"/>
  <c r="P105" i="69"/>
  <c r="P106" i="69"/>
  <c r="P104" i="69"/>
  <c r="P105" i="36"/>
  <c r="P104" i="36"/>
  <c r="P106" i="36"/>
  <c r="P104" i="75"/>
  <c r="P105" i="75"/>
  <c r="P106" i="75"/>
  <c r="I44" i="47"/>
  <c r="I44" i="23"/>
  <c r="I44" i="39"/>
  <c r="P106" i="22"/>
  <c r="P105" i="22"/>
  <c r="I44" i="43"/>
  <c r="I44" i="27"/>
  <c r="E30" i="36"/>
  <c r="H14" i="36"/>
  <c r="I14" i="36" s="1"/>
  <c r="E41" i="60"/>
  <c r="P104" i="71"/>
  <c r="P105" i="71"/>
  <c r="P106" i="71"/>
  <c r="H17" i="57"/>
  <c r="I17" i="57" s="1"/>
  <c r="E30" i="75"/>
  <c r="H14" i="75"/>
  <c r="I14" i="75" s="1"/>
  <c r="E30" i="55"/>
  <c r="E44" i="75"/>
  <c r="I44" i="75"/>
  <c r="H14" i="47"/>
  <c r="I14" i="47" s="1"/>
  <c r="E30" i="47"/>
  <c r="E30" i="42"/>
  <c r="H15" i="42"/>
  <c r="I15" i="42" s="1"/>
  <c r="H15" i="45"/>
  <c r="I15" i="45" s="1"/>
  <c r="P104" i="44"/>
  <c r="P106" i="44"/>
  <c r="P105" i="44"/>
  <c r="H19" i="36"/>
  <c r="I19" i="36" s="1"/>
  <c r="H14" i="31"/>
  <c r="I14" i="31" s="1"/>
  <c r="E30" i="31"/>
  <c r="H21" i="18"/>
  <c r="I21" i="18" s="1"/>
  <c r="I44" i="16"/>
  <c r="H15" i="22"/>
  <c r="I15" i="22" s="1"/>
  <c r="I43" i="60"/>
  <c r="E43" i="60"/>
  <c r="H17" i="18"/>
  <c r="I17" i="18" s="1"/>
  <c r="H23" i="16"/>
  <c r="E42" i="60"/>
  <c r="E44" i="16"/>
  <c r="I123" i="78"/>
  <c r="I124" i="78" s="1"/>
  <c r="T123" i="78"/>
  <c r="P106" i="67"/>
  <c r="P104" i="67"/>
  <c r="P105" i="67"/>
  <c r="H17" i="58"/>
  <c r="I17" i="58" s="1"/>
  <c r="H19" i="66"/>
  <c r="E30" i="56"/>
  <c r="H15" i="48"/>
  <c r="I15" i="48" s="1"/>
  <c r="E30" i="50"/>
  <c r="H14" i="50"/>
  <c r="I14" i="50" s="1"/>
  <c r="P106" i="42"/>
  <c r="P104" i="42"/>
  <c r="P105" i="42"/>
  <c r="E44" i="27"/>
  <c r="H15" i="31"/>
  <c r="I15" i="31" s="1"/>
  <c r="H17" i="28"/>
  <c r="I17" i="28" s="1"/>
  <c r="H14" i="28"/>
  <c r="I14" i="28" s="1"/>
  <c r="E30" i="28"/>
  <c r="E30" i="17"/>
  <c r="H14" i="17"/>
  <c r="I14" i="17" s="1"/>
  <c r="E44" i="20"/>
  <c r="E30" i="16"/>
  <c r="H14" i="16"/>
  <c r="I14" i="16" s="1"/>
  <c r="E30" i="25"/>
  <c r="H14" i="25"/>
  <c r="I14" i="25" s="1"/>
  <c r="E40" i="60"/>
  <c r="E30" i="77"/>
  <c r="H14" i="77"/>
  <c r="I14" i="77" s="1"/>
  <c r="H17" i="45"/>
  <c r="I17" i="45" s="1"/>
  <c r="I123" i="38"/>
  <c r="I124" i="38" s="1"/>
  <c r="T123" i="38"/>
  <c r="H17" i="30"/>
  <c r="I17" i="30" s="1"/>
  <c r="H17" i="77"/>
  <c r="I17" i="77" s="1"/>
  <c r="E30" i="70"/>
  <c r="H14" i="70"/>
  <c r="I14" i="70" s="1"/>
  <c r="I123" i="77"/>
  <c r="I124" i="77" s="1"/>
  <c r="T123" i="77"/>
  <c r="H15" i="75"/>
  <c r="I15" i="75" s="1"/>
  <c r="P106" i="55"/>
  <c r="P105" i="55"/>
  <c r="P104" i="55"/>
  <c r="H14" i="51"/>
  <c r="I14" i="51" s="1"/>
  <c r="E30" i="51"/>
  <c r="C106" i="47"/>
  <c r="H106" i="47" s="1"/>
  <c r="H19" i="38"/>
  <c r="I19" i="38" s="1"/>
  <c r="I44" i="37"/>
  <c r="E44" i="37"/>
  <c r="H19" i="26"/>
  <c r="I19" i="26" s="1"/>
  <c r="I123" i="22"/>
  <c r="I124" i="22" s="1"/>
  <c r="T123" i="22"/>
  <c r="H29" i="17"/>
  <c r="H17" i="24"/>
  <c r="I17" i="24" s="1"/>
  <c r="H15" i="21"/>
  <c r="I15" i="21" s="1"/>
  <c r="I123" i="25"/>
  <c r="I124" i="25" s="1"/>
  <c r="T123" i="25"/>
  <c r="H16" i="7"/>
  <c r="H19" i="28"/>
  <c r="I19" i="28" s="1"/>
  <c r="E44" i="71"/>
  <c r="I44" i="71"/>
  <c r="H15" i="58"/>
  <c r="I15" i="58" s="1"/>
  <c r="I124" i="76"/>
  <c r="I123" i="50"/>
  <c r="I124" i="50" s="1"/>
  <c r="T123" i="50"/>
  <c r="P105" i="39"/>
  <c r="P104" i="39"/>
  <c r="P106" i="39"/>
  <c r="E44" i="34"/>
  <c r="H15" i="18"/>
  <c r="I15" i="18" s="1"/>
  <c r="H15" i="28"/>
  <c r="I15" i="28" s="1"/>
  <c r="H15" i="24"/>
  <c r="I15" i="24" s="1"/>
  <c r="I44" i="7"/>
  <c r="H19" i="22"/>
  <c r="I19" i="22" s="1"/>
  <c r="H14" i="68"/>
  <c r="I14" i="68" s="1"/>
  <c r="E30" i="68"/>
  <c r="E44" i="56"/>
  <c r="I44" i="56"/>
  <c r="H17" i="50"/>
  <c r="I17" i="50" s="1"/>
  <c r="E30" i="32"/>
  <c r="H14" i="32"/>
  <c r="I14" i="32" s="1"/>
  <c r="E30" i="38"/>
  <c r="H14" i="38"/>
  <c r="I14" i="38" s="1"/>
  <c r="I44" i="17"/>
  <c r="E44" i="17"/>
  <c r="H17" i="78"/>
  <c r="I17" i="78" s="1"/>
  <c r="H17" i="70"/>
  <c r="I17" i="70" s="1"/>
  <c r="I44" i="45"/>
  <c r="E44" i="45"/>
  <c r="H15" i="39"/>
  <c r="I15" i="39" s="1"/>
  <c r="H17" i="36"/>
  <c r="I17" i="36" s="1"/>
  <c r="I44" i="26"/>
  <c r="E44" i="26"/>
  <c r="I44" i="24"/>
  <c r="H19" i="31"/>
  <c r="I19" i="31" s="1"/>
  <c r="H17" i="21"/>
  <c r="I17" i="21" s="1"/>
  <c r="H15" i="25"/>
  <c r="I15" i="25" s="1"/>
  <c r="E30" i="7"/>
  <c r="H14" i="22"/>
  <c r="I14" i="22" s="1"/>
  <c r="E30" i="22"/>
  <c r="P105" i="16"/>
  <c r="P104" i="16"/>
  <c r="P106" i="16"/>
  <c r="E30" i="78"/>
  <c r="H14" i="78"/>
  <c r="I14" i="78" s="1"/>
  <c r="E29" i="62"/>
  <c r="E30" i="62" s="1"/>
  <c r="I31" i="60"/>
  <c r="H17" i="69"/>
  <c r="I17" i="69" s="1"/>
  <c r="I124" i="68"/>
  <c r="E44" i="67"/>
  <c r="I44" i="67"/>
  <c r="E30" i="66"/>
  <c r="H14" i="66"/>
  <c r="E30" i="57"/>
  <c r="H14" i="57"/>
  <c r="I14" i="57" s="1"/>
  <c r="P104" i="57"/>
  <c r="P105" i="57"/>
  <c r="P106" i="57"/>
  <c r="E44" i="57"/>
  <c r="P104" i="47"/>
  <c r="P106" i="47"/>
  <c r="P105" i="47"/>
  <c r="H19" i="45"/>
  <c r="I19" i="45" s="1"/>
  <c r="I44" i="42"/>
  <c r="E30" i="40"/>
  <c r="H19" i="37"/>
  <c r="I19" i="37" s="1"/>
  <c r="E44" i="23"/>
  <c r="H15" i="27"/>
  <c r="I15" i="27" s="1"/>
  <c r="P106" i="34"/>
  <c r="P105" i="34"/>
  <c r="P104" i="34"/>
  <c r="H19" i="17"/>
  <c r="I19" i="17" s="1"/>
  <c r="I123" i="31"/>
  <c r="I124" i="31" s="1"/>
  <c r="T123" i="31"/>
  <c r="I122" i="7"/>
  <c r="H14" i="58"/>
  <c r="I14" i="58" s="1"/>
  <c r="E30" i="58"/>
  <c r="H17" i="40"/>
  <c r="I17" i="40" s="1"/>
  <c r="E44" i="30"/>
  <c r="H17" i="67"/>
  <c r="I17" i="67" s="1"/>
  <c r="I44" i="57"/>
  <c r="E44" i="55"/>
  <c r="E44" i="51"/>
  <c r="H16" i="44"/>
  <c r="I16" i="44" s="1"/>
  <c r="E30" i="44"/>
  <c r="E44" i="47"/>
  <c r="E30" i="43"/>
  <c r="I124" i="40"/>
  <c r="E44" i="42"/>
  <c r="H19" i="23"/>
  <c r="I19" i="23" s="1"/>
  <c r="H17" i="38"/>
  <c r="I17" i="38" s="1"/>
  <c r="H17" i="26"/>
  <c r="I17" i="26" s="1"/>
  <c r="E30" i="26"/>
  <c r="H14" i="26"/>
  <c r="I14" i="26" s="1"/>
  <c r="E30" i="27"/>
  <c r="H19" i="18"/>
  <c r="I19" i="18" s="1"/>
  <c r="H17" i="7"/>
  <c r="E30" i="18"/>
  <c r="H17" i="22"/>
  <c r="I17" i="22" s="1"/>
  <c r="E44" i="44"/>
  <c r="I44" i="44"/>
  <c r="E30" i="23"/>
  <c r="H14" i="23"/>
  <c r="I14" i="23" s="1"/>
  <c r="H17" i="25"/>
  <c r="I17" i="25" s="1"/>
  <c r="I44" i="30"/>
  <c r="E30" i="71"/>
  <c r="I123" i="57"/>
  <c r="I124" i="57" s="1"/>
  <c r="T123" i="57"/>
  <c r="H15" i="55"/>
  <c r="I15" i="55" s="1"/>
  <c r="I44" i="55"/>
  <c r="E30" i="76"/>
  <c r="I44" i="51"/>
  <c r="H14" i="45"/>
  <c r="I14" i="45" s="1"/>
  <c r="E30" i="45"/>
  <c r="I123" i="39"/>
  <c r="I124" i="39" s="1"/>
  <c r="T123" i="39"/>
  <c r="H14" i="37"/>
  <c r="I14" i="37" s="1"/>
  <c r="E30" i="37"/>
  <c r="H17" i="32"/>
  <c r="I17" i="32" s="1"/>
  <c r="H16" i="35"/>
  <c r="I16" i="35" s="1"/>
  <c r="E30" i="35"/>
  <c r="I44" i="31"/>
  <c r="E44" i="31"/>
  <c r="H14" i="24"/>
  <c r="I14" i="24" s="1"/>
  <c r="E30" i="24"/>
  <c r="H17" i="31"/>
  <c r="I17" i="31" s="1"/>
  <c r="E30" i="20"/>
  <c r="H15" i="20"/>
  <c r="I15" i="20" s="1"/>
  <c r="H19" i="20"/>
  <c r="I19" i="20" s="1"/>
  <c r="I123" i="7"/>
  <c r="T123" i="7"/>
  <c r="E30" i="21"/>
  <c r="H14" i="67"/>
  <c r="I14" i="67" s="1"/>
  <c r="E30" i="67"/>
  <c r="H15" i="57"/>
  <c r="I15" i="57" s="1"/>
  <c r="I44" i="58"/>
  <c r="E44" i="58"/>
  <c r="H15" i="34"/>
  <c r="I15" i="34" s="1"/>
  <c r="H17" i="20"/>
  <c r="I17" i="20" s="1"/>
  <c r="E39" i="60"/>
  <c r="H15" i="68"/>
  <c r="I15" i="68" s="1"/>
  <c r="I44" i="77"/>
  <c r="E44" i="77"/>
  <c r="H19" i="77"/>
  <c r="I19" i="77" s="1"/>
  <c r="E44" i="70"/>
  <c r="I44" i="70"/>
  <c r="H19" i="58"/>
  <c r="I19" i="58" s="1"/>
  <c r="E30" i="69"/>
  <c r="H17" i="66"/>
  <c r="T123" i="55"/>
  <c r="I123" i="55"/>
  <c r="I124" i="55" s="1"/>
  <c r="E30" i="48"/>
  <c r="I123" i="45"/>
  <c r="I124" i="45" s="1"/>
  <c r="T123" i="45"/>
  <c r="H19" i="40"/>
  <c r="I19" i="40" s="1"/>
  <c r="H15" i="38"/>
  <c r="I15" i="38" s="1"/>
  <c r="E44" i="40"/>
  <c r="H19" i="21"/>
  <c r="I19" i="21" s="1"/>
  <c r="H19" i="24"/>
  <c r="I19" i="24" s="1"/>
  <c r="I124" i="17"/>
  <c r="H19" i="25"/>
  <c r="I19" i="25" s="1"/>
  <c r="I121" i="7"/>
  <c r="E30" i="30"/>
  <c r="C69" i="30" s="1"/>
  <c r="H14" i="30"/>
  <c r="I14" i="30" s="1"/>
  <c r="H15" i="66"/>
  <c r="H19" i="50"/>
  <c r="I19" i="50" s="1"/>
  <c r="P106" i="48"/>
  <c r="P105" i="48"/>
  <c r="P104" i="48"/>
  <c r="I123" i="58"/>
  <c r="I124" i="58" s="1"/>
  <c r="T123" i="58"/>
  <c r="I123" i="66"/>
  <c r="I124" i="66" s="1"/>
  <c r="T123" i="66"/>
  <c r="I44" i="52"/>
  <c r="E44" i="52"/>
  <c r="H15" i="30"/>
  <c r="I15" i="30" s="1"/>
  <c r="E44" i="78"/>
  <c r="I44" i="78"/>
  <c r="H19" i="67"/>
  <c r="I19" i="67" s="1"/>
  <c r="I44" i="66"/>
  <c r="E44" i="66"/>
  <c r="H17" i="75"/>
  <c r="I17" i="75" s="1"/>
  <c r="H15" i="51"/>
  <c r="I15" i="51" s="1"/>
  <c r="H19" i="48"/>
  <c r="I19" i="48" s="1"/>
  <c r="E44" i="48"/>
  <c r="I44" i="48"/>
  <c r="H15" i="37"/>
  <c r="I15" i="37" s="1"/>
  <c r="H17" i="37"/>
  <c r="I17" i="37" s="1"/>
  <c r="I44" i="35"/>
  <c r="E44" i="35"/>
  <c r="E30" i="39"/>
  <c r="I44" i="40"/>
  <c r="I123" i="36"/>
  <c r="I124" i="36" s="1"/>
  <c r="T123" i="36"/>
  <c r="E30" i="33"/>
  <c r="I124" i="20"/>
  <c r="H15" i="16"/>
  <c r="I15" i="16" s="1"/>
  <c r="H25" i="16"/>
  <c r="E44" i="60"/>
  <c r="I22" i="60" l="1"/>
  <c r="H23" i="60"/>
  <c r="H27" i="60"/>
  <c r="H21" i="60"/>
  <c r="I29" i="7"/>
  <c r="H29" i="60"/>
  <c r="C104" i="20"/>
  <c r="I30" i="17"/>
  <c r="H20" i="60"/>
  <c r="I18" i="60"/>
  <c r="C106" i="7"/>
  <c r="H16" i="60"/>
  <c r="I15" i="66"/>
  <c r="H15" i="60"/>
  <c r="I19" i="66"/>
  <c r="H19" i="60"/>
  <c r="I14" i="66"/>
  <c r="H14" i="60"/>
  <c r="I17" i="66"/>
  <c r="H17" i="60"/>
  <c r="I24" i="7"/>
  <c r="I24" i="60" s="1"/>
  <c r="I28" i="7"/>
  <c r="I28" i="60" s="1"/>
  <c r="C105" i="56"/>
  <c r="H105" i="56" s="1"/>
  <c r="C105" i="47"/>
  <c r="H105" i="47" s="1"/>
  <c r="C105" i="55"/>
  <c r="H105" i="55" s="1"/>
  <c r="I21" i="60"/>
  <c r="I15" i="60"/>
  <c r="I19" i="60"/>
  <c r="I26" i="7"/>
  <c r="I26" i="60" s="1"/>
  <c r="C106" i="76"/>
  <c r="H106" i="76" s="1"/>
  <c r="H106" i="7"/>
  <c r="C105" i="7"/>
  <c r="C104" i="40"/>
  <c r="H104" i="40" s="1"/>
  <c r="C106" i="69"/>
  <c r="H106" i="69" s="1"/>
  <c r="C106" i="44"/>
  <c r="H106" i="44" s="1"/>
  <c r="C105" i="42"/>
  <c r="H105" i="42" s="1"/>
  <c r="C106" i="35"/>
  <c r="H106" i="35" s="1"/>
  <c r="C105" i="17"/>
  <c r="H105" i="17" s="1"/>
  <c r="C106" i="56"/>
  <c r="H106" i="56" s="1"/>
  <c r="C106" i="43"/>
  <c r="H106" i="43" s="1"/>
  <c r="C105" i="52"/>
  <c r="H105" i="52" s="1"/>
  <c r="C106" i="42"/>
  <c r="H106" i="42" s="1"/>
  <c r="C106" i="33"/>
  <c r="H106" i="33" s="1"/>
  <c r="C106" i="51"/>
  <c r="H106" i="51" s="1"/>
  <c r="C105" i="16"/>
  <c r="H105" i="16" s="1"/>
  <c r="C106" i="55"/>
  <c r="H106" i="55" s="1"/>
  <c r="C104" i="33"/>
  <c r="H104" i="33" s="1"/>
  <c r="H30" i="33"/>
  <c r="E46" i="33" s="1"/>
  <c r="C105" i="34"/>
  <c r="H105" i="34" s="1"/>
  <c r="C106" i="68"/>
  <c r="H106" i="68" s="1"/>
  <c r="I30" i="33"/>
  <c r="I46" i="33" s="1"/>
  <c r="C105" i="33"/>
  <c r="H105" i="33" s="1"/>
  <c r="C104" i="69"/>
  <c r="H104" i="69" s="1"/>
  <c r="H133" i="7"/>
  <c r="O8" i="72"/>
  <c r="C105" i="27"/>
  <c r="H105" i="27" s="1"/>
  <c r="C106" i="75"/>
  <c r="H106" i="75" s="1"/>
  <c r="C105" i="48"/>
  <c r="H105" i="48" s="1"/>
  <c r="C106" i="27"/>
  <c r="H106" i="27" s="1"/>
  <c r="C105" i="39"/>
  <c r="H105" i="39" s="1"/>
  <c r="C106" i="34"/>
  <c r="H106" i="34" s="1"/>
  <c r="C105" i="51"/>
  <c r="H105" i="51" s="1"/>
  <c r="C106" i="57"/>
  <c r="H106" i="57" s="1"/>
  <c r="C106" i="39"/>
  <c r="H106" i="39" s="1"/>
  <c r="C105" i="23"/>
  <c r="H105" i="23" s="1"/>
  <c r="C106" i="30"/>
  <c r="H106" i="30" s="1"/>
  <c r="C104" i="7"/>
  <c r="C105" i="43"/>
  <c r="H105" i="43" s="1"/>
  <c r="C106" i="71"/>
  <c r="H106" i="71" s="1"/>
  <c r="I30" i="43"/>
  <c r="I46" i="43" s="1"/>
  <c r="H30" i="43"/>
  <c r="C72" i="43" s="1"/>
  <c r="C104" i="71"/>
  <c r="H104" i="71" s="1"/>
  <c r="C104" i="76"/>
  <c r="H104" i="76" s="1"/>
  <c r="H30" i="56"/>
  <c r="C72" i="56" s="1"/>
  <c r="I17" i="7"/>
  <c r="I16" i="7"/>
  <c r="I16" i="60" s="1"/>
  <c r="C104" i="43"/>
  <c r="H104" i="43" s="1"/>
  <c r="C104" i="35"/>
  <c r="H104" i="35" s="1"/>
  <c r="C104" i="44"/>
  <c r="H104" i="44" s="1"/>
  <c r="C104" i="56"/>
  <c r="H133" i="45"/>
  <c r="U126" i="45" s="1"/>
  <c r="C75" i="45"/>
  <c r="H76" i="45" s="1"/>
  <c r="H92" i="45" s="1"/>
  <c r="C78" i="45"/>
  <c r="H79" i="45" s="1"/>
  <c r="H85" i="45" s="1"/>
  <c r="C81" i="45"/>
  <c r="H82" i="45" s="1"/>
  <c r="H90" i="45" s="1"/>
  <c r="H133" i="78"/>
  <c r="U126" i="78" s="1"/>
  <c r="C78" i="78"/>
  <c r="H79" i="78" s="1"/>
  <c r="H85" i="78" s="1"/>
  <c r="C81" i="78"/>
  <c r="H82" i="78" s="1"/>
  <c r="H90" i="78" s="1"/>
  <c r="C75" i="78"/>
  <c r="H76" i="78" s="1"/>
  <c r="H92" i="78" s="1"/>
  <c r="H133" i="50"/>
  <c r="U126" i="50" s="1"/>
  <c r="C75" i="50"/>
  <c r="H76" i="50" s="1"/>
  <c r="H92" i="50" s="1"/>
  <c r="C78" i="50"/>
  <c r="H79" i="50" s="1"/>
  <c r="H85" i="50" s="1"/>
  <c r="C81" i="50"/>
  <c r="H82" i="50" s="1"/>
  <c r="H90" i="50" s="1"/>
  <c r="H133" i="55"/>
  <c r="U126" i="55" s="1"/>
  <c r="C75" i="55"/>
  <c r="H76" i="55" s="1"/>
  <c r="H92" i="55" s="1"/>
  <c r="C78" i="55"/>
  <c r="H79" i="55" s="1"/>
  <c r="H85" i="55" s="1"/>
  <c r="C81" i="55"/>
  <c r="H82" i="55" s="1"/>
  <c r="H90" i="55" s="1"/>
  <c r="H133" i="40"/>
  <c r="U126" i="40" s="1"/>
  <c r="C75" i="40"/>
  <c r="H76" i="40" s="1"/>
  <c r="H92" i="40" s="1"/>
  <c r="C78" i="40"/>
  <c r="H79" i="40" s="1"/>
  <c r="H85" i="40" s="1"/>
  <c r="C81" i="40"/>
  <c r="H82" i="40" s="1"/>
  <c r="H90" i="40" s="1"/>
  <c r="H133" i="77"/>
  <c r="U126" i="77" s="1"/>
  <c r="C81" i="77"/>
  <c r="H82" i="77" s="1"/>
  <c r="H90" i="77" s="1"/>
  <c r="C78" i="77"/>
  <c r="H79" i="77" s="1"/>
  <c r="H85" i="77" s="1"/>
  <c r="C75" i="77"/>
  <c r="H76" i="77" s="1"/>
  <c r="H92" i="77" s="1"/>
  <c r="H133" i="17"/>
  <c r="C75" i="17"/>
  <c r="H76" i="17" s="1"/>
  <c r="H92" i="17" s="1"/>
  <c r="C81" i="17"/>
  <c r="H82" i="17" s="1"/>
  <c r="H90" i="17" s="1"/>
  <c r="C78" i="17"/>
  <c r="H79" i="17" s="1"/>
  <c r="H85" i="17" s="1"/>
  <c r="H133" i="26"/>
  <c r="U126" i="26" s="1"/>
  <c r="C78" i="26"/>
  <c r="H79" i="26" s="1"/>
  <c r="H85" i="26" s="1"/>
  <c r="C81" i="26"/>
  <c r="H82" i="26" s="1"/>
  <c r="H90" i="26" s="1"/>
  <c r="C75" i="26"/>
  <c r="H76" i="26" s="1"/>
  <c r="H92" i="26" s="1"/>
  <c r="H133" i="57"/>
  <c r="U126" i="57" s="1"/>
  <c r="C81" i="57"/>
  <c r="H82" i="57" s="1"/>
  <c r="H90" i="57" s="1"/>
  <c r="C75" i="57"/>
  <c r="H76" i="57" s="1"/>
  <c r="H92" i="57" s="1"/>
  <c r="C78" i="57"/>
  <c r="H79" i="57" s="1"/>
  <c r="H85" i="57" s="1"/>
  <c r="H133" i="38"/>
  <c r="U126" i="38" s="1"/>
  <c r="C81" i="38"/>
  <c r="H82" i="38" s="1"/>
  <c r="H90" i="38" s="1"/>
  <c r="C78" i="38"/>
  <c r="H79" i="38" s="1"/>
  <c r="H85" i="38" s="1"/>
  <c r="C75" i="38"/>
  <c r="H76" i="38" s="1"/>
  <c r="H92" i="38" s="1"/>
  <c r="H133" i="28"/>
  <c r="U126" i="28" s="1"/>
  <c r="C81" i="28"/>
  <c r="H82" i="28" s="1"/>
  <c r="H90" i="28" s="1"/>
  <c r="C78" i="28"/>
  <c r="H79" i="28" s="1"/>
  <c r="H85" i="28" s="1"/>
  <c r="C75" i="28"/>
  <c r="H76" i="28" s="1"/>
  <c r="H92" i="28" s="1"/>
  <c r="H133" i="75"/>
  <c r="U126" i="75" s="1"/>
  <c r="C81" i="75"/>
  <c r="H82" i="75" s="1"/>
  <c r="H90" i="75" s="1"/>
  <c r="C75" i="75"/>
  <c r="H76" i="75" s="1"/>
  <c r="H92" i="75" s="1"/>
  <c r="C78" i="75"/>
  <c r="H79" i="75" s="1"/>
  <c r="H85" i="75" s="1"/>
  <c r="H133" i="23"/>
  <c r="U126" i="23" s="1"/>
  <c r="C78" i="23"/>
  <c r="H79" i="23" s="1"/>
  <c r="H85" i="23" s="1"/>
  <c r="C75" i="23"/>
  <c r="H76" i="23" s="1"/>
  <c r="H92" i="23" s="1"/>
  <c r="C81" i="23"/>
  <c r="H82" i="23" s="1"/>
  <c r="H90" i="23" s="1"/>
  <c r="C75" i="30"/>
  <c r="H76" i="30" s="1"/>
  <c r="H92" i="30" s="1"/>
  <c r="C78" i="30"/>
  <c r="H79" i="30" s="1"/>
  <c r="H85" i="30" s="1"/>
  <c r="C81" i="30"/>
  <c r="H82" i="30" s="1"/>
  <c r="H90" i="30" s="1"/>
  <c r="H133" i="67"/>
  <c r="U126" i="67" s="1"/>
  <c r="C81" i="67"/>
  <c r="H82" i="67" s="1"/>
  <c r="H90" i="67" s="1"/>
  <c r="C75" i="67"/>
  <c r="H76" i="67" s="1"/>
  <c r="H92" i="67" s="1"/>
  <c r="C78" i="67"/>
  <c r="H79" i="67" s="1"/>
  <c r="H85" i="67" s="1"/>
  <c r="H133" i="76"/>
  <c r="U126" i="76" s="1"/>
  <c r="C78" i="76"/>
  <c r="H79" i="76" s="1"/>
  <c r="H85" i="76" s="1"/>
  <c r="C81" i="76"/>
  <c r="H82" i="76" s="1"/>
  <c r="H90" i="76" s="1"/>
  <c r="C75" i="76"/>
  <c r="H76" i="76" s="1"/>
  <c r="H92" i="76" s="1"/>
  <c r="H133" i="24"/>
  <c r="U126" i="24" s="1"/>
  <c r="C78" i="24"/>
  <c r="H79" i="24" s="1"/>
  <c r="H85" i="24" s="1"/>
  <c r="C81" i="24"/>
  <c r="H82" i="24" s="1"/>
  <c r="H90" i="24" s="1"/>
  <c r="C75" i="24"/>
  <c r="H76" i="24" s="1"/>
  <c r="H92" i="24" s="1"/>
  <c r="H133" i="66"/>
  <c r="U126" i="66" s="1"/>
  <c r="C75" i="66"/>
  <c r="H76" i="66" s="1"/>
  <c r="H92" i="66" s="1"/>
  <c r="C78" i="66"/>
  <c r="H79" i="66" s="1"/>
  <c r="H85" i="66" s="1"/>
  <c r="C81" i="66"/>
  <c r="H82" i="66" s="1"/>
  <c r="H90" i="66" s="1"/>
  <c r="H133" i="22"/>
  <c r="U126" i="22" s="1"/>
  <c r="C81" i="22"/>
  <c r="H82" i="22" s="1"/>
  <c r="H90" i="22" s="1"/>
  <c r="C75" i="22"/>
  <c r="H76" i="22" s="1"/>
  <c r="H92" i="22" s="1"/>
  <c r="C78" i="22"/>
  <c r="H79" i="22" s="1"/>
  <c r="H85" i="22" s="1"/>
  <c r="C78" i="32"/>
  <c r="H79" i="32" s="1"/>
  <c r="H85" i="32" s="1"/>
  <c r="C81" i="32"/>
  <c r="H82" i="32" s="1"/>
  <c r="H90" i="32" s="1"/>
  <c r="C75" i="32"/>
  <c r="H76" i="32" s="1"/>
  <c r="H92" i="32" s="1"/>
  <c r="H133" i="56"/>
  <c r="U126" i="56" s="1"/>
  <c r="C78" i="56"/>
  <c r="H79" i="56" s="1"/>
  <c r="H85" i="56" s="1"/>
  <c r="C81" i="56"/>
  <c r="H82" i="56" s="1"/>
  <c r="H90" i="56" s="1"/>
  <c r="C75" i="56"/>
  <c r="H76" i="56" s="1"/>
  <c r="H92" i="56" s="1"/>
  <c r="H133" i="33"/>
  <c r="U126" i="33" s="1"/>
  <c r="C75" i="33"/>
  <c r="H76" i="33" s="1"/>
  <c r="H92" i="33" s="1"/>
  <c r="C78" i="33"/>
  <c r="H79" i="33" s="1"/>
  <c r="H85" i="33" s="1"/>
  <c r="C81" i="33"/>
  <c r="H82" i="33" s="1"/>
  <c r="H90" i="33" s="1"/>
  <c r="H133" i="21"/>
  <c r="U126" i="21" s="1"/>
  <c r="C81" i="21"/>
  <c r="H82" i="21" s="1"/>
  <c r="H90" i="21" s="1"/>
  <c r="C78" i="21"/>
  <c r="H79" i="21" s="1"/>
  <c r="H85" i="21" s="1"/>
  <c r="C75" i="21"/>
  <c r="H76" i="21" s="1"/>
  <c r="H92" i="21" s="1"/>
  <c r="H133" i="35"/>
  <c r="U126" i="35" s="1"/>
  <c r="C75" i="35"/>
  <c r="H76" i="35" s="1"/>
  <c r="H92" i="35" s="1"/>
  <c r="C81" i="35"/>
  <c r="H82" i="35" s="1"/>
  <c r="H90" i="35" s="1"/>
  <c r="C78" i="35"/>
  <c r="H79" i="35" s="1"/>
  <c r="H85" i="35" s="1"/>
  <c r="H133" i="51"/>
  <c r="U126" i="51" s="1"/>
  <c r="C81" i="51"/>
  <c r="H82" i="51" s="1"/>
  <c r="H90" i="51" s="1"/>
  <c r="C78" i="51"/>
  <c r="H79" i="51" s="1"/>
  <c r="H85" i="51" s="1"/>
  <c r="C75" i="51"/>
  <c r="H76" i="51" s="1"/>
  <c r="H92" i="51" s="1"/>
  <c r="H133" i="70"/>
  <c r="U126" i="70" s="1"/>
  <c r="C81" i="70"/>
  <c r="H82" i="70" s="1"/>
  <c r="H90" i="70" s="1"/>
  <c r="C78" i="70"/>
  <c r="H79" i="70" s="1"/>
  <c r="H85" i="70" s="1"/>
  <c r="C75" i="70"/>
  <c r="H76" i="70" s="1"/>
  <c r="H92" i="70" s="1"/>
  <c r="H133" i="25"/>
  <c r="U126" i="25" s="1"/>
  <c r="C81" i="25"/>
  <c r="H82" i="25" s="1"/>
  <c r="H90" i="25" s="1"/>
  <c r="C75" i="25"/>
  <c r="H76" i="25" s="1"/>
  <c r="H92" i="25" s="1"/>
  <c r="C78" i="25"/>
  <c r="H79" i="25" s="1"/>
  <c r="H85" i="25" s="1"/>
  <c r="H133" i="48"/>
  <c r="U126" i="48" s="1"/>
  <c r="C75" i="48"/>
  <c r="H76" i="48" s="1"/>
  <c r="H92" i="48" s="1"/>
  <c r="C78" i="48"/>
  <c r="H79" i="48" s="1"/>
  <c r="H85" i="48" s="1"/>
  <c r="C81" i="48"/>
  <c r="H82" i="48" s="1"/>
  <c r="H90" i="48" s="1"/>
  <c r="H133" i="18"/>
  <c r="U126" i="18" s="1"/>
  <c r="C81" i="18"/>
  <c r="H82" i="18" s="1"/>
  <c r="H90" i="18" s="1"/>
  <c r="C78" i="18"/>
  <c r="H79" i="18" s="1"/>
  <c r="H85" i="18" s="1"/>
  <c r="C75" i="18"/>
  <c r="H76" i="18" s="1"/>
  <c r="H92" i="18" s="1"/>
  <c r="C75" i="7"/>
  <c r="C81" i="7"/>
  <c r="C78" i="7"/>
  <c r="H133" i="43"/>
  <c r="U126" i="43" s="1"/>
  <c r="C81" i="43"/>
  <c r="H82" i="43" s="1"/>
  <c r="H90" i="43" s="1"/>
  <c r="C75" i="43"/>
  <c r="H76" i="43" s="1"/>
  <c r="H92" i="43" s="1"/>
  <c r="C78" i="43"/>
  <c r="H79" i="43" s="1"/>
  <c r="H85" i="43" s="1"/>
  <c r="H133" i="16"/>
  <c r="U126" i="16" s="1"/>
  <c r="C78" i="16"/>
  <c r="H79" i="16" s="1"/>
  <c r="H85" i="16" s="1"/>
  <c r="C81" i="16"/>
  <c r="H82" i="16" s="1"/>
  <c r="H90" i="16" s="1"/>
  <c r="C75" i="16"/>
  <c r="H76" i="16" s="1"/>
  <c r="H92" i="16" s="1"/>
  <c r="H133" i="42"/>
  <c r="U126" i="42" s="1"/>
  <c r="C81" i="42"/>
  <c r="H82" i="42" s="1"/>
  <c r="H90" i="42" s="1"/>
  <c r="C78" i="42"/>
  <c r="H79" i="42" s="1"/>
  <c r="H85" i="42" s="1"/>
  <c r="C75" i="42"/>
  <c r="H76" i="42" s="1"/>
  <c r="H92" i="42" s="1"/>
  <c r="H133" i="37"/>
  <c r="U126" i="37" s="1"/>
  <c r="C78" i="37"/>
  <c r="H79" i="37" s="1"/>
  <c r="H85" i="37" s="1"/>
  <c r="C81" i="37"/>
  <c r="H82" i="37" s="1"/>
  <c r="H90" i="37" s="1"/>
  <c r="C75" i="37"/>
  <c r="H76" i="37" s="1"/>
  <c r="H92" i="37" s="1"/>
  <c r="H133" i="58"/>
  <c r="U126" i="58" s="1"/>
  <c r="C78" i="58"/>
  <c r="H79" i="58" s="1"/>
  <c r="H85" i="58" s="1"/>
  <c r="C81" i="58"/>
  <c r="H82" i="58" s="1"/>
  <c r="H90" i="58" s="1"/>
  <c r="C75" i="58"/>
  <c r="H76" i="58" s="1"/>
  <c r="H92" i="58" s="1"/>
  <c r="H133" i="68"/>
  <c r="U126" i="68" s="1"/>
  <c r="C78" i="68"/>
  <c r="H79" i="68" s="1"/>
  <c r="H85" i="68" s="1"/>
  <c r="C81" i="68"/>
  <c r="H82" i="68" s="1"/>
  <c r="H90" i="68" s="1"/>
  <c r="C75" i="68"/>
  <c r="H76" i="68" s="1"/>
  <c r="H92" i="68" s="1"/>
  <c r="C81" i="31"/>
  <c r="H82" i="31" s="1"/>
  <c r="H90" i="31" s="1"/>
  <c r="C75" i="31"/>
  <c r="H76" i="31" s="1"/>
  <c r="H92" i="31" s="1"/>
  <c r="C78" i="31"/>
  <c r="H79" i="31" s="1"/>
  <c r="H85" i="31" s="1"/>
  <c r="H133" i="47"/>
  <c r="U126" i="47" s="1"/>
  <c r="C81" i="47"/>
  <c r="H82" i="47" s="1"/>
  <c r="H90" i="47" s="1"/>
  <c r="C78" i="47"/>
  <c r="H79" i="47" s="1"/>
  <c r="H85" i="47" s="1"/>
  <c r="C75" i="47"/>
  <c r="H76" i="47" s="1"/>
  <c r="H92" i="47" s="1"/>
  <c r="H133" i="39"/>
  <c r="U126" i="39" s="1"/>
  <c r="C78" i="39"/>
  <c r="H79" i="39" s="1"/>
  <c r="H85" i="39" s="1"/>
  <c r="C81" i="39"/>
  <c r="H82" i="39" s="1"/>
  <c r="H90" i="39" s="1"/>
  <c r="C75" i="39"/>
  <c r="H76" i="39" s="1"/>
  <c r="H92" i="39" s="1"/>
  <c r="H133" i="71"/>
  <c r="U126" i="71" s="1"/>
  <c r="C81" i="71"/>
  <c r="H82" i="71" s="1"/>
  <c r="H90" i="71" s="1"/>
  <c r="C78" i="71"/>
  <c r="H79" i="71" s="1"/>
  <c r="H85" i="71" s="1"/>
  <c r="C75" i="71"/>
  <c r="H76" i="71" s="1"/>
  <c r="H92" i="71" s="1"/>
  <c r="C81" i="36"/>
  <c r="H82" i="36" s="1"/>
  <c r="H90" i="36" s="1"/>
  <c r="C78" i="36"/>
  <c r="H79" i="36" s="1"/>
  <c r="H85" i="36" s="1"/>
  <c r="C75" i="36"/>
  <c r="H76" i="36" s="1"/>
  <c r="H92" i="36" s="1"/>
  <c r="H133" i="34"/>
  <c r="C81" i="34"/>
  <c r="H82" i="34" s="1"/>
  <c r="H90" i="34" s="1"/>
  <c r="C75" i="34"/>
  <c r="H76" i="34" s="1"/>
  <c r="H92" i="34" s="1"/>
  <c r="C78" i="34"/>
  <c r="H79" i="34" s="1"/>
  <c r="H85" i="34" s="1"/>
  <c r="H133" i="69"/>
  <c r="U126" i="69" s="1"/>
  <c r="C75" i="69"/>
  <c r="H76" i="69" s="1"/>
  <c r="H92" i="69" s="1"/>
  <c r="C78" i="69"/>
  <c r="H79" i="69" s="1"/>
  <c r="H85" i="69" s="1"/>
  <c r="C81" i="69"/>
  <c r="H82" i="69" s="1"/>
  <c r="H90" i="69" s="1"/>
  <c r="H133" i="20"/>
  <c r="U126" i="20" s="1"/>
  <c r="C75" i="20"/>
  <c r="H76" i="20" s="1"/>
  <c r="H92" i="20" s="1"/>
  <c r="C81" i="20"/>
  <c r="H82" i="20" s="1"/>
  <c r="H90" i="20" s="1"/>
  <c r="C78" i="20"/>
  <c r="H79" i="20" s="1"/>
  <c r="H85" i="20" s="1"/>
  <c r="H133" i="27"/>
  <c r="U126" i="27" s="1"/>
  <c r="C75" i="27"/>
  <c r="H76" i="27" s="1"/>
  <c r="H92" i="27" s="1"/>
  <c r="C78" i="27"/>
  <c r="H79" i="27" s="1"/>
  <c r="H85" i="27" s="1"/>
  <c r="C81" i="27"/>
  <c r="H82" i="27" s="1"/>
  <c r="H90" i="27" s="1"/>
  <c r="H133" i="44"/>
  <c r="U126" i="44" s="1"/>
  <c r="C78" i="44"/>
  <c r="H79" i="44" s="1"/>
  <c r="H85" i="44" s="1"/>
  <c r="C81" i="44"/>
  <c r="H82" i="44" s="1"/>
  <c r="H90" i="44" s="1"/>
  <c r="C75" i="44"/>
  <c r="H76" i="44" s="1"/>
  <c r="H92" i="44" s="1"/>
  <c r="H133" i="52"/>
  <c r="C78" i="52"/>
  <c r="H79" i="52" s="1"/>
  <c r="H85" i="52" s="1"/>
  <c r="C81" i="52"/>
  <c r="H82" i="52" s="1"/>
  <c r="H90" i="52" s="1"/>
  <c r="C75" i="52"/>
  <c r="H76" i="52" s="1"/>
  <c r="H92" i="52" s="1"/>
  <c r="I29" i="17"/>
  <c r="I29" i="60" s="1"/>
  <c r="C104" i="52"/>
  <c r="H104" i="52" s="1"/>
  <c r="I14" i="52"/>
  <c r="I30" i="52" s="1"/>
  <c r="I23" i="16"/>
  <c r="I23" i="60" s="1"/>
  <c r="I25" i="16"/>
  <c r="I25" i="60" s="1"/>
  <c r="I40" i="60"/>
  <c r="C106" i="70"/>
  <c r="H106" i="70" s="1"/>
  <c r="C69" i="34"/>
  <c r="H70" i="34" s="1"/>
  <c r="I30" i="76"/>
  <c r="I30" i="71"/>
  <c r="I42" i="60"/>
  <c r="C106" i="78"/>
  <c r="H106" i="78" s="1"/>
  <c r="C105" i="57"/>
  <c r="H105" i="57" s="1"/>
  <c r="H30" i="76"/>
  <c r="C105" i="76"/>
  <c r="H105" i="76" s="1"/>
  <c r="C106" i="52"/>
  <c r="H106" i="52" s="1"/>
  <c r="H30" i="52"/>
  <c r="O39" i="72"/>
  <c r="C69" i="52"/>
  <c r="H70" i="52" s="1"/>
  <c r="H98" i="52" s="1"/>
  <c r="I98" i="52" s="1"/>
  <c r="O23" i="72"/>
  <c r="H133" i="32"/>
  <c r="U126" i="32" s="1"/>
  <c r="C69" i="32"/>
  <c r="H70" i="32" s="1"/>
  <c r="H98" i="32" s="1"/>
  <c r="I98" i="32" s="1"/>
  <c r="C105" i="68"/>
  <c r="H105" i="68" s="1"/>
  <c r="C106" i="32"/>
  <c r="H106" i="32" s="1"/>
  <c r="C105" i="71"/>
  <c r="H105" i="71" s="1"/>
  <c r="H30" i="71"/>
  <c r="O54" i="72"/>
  <c r="H133" i="30"/>
  <c r="U126" i="30" s="1"/>
  <c r="C104" i="21"/>
  <c r="H104" i="21" s="1"/>
  <c r="I41" i="60"/>
  <c r="C105" i="36"/>
  <c r="H105" i="36" s="1"/>
  <c r="C105" i="58"/>
  <c r="H105" i="58" s="1"/>
  <c r="C104" i="48"/>
  <c r="H104" i="48" s="1"/>
  <c r="C105" i="50"/>
  <c r="H105" i="50" s="1"/>
  <c r="C105" i="75"/>
  <c r="H105" i="75" s="1"/>
  <c r="I44" i="60"/>
  <c r="C106" i="36"/>
  <c r="H106" i="36" s="1"/>
  <c r="H30" i="21"/>
  <c r="C105" i="77"/>
  <c r="H105" i="77" s="1"/>
  <c r="C106" i="22"/>
  <c r="H106" i="22" s="1"/>
  <c r="C106" i="28"/>
  <c r="H106" i="28" s="1"/>
  <c r="C104" i="34"/>
  <c r="H104" i="34" s="1"/>
  <c r="C105" i="24"/>
  <c r="H105" i="24" s="1"/>
  <c r="I30" i="40"/>
  <c r="C106" i="24"/>
  <c r="H106" i="24" s="1"/>
  <c r="C106" i="31"/>
  <c r="H106" i="31" s="1"/>
  <c r="C105" i="22"/>
  <c r="H105" i="22" s="1"/>
  <c r="C105" i="28"/>
  <c r="H105" i="28" s="1"/>
  <c r="C105" i="45"/>
  <c r="H105" i="45" s="1"/>
  <c r="C69" i="35"/>
  <c r="H70" i="35" s="1"/>
  <c r="H98" i="35" s="1"/>
  <c r="I98" i="35" s="1"/>
  <c r="O24" i="72"/>
  <c r="H30" i="58"/>
  <c r="I30" i="58"/>
  <c r="C104" i="58"/>
  <c r="C69" i="40"/>
  <c r="H70" i="40" s="1"/>
  <c r="H98" i="40" s="1"/>
  <c r="I98" i="40" s="1"/>
  <c r="O30" i="72"/>
  <c r="I30" i="68"/>
  <c r="C104" i="68"/>
  <c r="H30" i="68"/>
  <c r="I39" i="60"/>
  <c r="I30" i="55"/>
  <c r="C106" i="16"/>
  <c r="H106" i="16" s="1"/>
  <c r="C69" i="33"/>
  <c r="H70" i="33" s="1"/>
  <c r="H98" i="33" s="1"/>
  <c r="I98" i="33" s="1"/>
  <c r="O22" i="72"/>
  <c r="I30" i="34"/>
  <c r="C105" i="35"/>
  <c r="I30" i="35"/>
  <c r="H30" i="35"/>
  <c r="C106" i="25"/>
  <c r="H106" i="25" s="1"/>
  <c r="C106" i="23"/>
  <c r="H106" i="23" s="1"/>
  <c r="H30" i="66"/>
  <c r="C104" i="66"/>
  <c r="H30" i="70"/>
  <c r="C104" i="70"/>
  <c r="H30" i="25"/>
  <c r="I30" i="25"/>
  <c r="C104" i="25"/>
  <c r="H30" i="50"/>
  <c r="I30" i="50"/>
  <c r="C104" i="50"/>
  <c r="C106" i="37"/>
  <c r="H106" i="37" s="1"/>
  <c r="C69" i="55"/>
  <c r="H70" i="55" s="1"/>
  <c r="H98" i="55" s="1"/>
  <c r="I98" i="55" s="1"/>
  <c r="O42" i="72"/>
  <c r="C105" i="20"/>
  <c r="H105" i="20" s="1"/>
  <c r="C69" i="66"/>
  <c r="H70" i="66" s="1"/>
  <c r="H98" i="66" s="1"/>
  <c r="I98" i="66" s="1"/>
  <c r="E34" i="62"/>
  <c r="E38" i="62" s="1"/>
  <c r="C69" i="7"/>
  <c r="C106" i="50"/>
  <c r="H106" i="50" s="1"/>
  <c r="C105" i="70"/>
  <c r="H105" i="70" s="1"/>
  <c r="C69" i="70"/>
  <c r="H70" i="70" s="1"/>
  <c r="H98" i="70" s="1"/>
  <c r="I98" i="70" s="1"/>
  <c r="O49" i="72"/>
  <c r="C69" i="25"/>
  <c r="H70" i="25" s="1"/>
  <c r="H98" i="25" s="1"/>
  <c r="I98" i="25" s="1"/>
  <c r="O14" i="72"/>
  <c r="H30" i="17"/>
  <c r="C104" i="17"/>
  <c r="C69" i="50"/>
  <c r="H70" i="50" s="1"/>
  <c r="H98" i="50" s="1"/>
  <c r="I98" i="50" s="1"/>
  <c r="O37" i="72"/>
  <c r="C69" i="31"/>
  <c r="H70" i="31" s="1"/>
  <c r="H98" i="31" s="1"/>
  <c r="I98" i="31" s="1"/>
  <c r="C69" i="45"/>
  <c r="H70" i="45" s="1"/>
  <c r="H98" i="45" s="1"/>
  <c r="I98" i="45" s="1"/>
  <c r="O34" i="72"/>
  <c r="H30" i="23"/>
  <c r="C104" i="23"/>
  <c r="C69" i="18"/>
  <c r="H70" i="18" s="1"/>
  <c r="H98" i="18" s="1"/>
  <c r="I98" i="18" s="1"/>
  <c r="O11" i="72"/>
  <c r="I30" i="27"/>
  <c r="C104" i="27"/>
  <c r="H30" i="27"/>
  <c r="I30" i="56"/>
  <c r="O10" i="72"/>
  <c r="C69" i="17"/>
  <c r="H70" i="17" s="1"/>
  <c r="H98" i="17" s="1"/>
  <c r="I98" i="17" s="1"/>
  <c r="C106" i="45"/>
  <c r="H106" i="45" s="1"/>
  <c r="C105" i="25"/>
  <c r="H105" i="25" s="1"/>
  <c r="H30" i="31"/>
  <c r="I30" i="31"/>
  <c r="C104" i="31"/>
  <c r="I30" i="42"/>
  <c r="H30" i="42"/>
  <c r="C104" i="42"/>
  <c r="H30" i="75"/>
  <c r="I30" i="75"/>
  <c r="C104" i="75"/>
  <c r="C104" i="30"/>
  <c r="H30" i="30"/>
  <c r="C69" i="69"/>
  <c r="H70" i="69" s="1"/>
  <c r="H98" i="69" s="1"/>
  <c r="I98" i="69" s="1"/>
  <c r="O48" i="72"/>
  <c r="H30" i="45"/>
  <c r="I30" i="45"/>
  <c r="C104" i="45"/>
  <c r="C69" i="23"/>
  <c r="H70" i="23" s="1"/>
  <c r="H98" i="23" s="1"/>
  <c r="I98" i="23" s="1"/>
  <c r="O25" i="72"/>
  <c r="H30" i="78"/>
  <c r="I30" i="78"/>
  <c r="C104" i="78"/>
  <c r="C69" i="51"/>
  <c r="H70" i="51" s="1"/>
  <c r="H98" i="51" s="1"/>
  <c r="I98" i="51" s="1"/>
  <c r="O38" i="72"/>
  <c r="C69" i="28"/>
  <c r="H70" i="28" s="1"/>
  <c r="H98" i="28" s="1"/>
  <c r="I98" i="28" s="1"/>
  <c r="O19" i="72"/>
  <c r="C69" i="56"/>
  <c r="H70" i="56" s="1"/>
  <c r="H98" i="56" s="1"/>
  <c r="I98" i="56" s="1"/>
  <c r="O43" i="72"/>
  <c r="C105" i="38"/>
  <c r="H105" i="38" s="1"/>
  <c r="C69" i="42"/>
  <c r="H70" i="42" s="1"/>
  <c r="H98" i="42" s="1"/>
  <c r="I98" i="42" s="1"/>
  <c r="O31" i="72"/>
  <c r="C69" i="75"/>
  <c r="H70" i="75" s="1"/>
  <c r="H98" i="75" s="1"/>
  <c r="I98" i="75" s="1"/>
  <c r="O40" i="72"/>
  <c r="H70" i="30"/>
  <c r="H98" i="30" s="1"/>
  <c r="I98" i="30" s="1"/>
  <c r="C69" i="24"/>
  <c r="H70" i="24" s="1"/>
  <c r="H98" i="24" s="1"/>
  <c r="I98" i="24" s="1"/>
  <c r="O15" i="72"/>
  <c r="C105" i="32"/>
  <c r="H105" i="32" s="1"/>
  <c r="C69" i="27"/>
  <c r="H70" i="27" s="1"/>
  <c r="H98" i="27" s="1"/>
  <c r="I98" i="27" s="1"/>
  <c r="O18" i="72"/>
  <c r="C69" i="44"/>
  <c r="H70" i="44" s="1"/>
  <c r="H98" i="44" s="1"/>
  <c r="I98" i="44" s="1"/>
  <c r="C105" i="67"/>
  <c r="H105" i="67" s="1"/>
  <c r="C69" i="78"/>
  <c r="H70" i="78" s="1"/>
  <c r="H98" i="78" s="1"/>
  <c r="I98" i="78" s="1"/>
  <c r="O53" i="72"/>
  <c r="C105" i="66"/>
  <c r="H105" i="66" s="1"/>
  <c r="C105" i="31"/>
  <c r="H105" i="31" s="1"/>
  <c r="C106" i="77"/>
  <c r="H106" i="77" s="1"/>
  <c r="H30" i="51"/>
  <c r="I30" i="51"/>
  <c r="C104" i="51"/>
  <c r="C104" i="16"/>
  <c r="H30" i="16"/>
  <c r="I30" i="28"/>
  <c r="C104" i="28"/>
  <c r="H30" i="28"/>
  <c r="E30" i="60"/>
  <c r="C69" i="39"/>
  <c r="H70" i="39" s="1"/>
  <c r="H98" i="39" s="1"/>
  <c r="I98" i="39" s="1"/>
  <c r="O29" i="72"/>
  <c r="I30" i="24"/>
  <c r="C104" i="24"/>
  <c r="H30" i="24"/>
  <c r="C106" i="67"/>
  <c r="H106" i="67" s="1"/>
  <c r="H30" i="26"/>
  <c r="C104" i="26"/>
  <c r="I30" i="44"/>
  <c r="C105" i="44"/>
  <c r="H105" i="44" s="1"/>
  <c r="H30" i="44"/>
  <c r="H30" i="77"/>
  <c r="I30" i="77"/>
  <c r="C104" i="77"/>
  <c r="C69" i="16"/>
  <c r="O9" i="72"/>
  <c r="C69" i="47"/>
  <c r="H70" i="47" s="1"/>
  <c r="H98" i="47" s="1"/>
  <c r="I98" i="47" s="1"/>
  <c r="O35" i="72"/>
  <c r="I30" i="21"/>
  <c r="C106" i="21"/>
  <c r="H106" i="21" s="1"/>
  <c r="C106" i="20"/>
  <c r="H106" i="20" s="1"/>
  <c r="C69" i="37"/>
  <c r="H70" i="37" s="1"/>
  <c r="H98" i="37" s="1"/>
  <c r="I98" i="37" s="1"/>
  <c r="O27" i="72"/>
  <c r="C69" i="26"/>
  <c r="H70" i="26" s="1"/>
  <c r="H98" i="26" s="1"/>
  <c r="I98" i="26" s="1"/>
  <c r="O17" i="72"/>
  <c r="C69" i="43"/>
  <c r="H70" i="43" s="1"/>
  <c r="H98" i="43" s="1"/>
  <c r="I98" i="43" s="1"/>
  <c r="O32" i="72"/>
  <c r="H30" i="38"/>
  <c r="I30" i="38"/>
  <c r="C104" i="38"/>
  <c r="C105" i="21"/>
  <c r="H105" i="21" s="1"/>
  <c r="C105" i="78"/>
  <c r="H105" i="78" s="1"/>
  <c r="C105" i="30"/>
  <c r="H105" i="30" s="1"/>
  <c r="C69" i="77"/>
  <c r="H70" i="77" s="1"/>
  <c r="H98" i="77" s="1"/>
  <c r="I98" i="77" s="1"/>
  <c r="O52" i="72"/>
  <c r="H30" i="40"/>
  <c r="I30" i="47"/>
  <c r="H30" i="47"/>
  <c r="C104" i="47"/>
  <c r="C105" i="37"/>
  <c r="H105" i="37" s="1"/>
  <c r="C69" i="67"/>
  <c r="H70" i="67" s="1"/>
  <c r="H98" i="67" s="1"/>
  <c r="I98" i="67" s="1"/>
  <c r="O47" i="72"/>
  <c r="H30" i="37"/>
  <c r="I30" i="37"/>
  <c r="C104" i="37"/>
  <c r="C69" i="38"/>
  <c r="H70" i="38" s="1"/>
  <c r="H98" i="38" s="1"/>
  <c r="I98" i="38" s="1"/>
  <c r="O28" i="72"/>
  <c r="H30" i="7"/>
  <c r="C106" i="17"/>
  <c r="H106" i="17" s="1"/>
  <c r="C106" i="66"/>
  <c r="H106" i="66" s="1"/>
  <c r="C105" i="40"/>
  <c r="H105" i="40" s="1"/>
  <c r="C104" i="67"/>
  <c r="H30" i="67"/>
  <c r="H30" i="32"/>
  <c r="C104" i="32"/>
  <c r="C105" i="18"/>
  <c r="H105" i="18" s="1"/>
  <c r="I30" i="36"/>
  <c r="C104" i="36"/>
  <c r="H30" i="36"/>
  <c r="C69" i="48"/>
  <c r="H70" i="48" s="1"/>
  <c r="H98" i="48" s="1"/>
  <c r="I98" i="48" s="1"/>
  <c r="O36" i="72"/>
  <c r="H30" i="20"/>
  <c r="C69" i="76"/>
  <c r="H70" i="76" s="1"/>
  <c r="H98" i="76" s="1"/>
  <c r="I98" i="76" s="1"/>
  <c r="O41" i="72"/>
  <c r="C69" i="71"/>
  <c r="H70" i="71" s="1"/>
  <c r="H98" i="71" s="1"/>
  <c r="I98" i="71" s="1"/>
  <c r="O50" i="72"/>
  <c r="C106" i="18"/>
  <c r="H106" i="18" s="1"/>
  <c r="C104" i="57"/>
  <c r="H30" i="57"/>
  <c r="I30" i="57"/>
  <c r="I30" i="69"/>
  <c r="C105" i="69"/>
  <c r="H30" i="69"/>
  <c r="C69" i="22"/>
  <c r="H70" i="22" s="1"/>
  <c r="H98" i="22" s="1"/>
  <c r="I98" i="22" s="1"/>
  <c r="O16" i="72"/>
  <c r="I30" i="39"/>
  <c r="C104" i="39"/>
  <c r="H30" i="39"/>
  <c r="C106" i="58"/>
  <c r="H106" i="58" s="1"/>
  <c r="O21" i="72"/>
  <c r="H30" i="18"/>
  <c r="C104" i="18"/>
  <c r="H30" i="55"/>
  <c r="C106" i="38"/>
  <c r="H106" i="38" s="1"/>
  <c r="C69" i="36"/>
  <c r="H70" i="36" s="1"/>
  <c r="H98" i="36" s="1"/>
  <c r="I98" i="36" s="1"/>
  <c r="O26" i="72"/>
  <c r="I30" i="48"/>
  <c r="C106" i="48"/>
  <c r="H106" i="48" s="1"/>
  <c r="C105" i="26"/>
  <c r="H105" i="26" s="1"/>
  <c r="H30" i="48"/>
  <c r="I124" i="7"/>
  <c r="H30" i="34"/>
  <c r="E45" i="60"/>
  <c r="C69" i="21"/>
  <c r="H70" i="21" s="1"/>
  <c r="H98" i="21" s="1"/>
  <c r="I98" i="21" s="1"/>
  <c r="O13" i="72"/>
  <c r="C69" i="20"/>
  <c r="H70" i="20" s="1"/>
  <c r="H98" i="20" s="1"/>
  <c r="I98" i="20" s="1"/>
  <c r="O12" i="72"/>
  <c r="C69" i="58"/>
  <c r="H70" i="58" s="1"/>
  <c r="H98" i="58" s="1"/>
  <c r="I98" i="58" s="1"/>
  <c r="O45" i="72"/>
  <c r="C69" i="57"/>
  <c r="H70" i="57" s="1"/>
  <c r="H98" i="57" s="1"/>
  <c r="I98" i="57" s="1"/>
  <c r="O44" i="72"/>
  <c r="H30" i="22"/>
  <c r="C104" i="22"/>
  <c r="I30" i="22"/>
  <c r="C69" i="68"/>
  <c r="H70" i="68" s="1"/>
  <c r="H98" i="68" s="1"/>
  <c r="I98" i="68" s="1"/>
  <c r="O51" i="72"/>
  <c r="C106" i="40"/>
  <c r="H106" i="40" s="1"/>
  <c r="C106" i="26"/>
  <c r="H106" i="26" s="1"/>
  <c r="C104" i="55"/>
  <c r="I17" i="60" l="1"/>
  <c r="C106" i="60"/>
  <c r="C107" i="60"/>
  <c r="H104" i="7"/>
  <c r="C107" i="7"/>
  <c r="C105" i="60"/>
  <c r="U126" i="17"/>
  <c r="P19" i="17"/>
  <c r="H107" i="60"/>
  <c r="C77" i="60"/>
  <c r="H78" i="60" s="1"/>
  <c r="H93" i="60" s="1"/>
  <c r="K93" i="60" s="1"/>
  <c r="O56" i="72"/>
  <c r="C71" i="60"/>
  <c r="H72" i="60" s="1"/>
  <c r="C80" i="60"/>
  <c r="H81" i="60" s="1"/>
  <c r="H86" i="60" s="1"/>
  <c r="K86" i="60" s="1"/>
  <c r="C83" i="60"/>
  <c r="H84" i="60" s="1"/>
  <c r="H91" i="60" s="1"/>
  <c r="K91" i="60" s="1"/>
  <c r="C107" i="56"/>
  <c r="I14" i="60"/>
  <c r="H70" i="16"/>
  <c r="H88" i="16" s="1"/>
  <c r="I88" i="16" s="1"/>
  <c r="H88" i="34"/>
  <c r="I88" i="34" s="1"/>
  <c r="H98" i="34"/>
  <c r="I98" i="34" s="1"/>
  <c r="E46" i="43"/>
  <c r="C107" i="33"/>
  <c r="I107" i="33"/>
  <c r="C72" i="33"/>
  <c r="H73" i="33" s="1"/>
  <c r="I107" i="34"/>
  <c r="U126" i="7"/>
  <c r="E8" i="72"/>
  <c r="P42" i="52"/>
  <c r="U42" i="52" s="1"/>
  <c r="U126" i="52"/>
  <c r="P16" i="34"/>
  <c r="T16" i="34" s="1"/>
  <c r="U16" i="34" s="1"/>
  <c r="U126" i="34"/>
  <c r="I107" i="43"/>
  <c r="E46" i="56"/>
  <c r="H73" i="56" s="1"/>
  <c r="H94" i="56" s="1"/>
  <c r="I94" i="56" s="1"/>
  <c r="P38" i="34"/>
  <c r="U38" i="34" s="1"/>
  <c r="P41" i="52"/>
  <c r="U41" i="52" s="1"/>
  <c r="P14" i="34"/>
  <c r="T14" i="34" s="1"/>
  <c r="U14" i="34" s="1"/>
  <c r="P29" i="52"/>
  <c r="T29" i="52" s="1"/>
  <c r="U29" i="52" s="1"/>
  <c r="P40" i="34"/>
  <c r="U40" i="34" s="1"/>
  <c r="P113" i="34"/>
  <c r="U113" i="34" s="1"/>
  <c r="P43" i="34"/>
  <c r="U43" i="34" s="1"/>
  <c r="P23" i="34"/>
  <c r="T23" i="34" s="1"/>
  <c r="U23" i="34" s="1"/>
  <c r="P43" i="52"/>
  <c r="U43" i="52" s="1"/>
  <c r="P39" i="34"/>
  <c r="U39" i="34" s="1"/>
  <c r="P20" i="52"/>
  <c r="T20" i="52" s="1"/>
  <c r="U20" i="52" s="1"/>
  <c r="P21" i="34"/>
  <c r="T21" i="34" s="1"/>
  <c r="U21" i="34" s="1"/>
  <c r="P25" i="52"/>
  <c r="T25" i="52" s="1"/>
  <c r="U25" i="52" s="1"/>
  <c r="H104" i="56"/>
  <c r="I107" i="56" s="1"/>
  <c r="P123" i="34"/>
  <c r="U123" i="34" s="1"/>
  <c r="P17" i="52"/>
  <c r="T17" i="52" s="1"/>
  <c r="U17" i="52" s="1"/>
  <c r="P26" i="34"/>
  <c r="T26" i="34" s="1"/>
  <c r="U26" i="34" s="1"/>
  <c r="P121" i="52"/>
  <c r="U121" i="52" s="1"/>
  <c r="E54" i="72"/>
  <c r="V54" i="72" s="1"/>
  <c r="P113" i="52"/>
  <c r="U113" i="52" s="1"/>
  <c r="E39" i="72"/>
  <c r="V39" i="72" s="1"/>
  <c r="H30" i="60"/>
  <c r="E47" i="60" s="1"/>
  <c r="P41" i="34"/>
  <c r="U41" i="34" s="1"/>
  <c r="P21" i="52"/>
  <c r="T21" i="52" s="1"/>
  <c r="U21" i="52" s="1"/>
  <c r="P15" i="34"/>
  <c r="T15" i="34" s="1"/>
  <c r="U15" i="34" s="1"/>
  <c r="P19" i="52"/>
  <c r="T19" i="52" s="1"/>
  <c r="U19" i="52" s="1"/>
  <c r="H79" i="7"/>
  <c r="H85" i="7" s="1"/>
  <c r="I85" i="7" s="1"/>
  <c r="H76" i="7"/>
  <c r="H92" i="7" s="1"/>
  <c r="I92" i="7" s="1"/>
  <c r="H70" i="7"/>
  <c r="H105" i="7"/>
  <c r="H106" i="60" s="1"/>
  <c r="H82" i="7"/>
  <c r="H90" i="7" s="1"/>
  <c r="I90" i="7" s="1"/>
  <c r="I46" i="76"/>
  <c r="I46" i="39"/>
  <c r="P121" i="34"/>
  <c r="U121" i="34" s="1"/>
  <c r="P24" i="34"/>
  <c r="T24" i="34" s="1"/>
  <c r="U24" i="34" s="1"/>
  <c r="I46" i="47"/>
  <c r="C107" i="43"/>
  <c r="I46" i="51"/>
  <c r="P14" i="52"/>
  <c r="P23" i="52"/>
  <c r="T23" i="52" s="1"/>
  <c r="U23" i="52" s="1"/>
  <c r="I46" i="56"/>
  <c r="I46" i="48"/>
  <c r="I46" i="37"/>
  <c r="P42" i="34"/>
  <c r="U42" i="34" s="1"/>
  <c r="P29" i="34"/>
  <c r="T29" i="34" s="1"/>
  <c r="U29" i="34" s="1"/>
  <c r="P22" i="52"/>
  <c r="T22" i="52" s="1"/>
  <c r="U22" i="52" s="1"/>
  <c r="P18" i="52"/>
  <c r="T18" i="52" s="1"/>
  <c r="U18" i="52" s="1"/>
  <c r="I46" i="50"/>
  <c r="I46" i="24"/>
  <c r="I46" i="27"/>
  <c r="P28" i="34"/>
  <c r="T28" i="34" s="1"/>
  <c r="U28" i="34" s="1"/>
  <c r="P22" i="34"/>
  <c r="T22" i="34" s="1"/>
  <c r="U22" i="34" s="1"/>
  <c r="P122" i="52"/>
  <c r="U122" i="52" s="1"/>
  <c r="P27" i="52"/>
  <c r="T27" i="52" s="1"/>
  <c r="U27" i="52" s="1"/>
  <c r="P39" i="52"/>
  <c r="U39" i="52" s="1"/>
  <c r="I46" i="35"/>
  <c r="P17" i="34"/>
  <c r="T17" i="34" s="1"/>
  <c r="U17" i="34" s="1"/>
  <c r="I46" i="77"/>
  <c r="P26" i="52"/>
  <c r="T26" i="52" s="1"/>
  <c r="U26" i="52" s="1"/>
  <c r="P123" i="52"/>
  <c r="U123" i="52" s="1"/>
  <c r="P28" i="52"/>
  <c r="T28" i="52" s="1"/>
  <c r="U28" i="52" s="1"/>
  <c r="I46" i="45"/>
  <c r="I46" i="42"/>
  <c r="I46" i="25"/>
  <c r="I46" i="68"/>
  <c r="I46" i="69"/>
  <c r="I46" i="34"/>
  <c r="I46" i="57"/>
  <c r="E23" i="72"/>
  <c r="V23" i="72" s="1"/>
  <c r="P122" i="34"/>
  <c r="U122" i="34" s="1"/>
  <c r="P27" i="34"/>
  <c r="T27" i="34" s="1"/>
  <c r="U27" i="34" s="1"/>
  <c r="P16" i="52"/>
  <c r="T16" i="52" s="1"/>
  <c r="U16" i="52" s="1"/>
  <c r="P40" i="52"/>
  <c r="U40" i="52" s="1"/>
  <c r="I46" i="31"/>
  <c r="I46" i="52"/>
  <c r="I46" i="40"/>
  <c r="I46" i="36"/>
  <c r="I46" i="22"/>
  <c r="I46" i="44"/>
  <c r="I46" i="28"/>
  <c r="P19" i="34"/>
  <c r="T19" i="34" s="1"/>
  <c r="U19" i="34" s="1"/>
  <c r="P15" i="52"/>
  <c r="T15" i="52" s="1"/>
  <c r="U15" i="52" s="1"/>
  <c r="I46" i="55"/>
  <c r="P25" i="34"/>
  <c r="T25" i="34" s="1"/>
  <c r="U25" i="34" s="1"/>
  <c r="P20" i="34"/>
  <c r="T20" i="34" s="1"/>
  <c r="U20" i="34" s="1"/>
  <c r="I46" i="21"/>
  <c r="P38" i="52"/>
  <c r="U38" i="52" s="1"/>
  <c r="I46" i="58"/>
  <c r="P18" i="34"/>
  <c r="T18" i="34" s="1"/>
  <c r="U18" i="34" s="1"/>
  <c r="I46" i="38"/>
  <c r="P24" i="52"/>
  <c r="T24" i="52" s="1"/>
  <c r="U24" i="52" s="1"/>
  <c r="I46" i="78"/>
  <c r="I46" i="71"/>
  <c r="E46" i="7"/>
  <c r="C72" i="7"/>
  <c r="E46" i="34"/>
  <c r="C72" i="34"/>
  <c r="E46" i="24"/>
  <c r="C72" i="24"/>
  <c r="E46" i="42"/>
  <c r="C72" i="42"/>
  <c r="E46" i="71"/>
  <c r="C72" i="71"/>
  <c r="E46" i="76"/>
  <c r="C72" i="76"/>
  <c r="E46" i="22"/>
  <c r="C72" i="22"/>
  <c r="E46" i="48"/>
  <c r="C72" i="48"/>
  <c r="E46" i="39"/>
  <c r="C72" i="39"/>
  <c r="E46" i="40"/>
  <c r="C72" i="40"/>
  <c r="E46" i="51"/>
  <c r="C72" i="51"/>
  <c r="E46" i="45"/>
  <c r="C72" i="45"/>
  <c r="E46" i="17"/>
  <c r="C72" i="17"/>
  <c r="E46" i="25"/>
  <c r="C72" i="25"/>
  <c r="E46" i="38"/>
  <c r="C72" i="38"/>
  <c r="E46" i="31"/>
  <c r="C72" i="31"/>
  <c r="E46" i="23"/>
  <c r="C72" i="23"/>
  <c r="E46" i="70"/>
  <c r="C72" i="70"/>
  <c r="E46" i="21"/>
  <c r="C72" i="21"/>
  <c r="E46" i="20"/>
  <c r="C72" i="20"/>
  <c r="E46" i="77"/>
  <c r="C72" i="77"/>
  <c r="E46" i="30"/>
  <c r="C72" i="30"/>
  <c r="E46" i="69"/>
  <c r="C72" i="69"/>
  <c r="E46" i="44"/>
  <c r="C72" i="44"/>
  <c r="E46" i="28"/>
  <c r="C72" i="28"/>
  <c r="E46" i="68"/>
  <c r="C72" i="68"/>
  <c r="E46" i="58"/>
  <c r="C72" i="58"/>
  <c r="E46" i="37"/>
  <c r="C72" i="37"/>
  <c r="E46" i="35"/>
  <c r="C72" i="35"/>
  <c r="E46" i="78"/>
  <c r="C72" i="78"/>
  <c r="E46" i="66"/>
  <c r="C72" i="66"/>
  <c r="H73" i="43"/>
  <c r="E46" i="47"/>
  <c r="C72" i="47"/>
  <c r="E46" i="50"/>
  <c r="C72" i="50"/>
  <c r="E46" i="36"/>
  <c r="C72" i="36"/>
  <c r="E46" i="32"/>
  <c r="C72" i="32"/>
  <c r="H73" i="32" s="1"/>
  <c r="E46" i="16"/>
  <c r="C72" i="16"/>
  <c r="E46" i="52"/>
  <c r="C72" i="52"/>
  <c r="E46" i="55"/>
  <c r="C72" i="55"/>
  <c r="E46" i="18"/>
  <c r="C72" i="18"/>
  <c r="E46" i="57"/>
  <c r="C72" i="57"/>
  <c r="E46" i="67"/>
  <c r="C72" i="67"/>
  <c r="E46" i="26"/>
  <c r="C72" i="26"/>
  <c r="E46" i="75"/>
  <c r="C72" i="75"/>
  <c r="E46" i="27"/>
  <c r="C72" i="27"/>
  <c r="I30" i="16"/>
  <c r="I51" i="33"/>
  <c r="I52" i="33"/>
  <c r="I52" i="43"/>
  <c r="I51" i="43"/>
  <c r="I85" i="34"/>
  <c r="I92" i="34"/>
  <c r="I90" i="34"/>
  <c r="I90" i="52"/>
  <c r="I107" i="71"/>
  <c r="I30" i="32"/>
  <c r="C107" i="71"/>
  <c r="I107" i="52"/>
  <c r="C107" i="52"/>
  <c r="C107" i="76"/>
  <c r="I92" i="52"/>
  <c r="I85" i="52"/>
  <c r="H88" i="52"/>
  <c r="I88" i="52" s="1"/>
  <c r="I107" i="76"/>
  <c r="I45" i="60"/>
  <c r="I30" i="7"/>
  <c r="C107" i="34"/>
  <c r="I46" i="75"/>
  <c r="I30" i="67"/>
  <c r="C107" i="21"/>
  <c r="I107" i="44"/>
  <c r="I30" i="70"/>
  <c r="I30" i="20"/>
  <c r="I107" i="40"/>
  <c r="I107" i="48"/>
  <c r="C107" i="22"/>
  <c r="H104" i="22"/>
  <c r="I107" i="22" s="1"/>
  <c r="P14" i="76"/>
  <c r="P29" i="76"/>
  <c r="T29" i="76" s="1"/>
  <c r="U29" i="76" s="1"/>
  <c r="P24" i="76"/>
  <c r="T24" i="76" s="1"/>
  <c r="U24" i="76" s="1"/>
  <c r="P38" i="76"/>
  <c r="U38" i="76" s="1"/>
  <c r="P41" i="76"/>
  <c r="U41" i="76" s="1"/>
  <c r="P19" i="76"/>
  <c r="T19" i="76" s="1"/>
  <c r="U19" i="76" s="1"/>
  <c r="P122" i="76"/>
  <c r="U122" i="76" s="1"/>
  <c r="P16" i="76"/>
  <c r="T16" i="76" s="1"/>
  <c r="U16" i="76" s="1"/>
  <c r="P26" i="76"/>
  <c r="T26" i="76" s="1"/>
  <c r="U26" i="76" s="1"/>
  <c r="P21" i="76"/>
  <c r="T21" i="76" s="1"/>
  <c r="U21" i="76" s="1"/>
  <c r="P28" i="76"/>
  <c r="T28" i="76" s="1"/>
  <c r="U28" i="76" s="1"/>
  <c r="P39" i="76"/>
  <c r="U39" i="76" s="1"/>
  <c r="P42" i="76"/>
  <c r="U42" i="76" s="1"/>
  <c r="P18" i="76"/>
  <c r="T18" i="76" s="1"/>
  <c r="U18" i="76" s="1"/>
  <c r="P23" i="76"/>
  <c r="T23" i="76" s="1"/>
  <c r="U23" i="76" s="1"/>
  <c r="P121" i="76"/>
  <c r="U121" i="76" s="1"/>
  <c r="P15" i="76"/>
  <c r="T15" i="76" s="1"/>
  <c r="U15" i="76" s="1"/>
  <c r="P25" i="76"/>
  <c r="T25" i="76" s="1"/>
  <c r="U25" i="76" s="1"/>
  <c r="P27" i="76"/>
  <c r="T27" i="76" s="1"/>
  <c r="U27" i="76" s="1"/>
  <c r="P20" i="76"/>
  <c r="T20" i="76" s="1"/>
  <c r="U20" i="76" s="1"/>
  <c r="P40" i="76"/>
  <c r="U40" i="76" s="1"/>
  <c r="P17" i="76"/>
  <c r="T17" i="76" s="1"/>
  <c r="U17" i="76" s="1"/>
  <c r="P43" i="76"/>
  <c r="U43" i="76" s="1"/>
  <c r="P113" i="76"/>
  <c r="U113" i="76" s="1"/>
  <c r="P22" i="76"/>
  <c r="T22" i="76" s="1"/>
  <c r="U22" i="76" s="1"/>
  <c r="P123" i="76"/>
  <c r="U123" i="76" s="1"/>
  <c r="E41" i="72"/>
  <c r="V41" i="72" s="1"/>
  <c r="C107" i="44"/>
  <c r="I85" i="24"/>
  <c r="I90" i="24"/>
  <c r="I92" i="24"/>
  <c r="H88" i="24"/>
  <c r="I88" i="24" s="1"/>
  <c r="P18" i="70"/>
  <c r="T18" i="70" s="1"/>
  <c r="U18" i="70" s="1"/>
  <c r="P23" i="70"/>
  <c r="T23" i="70" s="1"/>
  <c r="U23" i="70" s="1"/>
  <c r="P121" i="70"/>
  <c r="U121" i="70" s="1"/>
  <c r="P15" i="70"/>
  <c r="T15" i="70" s="1"/>
  <c r="U15" i="70" s="1"/>
  <c r="P25" i="70"/>
  <c r="T25" i="70" s="1"/>
  <c r="U25" i="70" s="1"/>
  <c r="P19" i="70"/>
  <c r="T19" i="70" s="1"/>
  <c r="U19" i="70" s="1"/>
  <c r="P122" i="70"/>
  <c r="U122" i="70" s="1"/>
  <c r="P22" i="70"/>
  <c r="T22" i="70" s="1"/>
  <c r="U22" i="70" s="1"/>
  <c r="P27" i="70"/>
  <c r="T27" i="70" s="1"/>
  <c r="U27" i="70" s="1"/>
  <c r="P40" i="70"/>
  <c r="U40" i="70" s="1"/>
  <c r="P20" i="70"/>
  <c r="T20" i="70" s="1"/>
  <c r="U20" i="70" s="1"/>
  <c r="P16" i="70"/>
  <c r="T16" i="70" s="1"/>
  <c r="U16" i="70" s="1"/>
  <c r="P41" i="70"/>
  <c r="U41" i="70" s="1"/>
  <c r="P14" i="70"/>
  <c r="P21" i="70"/>
  <c r="T21" i="70" s="1"/>
  <c r="U21" i="70" s="1"/>
  <c r="P26" i="70"/>
  <c r="T26" i="70" s="1"/>
  <c r="U26" i="70" s="1"/>
  <c r="P28" i="70"/>
  <c r="T28" i="70" s="1"/>
  <c r="U28" i="70" s="1"/>
  <c r="P42" i="70"/>
  <c r="U42" i="70" s="1"/>
  <c r="P38" i="70"/>
  <c r="U38" i="70" s="1"/>
  <c r="P43" i="70"/>
  <c r="U43" i="70" s="1"/>
  <c r="P123" i="70"/>
  <c r="U123" i="70" s="1"/>
  <c r="P113" i="70"/>
  <c r="U113" i="70" s="1"/>
  <c r="P24" i="70"/>
  <c r="T24" i="70" s="1"/>
  <c r="U24" i="70" s="1"/>
  <c r="P29" i="70"/>
  <c r="T29" i="70" s="1"/>
  <c r="U29" i="70" s="1"/>
  <c r="P17" i="70"/>
  <c r="T17" i="70" s="1"/>
  <c r="U17" i="70" s="1"/>
  <c r="P39" i="70"/>
  <c r="U39" i="70" s="1"/>
  <c r="E49" i="72"/>
  <c r="V49" i="72" s="1"/>
  <c r="C107" i="50"/>
  <c r="H104" i="50"/>
  <c r="I107" i="50" s="1"/>
  <c r="H105" i="35"/>
  <c r="I107" i="35" s="1"/>
  <c r="C107" i="35"/>
  <c r="P18" i="35"/>
  <c r="T18" i="35" s="1"/>
  <c r="U18" i="35" s="1"/>
  <c r="P23" i="35"/>
  <c r="T23" i="35" s="1"/>
  <c r="U23" i="35" s="1"/>
  <c r="P121" i="35"/>
  <c r="U121" i="35" s="1"/>
  <c r="P113" i="35"/>
  <c r="U113" i="35" s="1"/>
  <c r="P15" i="35"/>
  <c r="T15" i="35" s="1"/>
  <c r="U15" i="35" s="1"/>
  <c r="P25" i="35"/>
  <c r="T25" i="35" s="1"/>
  <c r="U25" i="35" s="1"/>
  <c r="P20" i="35"/>
  <c r="T20" i="35" s="1"/>
  <c r="U20" i="35" s="1"/>
  <c r="P40" i="35"/>
  <c r="U40" i="35" s="1"/>
  <c r="P43" i="35"/>
  <c r="U43" i="35" s="1"/>
  <c r="P123" i="35"/>
  <c r="U123" i="35" s="1"/>
  <c r="P27" i="35"/>
  <c r="T27" i="35" s="1"/>
  <c r="U27" i="35" s="1"/>
  <c r="P17" i="35"/>
  <c r="T17" i="35" s="1"/>
  <c r="U17" i="35" s="1"/>
  <c r="P22" i="35"/>
  <c r="T22" i="35" s="1"/>
  <c r="U22" i="35" s="1"/>
  <c r="P14" i="35"/>
  <c r="P29" i="35"/>
  <c r="T29" i="35" s="1"/>
  <c r="U29" i="35" s="1"/>
  <c r="P24" i="35"/>
  <c r="T24" i="35" s="1"/>
  <c r="U24" i="35" s="1"/>
  <c r="P38" i="35"/>
  <c r="U38" i="35" s="1"/>
  <c r="P41" i="35"/>
  <c r="U41" i="35" s="1"/>
  <c r="P19" i="35"/>
  <c r="T19" i="35" s="1"/>
  <c r="U19" i="35" s="1"/>
  <c r="P122" i="35"/>
  <c r="U122" i="35" s="1"/>
  <c r="P16" i="35"/>
  <c r="T16" i="35" s="1"/>
  <c r="U16" i="35" s="1"/>
  <c r="P26" i="35"/>
  <c r="T26" i="35" s="1"/>
  <c r="U26" i="35" s="1"/>
  <c r="P21" i="35"/>
  <c r="T21" i="35" s="1"/>
  <c r="U21" i="35" s="1"/>
  <c r="P39" i="35"/>
  <c r="U39" i="35" s="1"/>
  <c r="P42" i="35"/>
  <c r="U42" i="35" s="1"/>
  <c r="P28" i="35"/>
  <c r="T28" i="35" s="1"/>
  <c r="U28" i="35" s="1"/>
  <c r="E24" i="72"/>
  <c r="V24" i="72" s="1"/>
  <c r="I85" i="76"/>
  <c r="I90" i="76"/>
  <c r="I92" i="76"/>
  <c r="H88" i="76"/>
  <c r="I88" i="76" s="1"/>
  <c r="H104" i="37"/>
  <c r="I107" i="37" s="1"/>
  <c r="C107" i="37"/>
  <c r="I85" i="37"/>
  <c r="I90" i="37"/>
  <c r="I92" i="37"/>
  <c r="H88" i="37"/>
  <c r="I88" i="37" s="1"/>
  <c r="I92" i="47"/>
  <c r="H88" i="47"/>
  <c r="I88" i="47" s="1"/>
  <c r="I90" i="47"/>
  <c r="I85" i="47"/>
  <c r="H104" i="51"/>
  <c r="I107" i="51" s="1"/>
  <c r="C107" i="51"/>
  <c r="I85" i="44"/>
  <c r="I90" i="44"/>
  <c r="I92" i="44"/>
  <c r="H88" i="44"/>
  <c r="I88" i="44" s="1"/>
  <c r="P16" i="75"/>
  <c r="T16" i="75" s="1"/>
  <c r="U16" i="75" s="1"/>
  <c r="P15" i="75"/>
  <c r="T15" i="75" s="1"/>
  <c r="U15" i="75" s="1"/>
  <c r="P38" i="75"/>
  <c r="U38" i="75" s="1"/>
  <c r="P41" i="75"/>
  <c r="U41" i="75" s="1"/>
  <c r="P18" i="75"/>
  <c r="T18" i="75" s="1"/>
  <c r="U18" i="75" s="1"/>
  <c r="P26" i="75"/>
  <c r="T26" i="75" s="1"/>
  <c r="U26" i="75" s="1"/>
  <c r="P122" i="75"/>
  <c r="U122" i="75" s="1"/>
  <c r="P28" i="75"/>
  <c r="T28" i="75" s="1"/>
  <c r="U28" i="75" s="1"/>
  <c r="P23" i="75"/>
  <c r="T23" i="75" s="1"/>
  <c r="U23" i="75" s="1"/>
  <c r="P39" i="75"/>
  <c r="U39" i="75" s="1"/>
  <c r="P42" i="75"/>
  <c r="U42" i="75" s="1"/>
  <c r="P21" i="75"/>
  <c r="T21" i="75" s="1"/>
  <c r="U21" i="75" s="1"/>
  <c r="P121" i="75"/>
  <c r="U121" i="75" s="1"/>
  <c r="P25" i="75"/>
  <c r="T25" i="75" s="1"/>
  <c r="U25" i="75" s="1"/>
  <c r="P113" i="75"/>
  <c r="U113" i="75" s="1"/>
  <c r="P14" i="75"/>
  <c r="P19" i="75"/>
  <c r="T19" i="75" s="1"/>
  <c r="U19" i="75" s="1"/>
  <c r="P27" i="75"/>
  <c r="T27" i="75" s="1"/>
  <c r="U27" i="75" s="1"/>
  <c r="P40" i="75"/>
  <c r="U40" i="75" s="1"/>
  <c r="P43" i="75"/>
  <c r="U43" i="75" s="1"/>
  <c r="P123" i="75"/>
  <c r="U123" i="75" s="1"/>
  <c r="P17" i="75"/>
  <c r="T17" i="75" s="1"/>
  <c r="U17" i="75" s="1"/>
  <c r="P24" i="75"/>
  <c r="T24" i="75" s="1"/>
  <c r="U24" i="75" s="1"/>
  <c r="P20" i="75"/>
  <c r="T20" i="75" s="1"/>
  <c r="U20" i="75" s="1"/>
  <c r="P22" i="75"/>
  <c r="T22" i="75" s="1"/>
  <c r="U22" i="75" s="1"/>
  <c r="P29" i="75"/>
  <c r="T29" i="75" s="1"/>
  <c r="U29" i="75" s="1"/>
  <c r="E40" i="72"/>
  <c r="V40" i="72" s="1"/>
  <c r="P15" i="28"/>
  <c r="T15" i="28" s="1"/>
  <c r="U15" i="28" s="1"/>
  <c r="P25" i="28"/>
  <c r="T25" i="28" s="1"/>
  <c r="U25" i="28" s="1"/>
  <c r="P20" i="28"/>
  <c r="T20" i="28" s="1"/>
  <c r="U20" i="28" s="1"/>
  <c r="P40" i="28"/>
  <c r="U40" i="28" s="1"/>
  <c r="P43" i="28"/>
  <c r="U43" i="28" s="1"/>
  <c r="P123" i="28"/>
  <c r="U123" i="28" s="1"/>
  <c r="P27" i="28"/>
  <c r="T27" i="28" s="1"/>
  <c r="U27" i="28" s="1"/>
  <c r="P17" i="28"/>
  <c r="T17" i="28" s="1"/>
  <c r="U17" i="28" s="1"/>
  <c r="P22" i="28"/>
  <c r="T22" i="28" s="1"/>
  <c r="U22" i="28" s="1"/>
  <c r="P14" i="28"/>
  <c r="P29" i="28"/>
  <c r="T29" i="28" s="1"/>
  <c r="U29" i="28" s="1"/>
  <c r="P24" i="28"/>
  <c r="T24" i="28" s="1"/>
  <c r="U24" i="28" s="1"/>
  <c r="P38" i="28"/>
  <c r="U38" i="28" s="1"/>
  <c r="P41" i="28"/>
  <c r="U41" i="28" s="1"/>
  <c r="P19" i="28"/>
  <c r="T19" i="28" s="1"/>
  <c r="U19" i="28" s="1"/>
  <c r="P122" i="28"/>
  <c r="U122" i="28" s="1"/>
  <c r="P16" i="28"/>
  <c r="T16" i="28" s="1"/>
  <c r="U16" i="28" s="1"/>
  <c r="P26" i="28"/>
  <c r="T26" i="28" s="1"/>
  <c r="U26" i="28" s="1"/>
  <c r="P28" i="28"/>
  <c r="T28" i="28" s="1"/>
  <c r="U28" i="28" s="1"/>
  <c r="P39" i="28"/>
  <c r="U39" i="28" s="1"/>
  <c r="P42" i="28"/>
  <c r="U42" i="28" s="1"/>
  <c r="P18" i="28"/>
  <c r="T18" i="28" s="1"/>
  <c r="U18" i="28" s="1"/>
  <c r="P23" i="28"/>
  <c r="T23" i="28" s="1"/>
  <c r="U23" i="28" s="1"/>
  <c r="P121" i="28"/>
  <c r="U121" i="28" s="1"/>
  <c r="P21" i="28"/>
  <c r="T21" i="28" s="1"/>
  <c r="U21" i="28" s="1"/>
  <c r="P113" i="28"/>
  <c r="U113" i="28" s="1"/>
  <c r="E19" i="72"/>
  <c r="V19" i="72" s="1"/>
  <c r="H88" i="45"/>
  <c r="I88" i="45" s="1"/>
  <c r="I85" i="45"/>
  <c r="I90" i="45"/>
  <c r="I92" i="45"/>
  <c r="P28" i="50"/>
  <c r="T28" i="50" s="1"/>
  <c r="U28" i="50" s="1"/>
  <c r="P39" i="50"/>
  <c r="U39" i="50" s="1"/>
  <c r="P42" i="50"/>
  <c r="U42" i="50" s="1"/>
  <c r="P18" i="50"/>
  <c r="T18" i="50" s="1"/>
  <c r="U18" i="50" s="1"/>
  <c r="P23" i="50"/>
  <c r="T23" i="50" s="1"/>
  <c r="U23" i="50" s="1"/>
  <c r="P121" i="50"/>
  <c r="U121" i="50" s="1"/>
  <c r="P113" i="50"/>
  <c r="U113" i="50" s="1"/>
  <c r="P15" i="50"/>
  <c r="T15" i="50" s="1"/>
  <c r="U15" i="50" s="1"/>
  <c r="P25" i="50"/>
  <c r="T25" i="50" s="1"/>
  <c r="U25" i="50" s="1"/>
  <c r="P20" i="50"/>
  <c r="T20" i="50" s="1"/>
  <c r="U20" i="50" s="1"/>
  <c r="P40" i="50"/>
  <c r="U40" i="50" s="1"/>
  <c r="P43" i="50"/>
  <c r="U43" i="50" s="1"/>
  <c r="P123" i="50"/>
  <c r="U123" i="50" s="1"/>
  <c r="P27" i="50"/>
  <c r="T27" i="50" s="1"/>
  <c r="U27" i="50" s="1"/>
  <c r="P17" i="50"/>
  <c r="T17" i="50" s="1"/>
  <c r="U17" i="50" s="1"/>
  <c r="P22" i="50"/>
  <c r="T22" i="50" s="1"/>
  <c r="U22" i="50" s="1"/>
  <c r="P14" i="50"/>
  <c r="P29" i="50"/>
  <c r="T29" i="50" s="1"/>
  <c r="U29" i="50" s="1"/>
  <c r="P24" i="50"/>
  <c r="T24" i="50" s="1"/>
  <c r="U24" i="50" s="1"/>
  <c r="P38" i="50"/>
  <c r="U38" i="50" s="1"/>
  <c r="P41" i="50"/>
  <c r="U41" i="50" s="1"/>
  <c r="P19" i="50"/>
  <c r="T19" i="50" s="1"/>
  <c r="U19" i="50" s="1"/>
  <c r="P122" i="50"/>
  <c r="U122" i="50" s="1"/>
  <c r="P21" i="50"/>
  <c r="T21" i="50" s="1"/>
  <c r="U21" i="50" s="1"/>
  <c r="P16" i="50"/>
  <c r="T16" i="50" s="1"/>
  <c r="U16" i="50" s="1"/>
  <c r="P26" i="50"/>
  <c r="T26" i="50" s="1"/>
  <c r="U26" i="50" s="1"/>
  <c r="E37" i="72"/>
  <c r="V37" i="72" s="1"/>
  <c r="H88" i="57"/>
  <c r="I88" i="57" s="1"/>
  <c r="I85" i="57"/>
  <c r="I90" i="57"/>
  <c r="I92" i="57"/>
  <c r="I85" i="20"/>
  <c r="I90" i="20"/>
  <c r="I92" i="20"/>
  <c r="H88" i="20"/>
  <c r="I88" i="20" s="1"/>
  <c r="C107" i="39"/>
  <c r="H104" i="39"/>
  <c r="I107" i="39" s="1"/>
  <c r="C107" i="57"/>
  <c r="H104" i="57"/>
  <c r="I107" i="57" s="1"/>
  <c r="C107" i="36"/>
  <c r="H104" i="36"/>
  <c r="I107" i="36" s="1"/>
  <c r="H104" i="47"/>
  <c r="I107" i="47" s="1"/>
  <c r="C107" i="47"/>
  <c r="I85" i="28"/>
  <c r="I90" i="28"/>
  <c r="I92" i="28"/>
  <c r="H88" i="28"/>
  <c r="I88" i="28" s="1"/>
  <c r="I85" i="17"/>
  <c r="I92" i="17"/>
  <c r="H88" i="17"/>
  <c r="I88" i="17" s="1"/>
  <c r="I90" i="17"/>
  <c r="C107" i="17"/>
  <c r="H104" i="17"/>
  <c r="I107" i="17" s="1"/>
  <c r="H88" i="43"/>
  <c r="I88" i="43" s="1"/>
  <c r="I85" i="43"/>
  <c r="I90" i="43"/>
  <c r="I92" i="43"/>
  <c r="P18" i="37"/>
  <c r="T18" i="37" s="1"/>
  <c r="U18" i="37" s="1"/>
  <c r="P23" i="37"/>
  <c r="T23" i="37" s="1"/>
  <c r="U23" i="37" s="1"/>
  <c r="P121" i="37"/>
  <c r="U121" i="37" s="1"/>
  <c r="P15" i="37"/>
  <c r="T15" i="37" s="1"/>
  <c r="U15" i="37" s="1"/>
  <c r="P25" i="37"/>
  <c r="T25" i="37" s="1"/>
  <c r="U25" i="37" s="1"/>
  <c r="P20" i="37"/>
  <c r="T20" i="37" s="1"/>
  <c r="U20" i="37" s="1"/>
  <c r="P40" i="37"/>
  <c r="U40" i="37" s="1"/>
  <c r="P43" i="37"/>
  <c r="U43" i="37" s="1"/>
  <c r="P123" i="37"/>
  <c r="U123" i="37" s="1"/>
  <c r="P27" i="37"/>
  <c r="T27" i="37" s="1"/>
  <c r="U27" i="37" s="1"/>
  <c r="P17" i="37"/>
  <c r="T17" i="37" s="1"/>
  <c r="U17" i="37" s="1"/>
  <c r="P22" i="37"/>
  <c r="T22" i="37" s="1"/>
  <c r="U22" i="37" s="1"/>
  <c r="P14" i="37"/>
  <c r="P29" i="37"/>
  <c r="T29" i="37" s="1"/>
  <c r="U29" i="37" s="1"/>
  <c r="P24" i="37"/>
  <c r="T24" i="37" s="1"/>
  <c r="U24" i="37" s="1"/>
  <c r="P38" i="37"/>
  <c r="U38" i="37" s="1"/>
  <c r="P41" i="37"/>
  <c r="U41" i="37" s="1"/>
  <c r="P19" i="37"/>
  <c r="T19" i="37" s="1"/>
  <c r="U19" i="37" s="1"/>
  <c r="P16" i="37"/>
  <c r="T16" i="37" s="1"/>
  <c r="U16" i="37" s="1"/>
  <c r="P26" i="37"/>
  <c r="T26" i="37" s="1"/>
  <c r="U26" i="37" s="1"/>
  <c r="P21" i="37"/>
  <c r="T21" i="37" s="1"/>
  <c r="U21" i="37" s="1"/>
  <c r="P39" i="37"/>
  <c r="U39" i="37" s="1"/>
  <c r="P122" i="37"/>
  <c r="U122" i="37" s="1"/>
  <c r="P113" i="37"/>
  <c r="U113" i="37" s="1"/>
  <c r="P42" i="37"/>
  <c r="U42" i="37" s="1"/>
  <c r="P28" i="37"/>
  <c r="T28" i="37" s="1"/>
  <c r="U28" i="37" s="1"/>
  <c r="E27" i="72"/>
  <c r="V27" i="72" s="1"/>
  <c r="P17" i="47"/>
  <c r="T17" i="47" s="1"/>
  <c r="U17" i="47" s="1"/>
  <c r="P22" i="47"/>
  <c r="T22" i="47" s="1"/>
  <c r="U22" i="47" s="1"/>
  <c r="P14" i="47"/>
  <c r="P29" i="47"/>
  <c r="T29" i="47" s="1"/>
  <c r="U29" i="47" s="1"/>
  <c r="P24" i="47"/>
  <c r="T24" i="47" s="1"/>
  <c r="U24" i="47" s="1"/>
  <c r="P19" i="47"/>
  <c r="T19" i="47" s="1"/>
  <c r="U19" i="47" s="1"/>
  <c r="P15" i="47"/>
  <c r="T15" i="47" s="1"/>
  <c r="U15" i="47" s="1"/>
  <c r="P39" i="47"/>
  <c r="U39" i="47" s="1"/>
  <c r="P43" i="47"/>
  <c r="U43" i="47" s="1"/>
  <c r="P121" i="47"/>
  <c r="U121" i="47" s="1"/>
  <c r="P27" i="47"/>
  <c r="T27" i="47" s="1"/>
  <c r="U27" i="47" s="1"/>
  <c r="P113" i="47"/>
  <c r="U113" i="47" s="1"/>
  <c r="P25" i="47"/>
  <c r="T25" i="47" s="1"/>
  <c r="U25" i="47" s="1"/>
  <c r="P20" i="47"/>
  <c r="T20" i="47" s="1"/>
  <c r="U20" i="47" s="1"/>
  <c r="P40" i="47"/>
  <c r="U40" i="47" s="1"/>
  <c r="P123" i="47"/>
  <c r="U123" i="47" s="1"/>
  <c r="P23" i="47"/>
  <c r="T23" i="47" s="1"/>
  <c r="U23" i="47" s="1"/>
  <c r="P28" i="47"/>
  <c r="T28" i="47" s="1"/>
  <c r="U28" i="47" s="1"/>
  <c r="P41" i="47"/>
  <c r="U41" i="47" s="1"/>
  <c r="P18" i="47"/>
  <c r="T18" i="47" s="1"/>
  <c r="U18" i="47" s="1"/>
  <c r="P26" i="47"/>
  <c r="T26" i="47" s="1"/>
  <c r="U26" i="47" s="1"/>
  <c r="P21" i="47"/>
  <c r="T21" i="47" s="1"/>
  <c r="U21" i="47" s="1"/>
  <c r="P16" i="47"/>
  <c r="T16" i="47" s="1"/>
  <c r="U16" i="47" s="1"/>
  <c r="P42" i="47"/>
  <c r="U42" i="47" s="1"/>
  <c r="P122" i="47"/>
  <c r="U122" i="47" s="1"/>
  <c r="P38" i="47"/>
  <c r="U38" i="47" s="1"/>
  <c r="E35" i="72"/>
  <c r="V35" i="72" s="1"/>
  <c r="P14" i="39"/>
  <c r="P29" i="39"/>
  <c r="T29" i="39" s="1"/>
  <c r="U29" i="39" s="1"/>
  <c r="P24" i="39"/>
  <c r="T24" i="39" s="1"/>
  <c r="U24" i="39" s="1"/>
  <c r="P38" i="39"/>
  <c r="U38" i="39" s="1"/>
  <c r="P41" i="39"/>
  <c r="U41" i="39" s="1"/>
  <c r="P19" i="39"/>
  <c r="T19" i="39" s="1"/>
  <c r="U19" i="39" s="1"/>
  <c r="P122" i="39"/>
  <c r="U122" i="39" s="1"/>
  <c r="P16" i="39"/>
  <c r="T16" i="39" s="1"/>
  <c r="U16" i="39" s="1"/>
  <c r="P26" i="39"/>
  <c r="T26" i="39" s="1"/>
  <c r="U26" i="39" s="1"/>
  <c r="P21" i="39"/>
  <c r="T21" i="39" s="1"/>
  <c r="U21" i="39" s="1"/>
  <c r="P28" i="39"/>
  <c r="T28" i="39" s="1"/>
  <c r="U28" i="39" s="1"/>
  <c r="P39" i="39"/>
  <c r="U39" i="39" s="1"/>
  <c r="P42" i="39"/>
  <c r="U42" i="39" s="1"/>
  <c r="P18" i="39"/>
  <c r="T18" i="39" s="1"/>
  <c r="U18" i="39" s="1"/>
  <c r="P23" i="39"/>
  <c r="T23" i="39" s="1"/>
  <c r="U23" i="39" s="1"/>
  <c r="P121" i="39"/>
  <c r="U121" i="39" s="1"/>
  <c r="P113" i="39"/>
  <c r="U113" i="39" s="1"/>
  <c r="P15" i="39"/>
  <c r="T15" i="39" s="1"/>
  <c r="U15" i="39" s="1"/>
  <c r="P25" i="39"/>
  <c r="T25" i="39" s="1"/>
  <c r="U25" i="39" s="1"/>
  <c r="P20" i="39"/>
  <c r="T20" i="39" s="1"/>
  <c r="U20" i="39" s="1"/>
  <c r="P40" i="39"/>
  <c r="U40" i="39" s="1"/>
  <c r="P43" i="39"/>
  <c r="U43" i="39" s="1"/>
  <c r="P123" i="39"/>
  <c r="U123" i="39" s="1"/>
  <c r="P27" i="39"/>
  <c r="T27" i="39" s="1"/>
  <c r="U27" i="39" s="1"/>
  <c r="P22" i="39"/>
  <c r="T22" i="39" s="1"/>
  <c r="U22" i="39" s="1"/>
  <c r="P17" i="39"/>
  <c r="T17" i="39" s="1"/>
  <c r="U17" i="39" s="1"/>
  <c r="E29" i="72"/>
  <c r="V29" i="72" s="1"/>
  <c r="P20" i="44"/>
  <c r="T20" i="44" s="1"/>
  <c r="U20" i="44" s="1"/>
  <c r="P40" i="44"/>
  <c r="U40" i="44" s="1"/>
  <c r="P43" i="44"/>
  <c r="U43" i="44" s="1"/>
  <c r="P27" i="44"/>
  <c r="T27" i="44" s="1"/>
  <c r="U27" i="44" s="1"/>
  <c r="P17" i="44"/>
  <c r="T17" i="44" s="1"/>
  <c r="U17" i="44" s="1"/>
  <c r="P22" i="44"/>
  <c r="T22" i="44" s="1"/>
  <c r="U22" i="44" s="1"/>
  <c r="P14" i="44"/>
  <c r="P24" i="44"/>
  <c r="T24" i="44" s="1"/>
  <c r="U24" i="44" s="1"/>
  <c r="P38" i="44"/>
  <c r="U38" i="44" s="1"/>
  <c r="P41" i="44"/>
  <c r="U41" i="44" s="1"/>
  <c r="P19" i="44"/>
  <c r="T19" i="44" s="1"/>
  <c r="U19" i="44" s="1"/>
  <c r="P21" i="44"/>
  <c r="T21" i="44" s="1"/>
  <c r="U21" i="44" s="1"/>
  <c r="P26" i="44"/>
  <c r="T26" i="44" s="1"/>
  <c r="U26" i="44" s="1"/>
  <c r="P23" i="44"/>
  <c r="T23" i="44" s="1"/>
  <c r="U23" i="44" s="1"/>
  <c r="P29" i="44"/>
  <c r="T29" i="44" s="1"/>
  <c r="U29" i="44" s="1"/>
  <c r="P121" i="44"/>
  <c r="U121" i="44" s="1"/>
  <c r="P113" i="44"/>
  <c r="U113" i="44" s="1"/>
  <c r="P18" i="44"/>
  <c r="T18" i="44" s="1"/>
  <c r="U18" i="44" s="1"/>
  <c r="P42" i="44"/>
  <c r="U42" i="44" s="1"/>
  <c r="P123" i="44"/>
  <c r="U123" i="44" s="1"/>
  <c r="P16" i="44"/>
  <c r="T16" i="44" s="1"/>
  <c r="U16" i="44" s="1"/>
  <c r="P39" i="44"/>
  <c r="U39" i="44" s="1"/>
  <c r="P28" i="44"/>
  <c r="T28" i="44" s="1"/>
  <c r="U28" i="44" s="1"/>
  <c r="P122" i="44"/>
  <c r="U122" i="44" s="1"/>
  <c r="P25" i="44"/>
  <c r="T25" i="44" s="1"/>
  <c r="U25" i="44" s="1"/>
  <c r="P15" i="44"/>
  <c r="T15" i="44" s="1"/>
  <c r="U15" i="44" s="1"/>
  <c r="E33" i="72"/>
  <c r="P20" i="42"/>
  <c r="T20" i="42" s="1"/>
  <c r="U20" i="42" s="1"/>
  <c r="P40" i="42"/>
  <c r="U40" i="42" s="1"/>
  <c r="P43" i="42"/>
  <c r="U43" i="42" s="1"/>
  <c r="P123" i="42"/>
  <c r="U123" i="42" s="1"/>
  <c r="P27" i="42"/>
  <c r="T27" i="42" s="1"/>
  <c r="U27" i="42" s="1"/>
  <c r="P17" i="42"/>
  <c r="T17" i="42" s="1"/>
  <c r="U17" i="42" s="1"/>
  <c r="P22" i="42"/>
  <c r="T22" i="42" s="1"/>
  <c r="U22" i="42" s="1"/>
  <c r="P14" i="42"/>
  <c r="P29" i="42"/>
  <c r="T29" i="42" s="1"/>
  <c r="U29" i="42" s="1"/>
  <c r="P19" i="42"/>
  <c r="T19" i="42" s="1"/>
  <c r="U19" i="42" s="1"/>
  <c r="P122" i="42"/>
  <c r="U122" i="42" s="1"/>
  <c r="P16" i="42"/>
  <c r="T16" i="42" s="1"/>
  <c r="U16" i="42" s="1"/>
  <c r="P26" i="42"/>
  <c r="T26" i="42" s="1"/>
  <c r="U26" i="42" s="1"/>
  <c r="P21" i="42"/>
  <c r="T21" i="42" s="1"/>
  <c r="U21" i="42" s="1"/>
  <c r="P113" i="42"/>
  <c r="U113" i="42" s="1"/>
  <c r="P15" i="42"/>
  <c r="T15" i="42" s="1"/>
  <c r="U15" i="42" s="1"/>
  <c r="P18" i="42"/>
  <c r="T18" i="42" s="1"/>
  <c r="U18" i="42" s="1"/>
  <c r="P41" i="42"/>
  <c r="U41" i="42" s="1"/>
  <c r="P121" i="42"/>
  <c r="U121" i="42" s="1"/>
  <c r="P42" i="42"/>
  <c r="U42" i="42" s="1"/>
  <c r="P23" i="42"/>
  <c r="T23" i="42" s="1"/>
  <c r="U23" i="42" s="1"/>
  <c r="P24" i="42"/>
  <c r="T24" i="42" s="1"/>
  <c r="U24" i="42" s="1"/>
  <c r="P38" i="42"/>
  <c r="U38" i="42" s="1"/>
  <c r="P28" i="42"/>
  <c r="T28" i="42" s="1"/>
  <c r="U28" i="42" s="1"/>
  <c r="P39" i="42"/>
  <c r="U39" i="42" s="1"/>
  <c r="P25" i="42"/>
  <c r="T25" i="42" s="1"/>
  <c r="U25" i="42" s="1"/>
  <c r="E31" i="72"/>
  <c r="V31" i="72" s="1"/>
  <c r="H88" i="69"/>
  <c r="I88" i="69" s="1"/>
  <c r="I92" i="69"/>
  <c r="I90" i="69"/>
  <c r="I85" i="69"/>
  <c r="H104" i="75"/>
  <c r="I107" i="75" s="1"/>
  <c r="C107" i="75"/>
  <c r="P21" i="17"/>
  <c r="T21" i="17" s="1"/>
  <c r="U21" i="17" s="1"/>
  <c r="P28" i="17"/>
  <c r="T28" i="17" s="1"/>
  <c r="U28" i="17" s="1"/>
  <c r="P39" i="17"/>
  <c r="U39" i="17" s="1"/>
  <c r="P42" i="17"/>
  <c r="U42" i="17" s="1"/>
  <c r="P18" i="17"/>
  <c r="T18" i="17" s="1"/>
  <c r="U18" i="17" s="1"/>
  <c r="P23" i="17"/>
  <c r="T23" i="17" s="1"/>
  <c r="U23" i="17" s="1"/>
  <c r="P15" i="17"/>
  <c r="T15" i="17" s="1"/>
  <c r="U15" i="17" s="1"/>
  <c r="P25" i="17"/>
  <c r="T25" i="17" s="1"/>
  <c r="U25" i="17" s="1"/>
  <c r="P20" i="17"/>
  <c r="T20" i="17" s="1"/>
  <c r="U20" i="17" s="1"/>
  <c r="P40" i="17"/>
  <c r="U40" i="17" s="1"/>
  <c r="P43" i="17"/>
  <c r="U43" i="17" s="1"/>
  <c r="P123" i="17"/>
  <c r="U123" i="17" s="1"/>
  <c r="P17" i="17"/>
  <c r="T17" i="17" s="1"/>
  <c r="U17" i="17" s="1"/>
  <c r="P22" i="17"/>
  <c r="T22" i="17" s="1"/>
  <c r="U22" i="17" s="1"/>
  <c r="T19" i="17"/>
  <c r="U19" i="17" s="1"/>
  <c r="P122" i="17"/>
  <c r="U122" i="17" s="1"/>
  <c r="P24" i="17"/>
  <c r="T24" i="17" s="1"/>
  <c r="U24" i="17" s="1"/>
  <c r="P14" i="17"/>
  <c r="P38" i="17"/>
  <c r="U38" i="17" s="1"/>
  <c r="P121" i="17"/>
  <c r="U121" i="17" s="1"/>
  <c r="P29" i="17"/>
  <c r="T29" i="17" s="1"/>
  <c r="U29" i="17" s="1"/>
  <c r="P41" i="17"/>
  <c r="U41" i="17" s="1"/>
  <c r="P26" i="17"/>
  <c r="T26" i="17" s="1"/>
  <c r="U26" i="17" s="1"/>
  <c r="P113" i="17"/>
  <c r="U113" i="17" s="1"/>
  <c r="P16" i="17"/>
  <c r="T16" i="17" s="1"/>
  <c r="U16" i="17" s="1"/>
  <c r="E10" i="72"/>
  <c r="P27" i="17"/>
  <c r="T27" i="17" s="1"/>
  <c r="U27" i="17" s="1"/>
  <c r="C107" i="27"/>
  <c r="H104" i="27"/>
  <c r="I107" i="27" s="1"/>
  <c r="P18" i="45"/>
  <c r="T18" i="45" s="1"/>
  <c r="U18" i="45" s="1"/>
  <c r="P23" i="45"/>
  <c r="T23" i="45" s="1"/>
  <c r="U23" i="45" s="1"/>
  <c r="P121" i="45"/>
  <c r="U121" i="45" s="1"/>
  <c r="P113" i="45"/>
  <c r="U113" i="45" s="1"/>
  <c r="P15" i="45"/>
  <c r="T15" i="45" s="1"/>
  <c r="U15" i="45" s="1"/>
  <c r="P25" i="45"/>
  <c r="T25" i="45" s="1"/>
  <c r="U25" i="45" s="1"/>
  <c r="P20" i="45"/>
  <c r="T20" i="45" s="1"/>
  <c r="U20" i="45" s="1"/>
  <c r="P40" i="45"/>
  <c r="U40" i="45" s="1"/>
  <c r="P43" i="45"/>
  <c r="U43" i="45" s="1"/>
  <c r="P123" i="45"/>
  <c r="U123" i="45" s="1"/>
  <c r="P27" i="45"/>
  <c r="T27" i="45" s="1"/>
  <c r="U27" i="45" s="1"/>
  <c r="P17" i="45"/>
  <c r="T17" i="45" s="1"/>
  <c r="U17" i="45" s="1"/>
  <c r="P22" i="45"/>
  <c r="T22" i="45" s="1"/>
  <c r="U22" i="45" s="1"/>
  <c r="P14" i="45"/>
  <c r="P29" i="45"/>
  <c r="T29" i="45" s="1"/>
  <c r="U29" i="45" s="1"/>
  <c r="P24" i="45"/>
  <c r="T24" i="45" s="1"/>
  <c r="U24" i="45" s="1"/>
  <c r="P38" i="45"/>
  <c r="U38" i="45" s="1"/>
  <c r="P41" i="45"/>
  <c r="U41" i="45" s="1"/>
  <c r="P16" i="45"/>
  <c r="T16" i="45" s="1"/>
  <c r="U16" i="45" s="1"/>
  <c r="P26" i="45"/>
  <c r="T26" i="45" s="1"/>
  <c r="U26" i="45" s="1"/>
  <c r="P39" i="45"/>
  <c r="U39" i="45" s="1"/>
  <c r="P122" i="45"/>
  <c r="U122" i="45" s="1"/>
  <c r="P19" i="45"/>
  <c r="T19" i="45" s="1"/>
  <c r="U19" i="45" s="1"/>
  <c r="P28" i="45"/>
  <c r="T28" i="45" s="1"/>
  <c r="U28" i="45" s="1"/>
  <c r="P42" i="45"/>
  <c r="U42" i="45" s="1"/>
  <c r="P21" i="45"/>
  <c r="T21" i="45" s="1"/>
  <c r="U21" i="45" s="1"/>
  <c r="E34" i="72"/>
  <c r="V34" i="72" s="1"/>
  <c r="H104" i="66"/>
  <c r="I107" i="66" s="1"/>
  <c r="C107" i="66"/>
  <c r="P14" i="40"/>
  <c r="P24" i="40"/>
  <c r="T24" i="40" s="1"/>
  <c r="U24" i="40" s="1"/>
  <c r="P18" i="40"/>
  <c r="T18" i="40" s="1"/>
  <c r="U18" i="40" s="1"/>
  <c r="P23" i="40"/>
  <c r="T23" i="40" s="1"/>
  <c r="U23" i="40" s="1"/>
  <c r="P17" i="40"/>
  <c r="T17" i="40" s="1"/>
  <c r="U17" i="40" s="1"/>
  <c r="P40" i="40"/>
  <c r="U40" i="40" s="1"/>
  <c r="P43" i="40"/>
  <c r="U43" i="40" s="1"/>
  <c r="P123" i="40"/>
  <c r="U123" i="40" s="1"/>
  <c r="P20" i="40"/>
  <c r="T20" i="40" s="1"/>
  <c r="U20" i="40" s="1"/>
  <c r="P27" i="40"/>
  <c r="T27" i="40" s="1"/>
  <c r="U27" i="40" s="1"/>
  <c r="P15" i="40"/>
  <c r="T15" i="40" s="1"/>
  <c r="U15" i="40" s="1"/>
  <c r="P29" i="40"/>
  <c r="T29" i="40" s="1"/>
  <c r="U29" i="40" s="1"/>
  <c r="P38" i="40"/>
  <c r="U38" i="40" s="1"/>
  <c r="P41" i="40"/>
  <c r="U41" i="40" s="1"/>
  <c r="P122" i="40"/>
  <c r="U122" i="40" s="1"/>
  <c r="P21" i="40"/>
  <c r="T21" i="40" s="1"/>
  <c r="U21" i="40" s="1"/>
  <c r="P26" i="40"/>
  <c r="T26" i="40" s="1"/>
  <c r="U26" i="40" s="1"/>
  <c r="P16" i="40"/>
  <c r="T16" i="40" s="1"/>
  <c r="U16" i="40" s="1"/>
  <c r="P19" i="40"/>
  <c r="T19" i="40" s="1"/>
  <c r="U19" i="40" s="1"/>
  <c r="P28" i="40"/>
  <c r="T28" i="40" s="1"/>
  <c r="U28" i="40" s="1"/>
  <c r="P39" i="40"/>
  <c r="U39" i="40" s="1"/>
  <c r="P42" i="40"/>
  <c r="U42" i="40" s="1"/>
  <c r="P22" i="40"/>
  <c r="T22" i="40" s="1"/>
  <c r="U22" i="40" s="1"/>
  <c r="P121" i="40"/>
  <c r="U121" i="40" s="1"/>
  <c r="P113" i="40"/>
  <c r="U113" i="40" s="1"/>
  <c r="P25" i="40"/>
  <c r="T25" i="40" s="1"/>
  <c r="U25" i="40" s="1"/>
  <c r="E30" i="72"/>
  <c r="V30" i="72" s="1"/>
  <c r="H104" i="26"/>
  <c r="I107" i="26" s="1"/>
  <c r="C107" i="26"/>
  <c r="I85" i="39"/>
  <c r="I90" i="39"/>
  <c r="I92" i="39"/>
  <c r="H88" i="39"/>
  <c r="I88" i="39" s="1"/>
  <c r="I92" i="42"/>
  <c r="H88" i="42"/>
  <c r="I88" i="42" s="1"/>
  <c r="I90" i="42"/>
  <c r="I85" i="42"/>
  <c r="H88" i="31"/>
  <c r="I88" i="31" s="1"/>
  <c r="I85" i="31"/>
  <c r="I90" i="31"/>
  <c r="I92" i="31"/>
  <c r="C107" i="25"/>
  <c r="H104" i="25"/>
  <c r="I107" i="25" s="1"/>
  <c r="I30" i="66"/>
  <c r="I85" i="40"/>
  <c r="I90" i="40"/>
  <c r="I92" i="40"/>
  <c r="H88" i="40"/>
  <c r="I88" i="40" s="1"/>
  <c r="P15" i="21"/>
  <c r="T15" i="21" s="1"/>
  <c r="U15" i="21" s="1"/>
  <c r="P25" i="21"/>
  <c r="T25" i="21" s="1"/>
  <c r="U25" i="21" s="1"/>
  <c r="P20" i="21"/>
  <c r="T20" i="21" s="1"/>
  <c r="U20" i="21" s="1"/>
  <c r="P40" i="21"/>
  <c r="U40" i="21" s="1"/>
  <c r="P43" i="21"/>
  <c r="U43" i="21" s="1"/>
  <c r="P123" i="21"/>
  <c r="U123" i="21" s="1"/>
  <c r="P27" i="21"/>
  <c r="T27" i="21" s="1"/>
  <c r="U27" i="21" s="1"/>
  <c r="P17" i="21"/>
  <c r="T17" i="21" s="1"/>
  <c r="U17" i="21" s="1"/>
  <c r="P22" i="21"/>
  <c r="T22" i="21" s="1"/>
  <c r="U22" i="21" s="1"/>
  <c r="P14" i="21"/>
  <c r="P29" i="21"/>
  <c r="T29" i="21" s="1"/>
  <c r="U29" i="21" s="1"/>
  <c r="P24" i="21"/>
  <c r="T24" i="21" s="1"/>
  <c r="U24" i="21" s="1"/>
  <c r="P38" i="21"/>
  <c r="U38" i="21" s="1"/>
  <c r="P41" i="21"/>
  <c r="U41" i="21" s="1"/>
  <c r="P16" i="21"/>
  <c r="T16" i="21" s="1"/>
  <c r="U16" i="21" s="1"/>
  <c r="P26" i="21"/>
  <c r="T26" i="21" s="1"/>
  <c r="U26" i="21" s="1"/>
  <c r="P21" i="21"/>
  <c r="T21" i="21" s="1"/>
  <c r="U21" i="21" s="1"/>
  <c r="P28" i="21"/>
  <c r="T28" i="21" s="1"/>
  <c r="U28" i="21" s="1"/>
  <c r="P39" i="21"/>
  <c r="U39" i="21" s="1"/>
  <c r="P42" i="21"/>
  <c r="U42" i="21" s="1"/>
  <c r="P18" i="21"/>
  <c r="T18" i="21" s="1"/>
  <c r="U18" i="21" s="1"/>
  <c r="P23" i="21"/>
  <c r="T23" i="21" s="1"/>
  <c r="U23" i="21" s="1"/>
  <c r="P121" i="21"/>
  <c r="U121" i="21" s="1"/>
  <c r="P122" i="21"/>
  <c r="U122" i="21" s="1"/>
  <c r="P113" i="21"/>
  <c r="U113" i="21" s="1"/>
  <c r="E13" i="72"/>
  <c r="V13" i="72" s="1"/>
  <c r="P19" i="21"/>
  <c r="T19" i="21" s="1"/>
  <c r="U19" i="21" s="1"/>
  <c r="C107" i="20"/>
  <c r="H104" i="20"/>
  <c r="I107" i="20" s="1"/>
  <c r="P15" i="68"/>
  <c r="T15" i="68" s="1"/>
  <c r="U15" i="68" s="1"/>
  <c r="P27" i="68"/>
  <c r="T27" i="68" s="1"/>
  <c r="U27" i="68" s="1"/>
  <c r="P17" i="68"/>
  <c r="T17" i="68" s="1"/>
  <c r="U17" i="68" s="1"/>
  <c r="P24" i="68"/>
  <c r="T24" i="68" s="1"/>
  <c r="U24" i="68" s="1"/>
  <c r="P16" i="68"/>
  <c r="T16" i="68" s="1"/>
  <c r="U16" i="68" s="1"/>
  <c r="P20" i="68"/>
  <c r="T20" i="68" s="1"/>
  <c r="U20" i="68" s="1"/>
  <c r="P23" i="68"/>
  <c r="T23" i="68" s="1"/>
  <c r="U23" i="68" s="1"/>
  <c r="P25" i="68"/>
  <c r="T25" i="68" s="1"/>
  <c r="U25" i="68" s="1"/>
  <c r="P29" i="68"/>
  <c r="T29" i="68" s="1"/>
  <c r="U29" i="68" s="1"/>
  <c r="P18" i="68"/>
  <c r="T18" i="68" s="1"/>
  <c r="U18" i="68" s="1"/>
  <c r="P38" i="68"/>
  <c r="U38" i="68" s="1"/>
  <c r="P41" i="68"/>
  <c r="U41" i="68" s="1"/>
  <c r="P21" i="68"/>
  <c r="T21" i="68" s="1"/>
  <c r="U21" i="68" s="1"/>
  <c r="P122" i="68"/>
  <c r="U122" i="68" s="1"/>
  <c r="P19" i="68"/>
  <c r="T19" i="68" s="1"/>
  <c r="U19" i="68" s="1"/>
  <c r="P121" i="68"/>
  <c r="U121" i="68" s="1"/>
  <c r="P43" i="68"/>
  <c r="U43" i="68" s="1"/>
  <c r="P26" i="68"/>
  <c r="T26" i="68" s="1"/>
  <c r="U26" i="68" s="1"/>
  <c r="P22" i="68"/>
  <c r="T22" i="68" s="1"/>
  <c r="U22" i="68" s="1"/>
  <c r="P113" i="68"/>
  <c r="U113" i="68" s="1"/>
  <c r="P39" i="68"/>
  <c r="U39" i="68" s="1"/>
  <c r="P123" i="68"/>
  <c r="U123" i="68" s="1"/>
  <c r="P28" i="68"/>
  <c r="T28" i="68" s="1"/>
  <c r="U28" i="68" s="1"/>
  <c r="P40" i="68"/>
  <c r="U40" i="68" s="1"/>
  <c r="P14" i="68"/>
  <c r="P42" i="68"/>
  <c r="U42" i="68" s="1"/>
  <c r="E51" i="72"/>
  <c r="V51" i="72" s="1"/>
  <c r="I85" i="21"/>
  <c r="I90" i="21"/>
  <c r="I92" i="21"/>
  <c r="H88" i="21"/>
  <c r="I88" i="21" s="1"/>
  <c r="H104" i="18"/>
  <c r="I107" i="18" s="1"/>
  <c r="C107" i="18"/>
  <c r="I92" i="38"/>
  <c r="H88" i="38"/>
  <c r="I88" i="38" s="1"/>
  <c r="I85" i="38"/>
  <c r="I90" i="38"/>
  <c r="P18" i="43"/>
  <c r="T18" i="43" s="1"/>
  <c r="U18" i="43" s="1"/>
  <c r="P23" i="43"/>
  <c r="T23" i="43" s="1"/>
  <c r="U23" i="43" s="1"/>
  <c r="P121" i="43"/>
  <c r="U121" i="43" s="1"/>
  <c r="P113" i="43"/>
  <c r="U113" i="43" s="1"/>
  <c r="P15" i="43"/>
  <c r="T15" i="43" s="1"/>
  <c r="U15" i="43" s="1"/>
  <c r="P25" i="43"/>
  <c r="T25" i="43" s="1"/>
  <c r="U25" i="43" s="1"/>
  <c r="P20" i="43"/>
  <c r="T20" i="43" s="1"/>
  <c r="U20" i="43" s="1"/>
  <c r="P40" i="43"/>
  <c r="U40" i="43" s="1"/>
  <c r="P43" i="43"/>
  <c r="U43" i="43" s="1"/>
  <c r="P123" i="43"/>
  <c r="U123" i="43" s="1"/>
  <c r="P27" i="43"/>
  <c r="T27" i="43" s="1"/>
  <c r="U27" i="43" s="1"/>
  <c r="P17" i="43"/>
  <c r="T17" i="43" s="1"/>
  <c r="U17" i="43" s="1"/>
  <c r="P22" i="43"/>
  <c r="T22" i="43" s="1"/>
  <c r="U22" i="43" s="1"/>
  <c r="P14" i="43"/>
  <c r="P29" i="43"/>
  <c r="T29" i="43" s="1"/>
  <c r="U29" i="43" s="1"/>
  <c r="P24" i="43"/>
  <c r="T24" i="43" s="1"/>
  <c r="U24" i="43" s="1"/>
  <c r="P38" i="43"/>
  <c r="U38" i="43" s="1"/>
  <c r="P41" i="43"/>
  <c r="U41" i="43" s="1"/>
  <c r="P21" i="43"/>
  <c r="T21" i="43" s="1"/>
  <c r="U21" i="43" s="1"/>
  <c r="P16" i="43"/>
  <c r="T16" i="43" s="1"/>
  <c r="U16" i="43" s="1"/>
  <c r="P42" i="43"/>
  <c r="U42" i="43" s="1"/>
  <c r="P26" i="43"/>
  <c r="T26" i="43" s="1"/>
  <c r="U26" i="43" s="1"/>
  <c r="P39" i="43"/>
  <c r="U39" i="43" s="1"/>
  <c r="P122" i="43"/>
  <c r="U122" i="43" s="1"/>
  <c r="P19" i="43"/>
  <c r="T19" i="43" s="1"/>
  <c r="U19" i="43" s="1"/>
  <c r="P28" i="43"/>
  <c r="T28" i="43" s="1"/>
  <c r="U28" i="43" s="1"/>
  <c r="E32" i="72"/>
  <c r="V32" i="72" s="1"/>
  <c r="I30" i="26"/>
  <c r="E32" i="60"/>
  <c r="P21" i="69"/>
  <c r="T21" i="69" s="1"/>
  <c r="U21" i="69" s="1"/>
  <c r="P28" i="69"/>
  <c r="T28" i="69" s="1"/>
  <c r="U28" i="69" s="1"/>
  <c r="P39" i="69"/>
  <c r="U39" i="69" s="1"/>
  <c r="P42" i="69"/>
  <c r="U42" i="69" s="1"/>
  <c r="P18" i="69"/>
  <c r="T18" i="69" s="1"/>
  <c r="U18" i="69" s="1"/>
  <c r="P23" i="69"/>
  <c r="T23" i="69" s="1"/>
  <c r="U23" i="69" s="1"/>
  <c r="P121" i="69"/>
  <c r="U121" i="69" s="1"/>
  <c r="P113" i="69"/>
  <c r="U113" i="69" s="1"/>
  <c r="P15" i="69"/>
  <c r="T15" i="69" s="1"/>
  <c r="U15" i="69" s="1"/>
  <c r="P25" i="69"/>
  <c r="T25" i="69" s="1"/>
  <c r="U25" i="69" s="1"/>
  <c r="P20" i="69"/>
  <c r="T20" i="69" s="1"/>
  <c r="U20" i="69" s="1"/>
  <c r="P40" i="69"/>
  <c r="U40" i="69" s="1"/>
  <c r="P43" i="69"/>
  <c r="U43" i="69" s="1"/>
  <c r="P123" i="69"/>
  <c r="U123" i="69" s="1"/>
  <c r="P17" i="69"/>
  <c r="T17" i="69" s="1"/>
  <c r="U17" i="69" s="1"/>
  <c r="P22" i="69"/>
  <c r="T22" i="69" s="1"/>
  <c r="U22" i="69" s="1"/>
  <c r="P14" i="69"/>
  <c r="P29" i="69"/>
  <c r="T29" i="69" s="1"/>
  <c r="U29" i="69" s="1"/>
  <c r="P24" i="69"/>
  <c r="T24" i="69" s="1"/>
  <c r="U24" i="69" s="1"/>
  <c r="P38" i="69"/>
  <c r="U38" i="69" s="1"/>
  <c r="P41" i="69"/>
  <c r="U41" i="69" s="1"/>
  <c r="P19" i="69"/>
  <c r="T19" i="69" s="1"/>
  <c r="U19" i="69" s="1"/>
  <c r="P26" i="69"/>
  <c r="T26" i="69" s="1"/>
  <c r="U26" i="69" s="1"/>
  <c r="P122" i="69"/>
  <c r="U122" i="69" s="1"/>
  <c r="P27" i="69"/>
  <c r="T27" i="69" s="1"/>
  <c r="U27" i="69" s="1"/>
  <c r="P16" i="69"/>
  <c r="T16" i="69" s="1"/>
  <c r="U16" i="69" s="1"/>
  <c r="E48" i="72"/>
  <c r="V48" i="72" s="1"/>
  <c r="I92" i="66"/>
  <c r="H88" i="66"/>
  <c r="I88" i="66" s="1"/>
  <c r="I85" i="66"/>
  <c r="I90" i="66"/>
  <c r="P20" i="55"/>
  <c r="T20" i="55" s="1"/>
  <c r="U20" i="55" s="1"/>
  <c r="P40" i="55"/>
  <c r="U40" i="55" s="1"/>
  <c r="P43" i="55"/>
  <c r="U43" i="55" s="1"/>
  <c r="P123" i="55"/>
  <c r="U123" i="55" s="1"/>
  <c r="P27" i="55"/>
  <c r="T27" i="55" s="1"/>
  <c r="U27" i="55" s="1"/>
  <c r="P17" i="55"/>
  <c r="T17" i="55" s="1"/>
  <c r="U17" i="55" s="1"/>
  <c r="P22" i="55"/>
  <c r="T22" i="55" s="1"/>
  <c r="U22" i="55" s="1"/>
  <c r="P14" i="55"/>
  <c r="P29" i="55"/>
  <c r="T29" i="55" s="1"/>
  <c r="U29" i="55" s="1"/>
  <c r="P24" i="55"/>
  <c r="T24" i="55" s="1"/>
  <c r="U24" i="55" s="1"/>
  <c r="P38" i="55"/>
  <c r="U38" i="55" s="1"/>
  <c r="P41" i="55"/>
  <c r="U41" i="55" s="1"/>
  <c r="P19" i="55"/>
  <c r="T19" i="55" s="1"/>
  <c r="U19" i="55" s="1"/>
  <c r="P122" i="55"/>
  <c r="U122" i="55" s="1"/>
  <c r="P16" i="55"/>
  <c r="T16" i="55" s="1"/>
  <c r="U16" i="55" s="1"/>
  <c r="P26" i="55"/>
  <c r="T26" i="55" s="1"/>
  <c r="U26" i="55" s="1"/>
  <c r="P21" i="55"/>
  <c r="T21" i="55" s="1"/>
  <c r="U21" i="55" s="1"/>
  <c r="P28" i="55"/>
  <c r="T28" i="55" s="1"/>
  <c r="U28" i="55" s="1"/>
  <c r="P39" i="55"/>
  <c r="U39" i="55" s="1"/>
  <c r="P42" i="55"/>
  <c r="U42" i="55" s="1"/>
  <c r="P113" i="55"/>
  <c r="U113" i="55" s="1"/>
  <c r="P23" i="55"/>
  <c r="T23" i="55" s="1"/>
  <c r="U23" i="55" s="1"/>
  <c r="P121" i="55"/>
  <c r="U121" i="55" s="1"/>
  <c r="P18" i="55"/>
  <c r="T18" i="55" s="1"/>
  <c r="U18" i="55" s="1"/>
  <c r="P25" i="55"/>
  <c r="T25" i="55" s="1"/>
  <c r="U25" i="55" s="1"/>
  <c r="P15" i="55"/>
  <c r="T15" i="55" s="1"/>
  <c r="U15" i="55" s="1"/>
  <c r="E42" i="72"/>
  <c r="V42" i="72" s="1"/>
  <c r="I85" i="68"/>
  <c r="I90" i="68"/>
  <c r="I92" i="68"/>
  <c r="H88" i="68"/>
  <c r="I88" i="68" s="1"/>
  <c r="I92" i="22"/>
  <c r="I90" i="22"/>
  <c r="I85" i="22"/>
  <c r="H88" i="22"/>
  <c r="I88" i="22" s="1"/>
  <c r="P113" i="67"/>
  <c r="U113" i="67" s="1"/>
  <c r="P15" i="67"/>
  <c r="T15" i="67" s="1"/>
  <c r="U15" i="67" s="1"/>
  <c r="P20" i="67"/>
  <c r="T20" i="67" s="1"/>
  <c r="U20" i="67" s="1"/>
  <c r="P40" i="67"/>
  <c r="U40" i="67" s="1"/>
  <c r="P43" i="67"/>
  <c r="U43" i="67" s="1"/>
  <c r="P123" i="67"/>
  <c r="U123" i="67" s="1"/>
  <c r="P29" i="67"/>
  <c r="T29" i="67" s="1"/>
  <c r="U29" i="67" s="1"/>
  <c r="P17" i="67"/>
  <c r="T17" i="67" s="1"/>
  <c r="U17" i="67" s="1"/>
  <c r="P19" i="67"/>
  <c r="T19" i="67" s="1"/>
  <c r="U19" i="67" s="1"/>
  <c r="P39" i="67"/>
  <c r="U39" i="67" s="1"/>
  <c r="P122" i="67"/>
  <c r="U122" i="67" s="1"/>
  <c r="P24" i="67"/>
  <c r="T24" i="67" s="1"/>
  <c r="U24" i="67" s="1"/>
  <c r="P26" i="67"/>
  <c r="T26" i="67" s="1"/>
  <c r="U26" i="67" s="1"/>
  <c r="P16" i="67"/>
  <c r="T16" i="67" s="1"/>
  <c r="U16" i="67" s="1"/>
  <c r="P18" i="67"/>
  <c r="T18" i="67" s="1"/>
  <c r="U18" i="67" s="1"/>
  <c r="P41" i="67"/>
  <c r="U41" i="67" s="1"/>
  <c r="P121" i="67"/>
  <c r="U121" i="67" s="1"/>
  <c r="P14" i="67"/>
  <c r="P42" i="67"/>
  <c r="U42" i="67" s="1"/>
  <c r="P25" i="67"/>
  <c r="T25" i="67" s="1"/>
  <c r="U25" i="67" s="1"/>
  <c r="P21" i="67"/>
  <c r="T21" i="67" s="1"/>
  <c r="U21" i="67" s="1"/>
  <c r="P22" i="67"/>
  <c r="T22" i="67" s="1"/>
  <c r="U22" i="67" s="1"/>
  <c r="P27" i="67"/>
  <c r="T27" i="67" s="1"/>
  <c r="U27" i="67" s="1"/>
  <c r="P38" i="67"/>
  <c r="U38" i="67" s="1"/>
  <c r="P23" i="67"/>
  <c r="T23" i="67" s="1"/>
  <c r="U23" i="67" s="1"/>
  <c r="P28" i="67"/>
  <c r="T28" i="67" s="1"/>
  <c r="U28" i="67" s="1"/>
  <c r="E47" i="72"/>
  <c r="V47" i="72" s="1"/>
  <c r="P17" i="27"/>
  <c r="T17" i="27" s="1"/>
  <c r="U17" i="27" s="1"/>
  <c r="P22" i="27"/>
  <c r="T22" i="27" s="1"/>
  <c r="U22" i="27" s="1"/>
  <c r="P14" i="27"/>
  <c r="P29" i="27"/>
  <c r="T29" i="27" s="1"/>
  <c r="U29" i="27" s="1"/>
  <c r="P24" i="27"/>
  <c r="T24" i="27" s="1"/>
  <c r="U24" i="27" s="1"/>
  <c r="P38" i="27"/>
  <c r="U38" i="27" s="1"/>
  <c r="P41" i="27"/>
  <c r="U41" i="27" s="1"/>
  <c r="P19" i="27"/>
  <c r="T19" i="27" s="1"/>
  <c r="U19" i="27" s="1"/>
  <c r="P122" i="27"/>
  <c r="U122" i="27" s="1"/>
  <c r="P16" i="27"/>
  <c r="T16" i="27" s="1"/>
  <c r="U16" i="27" s="1"/>
  <c r="P26" i="27"/>
  <c r="T26" i="27" s="1"/>
  <c r="U26" i="27" s="1"/>
  <c r="P21" i="27"/>
  <c r="T21" i="27" s="1"/>
  <c r="U21" i="27" s="1"/>
  <c r="P28" i="27"/>
  <c r="T28" i="27" s="1"/>
  <c r="U28" i="27" s="1"/>
  <c r="P39" i="27"/>
  <c r="U39" i="27" s="1"/>
  <c r="P42" i="27"/>
  <c r="U42" i="27" s="1"/>
  <c r="P18" i="27"/>
  <c r="T18" i="27" s="1"/>
  <c r="U18" i="27" s="1"/>
  <c r="P23" i="27"/>
  <c r="T23" i="27" s="1"/>
  <c r="U23" i="27" s="1"/>
  <c r="P121" i="27"/>
  <c r="U121" i="27" s="1"/>
  <c r="P15" i="27"/>
  <c r="T15" i="27" s="1"/>
  <c r="U15" i="27" s="1"/>
  <c r="P25" i="27"/>
  <c r="T25" i="27" s="1"/>
  <c r="U25" i="27" s="1"/>
  <c r="P20" i="27"/>
  <c r="T20" i="27" s="1"/>
  <c r="U20" i="27" s="1"/>
  <c r="P40" i="27"/>
  <c r="U40" i="27" s="1"/>
  <c r="P43" i="27"/>
  <c r="U43" i="27" s="1"/>
  <c r="P123" i="27"/>
  <c r="U123" i="27" s="1"/>
  <c r="P113" i="27"/>
  <c r="U113" i="27" s="1"/>
  <c r="P27" i="27"/>
  <c r="T27" i="27" s="1"/>
  <c r="U27" i="27" s="1"/>
  <c r="E18" i="72"/>
  <c r="V18" i="72" s="1"/>
  <c r="C107" i="48"/>
  <c r="P15" i="51"/>
  <c r="T15" i="51" s="1"/>
  <c r="U15" i="51" s="1"/>
  <c r="P25" i="51"/>
  <c r="T25" i="51" s="1"/>
  <c r="U25" i="51" s="1"/>
  <c r="P27" i="51"/>
  <c r="T27" i="51" s="1"/>
  <c r="U27" i="51" s="1"/>
  <c r="P14" i="51"/>
  <c r="P29" i="51"/>
  <c r="T29" i="51" s="1"/>
  <c r="U29" i="51" s="1"/>
  <c r="P24" i="51"/>
  <c r="T24" i="51" s="1"/>
  <c r="U24" i="51" s="1"/>
  <c r="P38" i="51"/>
  <c r="U38" i="51" s="1"/>
  <c r="P41" i="51"/>
  <c r="U41" i="51" s="1"/>
  <c r="P122" i="51"/>
  <c r="U122" i="51" s="1"/>
  <c r="P17" i="51"/>
  <c r="T17" i="51" s="1"/>
  <c r="U17" i="51" s="1"/>
  <c r="P22" i="51"/>
  <c r="T22" i="51" s="1"/>
  <c r="U22" i="51" s="1"/>
  <c r="P42" i="51"/>
  <c r="U42" i="51" s="1"/>
  <c r="P20" i="51"/>
  <c r="T20" i="51" s="1"/>
  <c r="U20" i="51" s="1"/>
  <c r="P121" i="51"/>
  <c r="U121" i="51" s="1"/>
  <c r="P43" i="51"/>
  <c r="U43" i="51" s="1"/>
  <c r="P113" i="51"/>
  <c r="U113" i="51" s="1"/>
  <c r="P28" i="51"/>
  <c r="T28" i="51" s="1"/>
  <c r="U28" i="51" s="1"/>
  <c r="P18" i="51"/>
  <c r="T18" i="51" s="1"/>
  <c r="U18" i="51" s="1"/>
  <c r="P23" i="51"/>
  <c r="T23" i="51" s="1"/>
  <c r="U23" i="51" s="1"/>
  <c r="P123" i="51"/>
  <c r="U123" i="51" s="1"/>
  <c r="P16" i="51"/>
  <c r="T16" i="51" s="1"/>
  <c r="U16" i="51" s="1"/>
  <c r="P26" i="51"/>
  <c r="T26" i="51" s="1"/>
  <c r="U26" i="51" s="1"/>
  <c r="P39" i="51"/>
  <c r="U39" i="51" s="1"/>
  <c r="P21" i="51"/>
  <c r="T21" i="51" s="1"/>
  <c r="U21" i="51" s="1"/>
  <c r="P19" i="51"/>
  <c r="T19" i="51" s="1"/>
  <c r="U19" i="51" s="1"/>
  <c r="P40" i="51"/>
  <c r="U40" i="51" s="1"/>
  <c r="E38" i="72"/>
  <c r="V38" i="72" s="1"/>
  <c r="I92" i="23"/>
  <c r="H88" i="23"/>
  <c r="I88" i="23" s="1"/>
  <c r="I85" i="23"/>
  <c r="I90" i="23"/>
  <c r="C107" i="42"/>
  <c r="H104" i="42"/>
  <c r="I107" i="42" s="1"/>
  <c r="P18" i="31"/>
  <c r="T18" i="31" s="1"/>
  <c r="U18" i="31" s="1"/>
  <c r="P23" i="31"/>
  <c r="T23" i="31" s="1"/>
  <c r="U23" i="31" s="1"/>
  <c r="P20" i="31"/>
  <c r="T20" i="31" s="1"/>
  <c r="U20" i="31" s="1"/>
  <c r="P27" i="31"/>
  <c r="T27" i="31" s="1"/>
  <c r="U27" i="31" s="1"/>
  <c r="P17" i="31"/>
  <c r="T17" i="31" s="1"/>
  <c r="U17" i="31" s="1"/>
  <c r="P22" i="31"/>
  <c r="T22" i="31" s="1"/>
  <c r="U22" i="31" s="1"/>
  <c r="P16" i="31"/>
  <c r="T16" i="31" s="1"/>
  <c r="U16" i="31" s="1"/>
  <c r="P26" i="31"/>
  <c r="T26" i="31" s="1"/>
  <c r="U26" i="31" s="1"/>
  <c r="P19" i="31"/>
  <c r="T19" i="31" s="1"/>
  <c r="U19" i="31" s="1"/>
  <c r="P25" i="31"/>
  <c r="T25" i="31" s="1"/>
  <c r="U25" i="31" s="1"/>
  <c r="P28" i="31"/>
  <c r="T28" i="31" s="1"/>
  <c r="U28" i="31" s="1"/>
  <c r="P121" i="31"/>
  <c r="U121" i="31" s="1"/>
  <c r="P14" i="31"/>
  <c r="P113" i="31"/>
  <c r="U113" i="31" s="1"/>
  <c r="P40" i="31"/>
  <c r="U40" i="31" s="1"/>
  <c r="P43" i="31"/>
  <c r="U43" i="31" s="1"/>
  <c r="P123" i="31"/>
  <c r="U123" i="31" s="1"/>
  <c r="P15" i="31"/>
  <c r="T15" i="31" s="1"/>
  <c r="U15" i="31" s="1"/>
  <c r="P29" i="31"/>
  <c r="T29" i="31" s="1"/>
  <c r="U29" i="31" s="1"/>
  <c r="P38" i="31"/>
  <c r="U38" i="31" s="1"/>
  <c r="P41" i="31"/>
  <c r="U41" i="31" s="1"/>
  <c r="P21" i="31"/>
  <c r="T21" i="31" s="1"/>
  <c r="U21" i="31" s="1"/>
  <c r="P24" i="31"/>
  <c r="T24" i="31" s="1"/>
  <c r="U24" i="31" s="1"/>
  <c r="P122" i="31"/>
  <c r="U122" i="31" s="1"/>
  <c r="P39" i="31"/>
  <c r="U39" i="31" s="1"/>
  <c r="P42" i="31"/>
  <c r="U42" i="31" s="1"/>
  <c r="E20" i="72"/>
  <c r="H88" i="25"/>
  <c r="I88" i="25" s="1"/>
  <c r="I85" i="25"/>
  <c r="I90" i="25"/>
  <c r="I92" i="25"/>
  <c r="P16" i="66"/>
  <c r="T16" i="66" s="1"/>
  <c r="U16" i="66" s="1"/>
  <c r="P26" i="66"/>
  <c r="T26" i="66" s="1"/>
  <c r="U26" i="66" s="1"/>
  <c r="P28" i="66"/>
  <c r="T28" i="66" s="1"/>
  <c r="U28" i="66" s="1"/>
  <c r="P39" i="66"/>
  <c r="U39" i="66" s="1"/>
  <c r="P42" i="66"/>
  <c r="U42" i="66" s="1"/>
  <c r="P18" i="66"/>
  <c r="T18" i="66" s="1"/>
  <c r="U18" i="66" s="1"/>
  <c r="P23" i="66"/>
  <c r="T23" i="66" s="1"/>
  <c r="U23" i="66" s="1"/>
  <c r="P121" i="66"/>
  <c r="U121" i="66" s="1"/>
  <c r="P113" i="66"/>
  <c r="U113" i="66" s="1"/>
  <c r="P15" i="66"/>
  <c r="T15" i="66" s="1"/>
  <c r="U15" i="66" s="1"/>
  <c r="P25" i="66"/>
  <c r="T25" i="66" s="1"/>
  <c r="U25" i="66" s="1"/>
  <c r="P27" i="66"/>
  <c r="T27" i="66" s="1"/>
  <c r="U27" i="66" s="1"/>
  <c r="P17" i="66"/>
  <c r="T17" i="66" s="1"/>
  <c r="U17" i="66" s="1"/>
  <c r="P22" i="66"/>
  <c r="T22" i="66" s="1"/>
  <c r="U22" i="66" s="1"/>
  <c r="P14" i="66"/>
  <c r="P29" i="66"/>
  <c r="T29" i="66" s="1"/>
  <c r="U29" i="66" s="1"/>
  <c r="P19" i="66"/>
  <c r="T19" i="66" s="1"/>
  <c r="U19" i="66" s="1"/>
  <c r="P20" i="66"/>
  <c r="T20" i="66" s="1"/>
  <c r="U20" i="66" s="1"/>
  <c r="P24" i="66"/>
  <c r="T24" i="66" s="1"/>
  <c r="U24" i="66" s="1"/>
  <c r="P40" i="66"/>
  <c r="U40" i="66" s="1"/>
  <c r="P41" i="66"/>
  <c r="U41" i="66" s="1"/>
  <c r="P21" i="66"/>
  <c r="T21" i="66" s="1"/>
  <c r="U21" i="66" s="1"/>
  <c r="P122" i="66"/>
  <c r="U122" i="66" s="1"/>
  <c r="P43" i="66"/>
  <c r="U43" i="66" s="1"/>
  <c r="P123" i="66"/>
  <c r="U123" i="66" s="1"/>
  <c r="P38" i="66"/>
  <c r="U38" i="66" s="1"/>
  <c r="E46" i="72"/>
  <c r="I85" i="55"/>
  <c r="I90" i="55"/>
  <c r="I92" i="55"/>
  <c r="H88" i="55"/>
  <c r="I88" i="55" s="1"/>
  <c r="H104" i="58"/>
  <c r="I107" i="58" s="1"/>
  <c r="C107" i="58"/>
  <c r="C107" i="55"/>
  <c r="H104" i="55"/>
  <c r="I107" i="55" s="1"/>
  <c r="I92" i="58"/>
  <c r="H88" i="58"/>
  <c r="I88" i="58" s="1"/>
  <c r="I90" i="58"/>
  <c r="I85" i="58"/>
  <c r="P18" i="58"/>
  <c r="T18" i="58" s="1"/>
  <c r="U18" i="58" s="1"/>
  <c r="P23" i="58"/>
  <c r="T23" i="58" s="1"/>
  <c r="U23" i="58" s="1"/>
  <c r="P121" i="58"/>
  <c r="U121" i="58" s="1"/>
  <c r="P15" i="58"/>
  <c r="T15" i="58" s="1"/>
  <c r="U15" i="58" s="1"/>
  <c r="P25" i="58"/>
  <c r="T25" i="58" s="1"/>
  <c r="U25" i="58" s="1"/>
  <c r="P20" i="58"/>
  <c r="T20" i="58" s="1"/>
  <c r="U20" i="58" s="1"/>
  <c r="P40" i="58"/>
  <c r="U40" i="58" s="1"/>
  <c r="P43" i="58"/>
  <c r="U43" i="58" s="1"/>
  <c r="P123" i="58"/>
  <c r="U123" i="58" s="1"/>
  <c r="P27" i="58"/>
  <c r="T27" i="58" s="1"/>
  <c r="U27" i="58" s="1"/>
  <c r="P17" i="58"/>
  <c r="T17" i="58" s="1"/>
  <c r="U17" i="58" s="1"/>
  <c r="P22" i="58"/>
  <c r="T22" i="58" s="1"/>
  <c r="U22" i="58" s="1"/>
  <c r="P19" i="58"/>
  <c r="T19" i="58" s="1"/>
  <c r="U19" i="58" s="1"/>
  <c r="P122" i="58"/>
  <c r="U122" i="58" s="1"/>
  <c r="P16" i="58"/>
  <c r="T16" i="58" s="1"/>
  <c r="U16" i="58" s="1"/>
  <c r="P26" i="58"/>
  <c r="T26" i="58" s="1"/>
  <c r="U26" i="58" s="1"/>
  <c r="P29" i="58"/>
  <c r="T29" i="58" s="1"/>
  <c r="U29" i="58" s="1"/>
  <c r="P41" i="58"/>
  <c r="U41" i="58" s="1"/>
  <c r="P113" i="58"/>
  <c r="U113" i="58" s="1"/>
  <c r="P42" i="58"/>
  <c r="U42" i="58" s="1"/>
  <c r="P14" i="58"/>
  <c r="P38" i="58"/>
  <c r="U38" i="58" s="1"/>
  <c r="P21" i="58"/>
  <c r="T21" i="58" s="1"/>
  <c r="U21" i="58" s="1"/>
  <c r="P24" i="58"/>
  <c r="T24" i="58" s="1"/>
  <c r="U24" i="58" s="1"/>
  <c r="P28" i="58"/>
  <c r="T28" i="58" s="1"/>
  <c r="U28" i="58" s="1"/>
  <c r="P39" i="58"/>
  <c r="U39" i="58" s="1"/>
  <c r="E45" i="72"/>
  <c r="V45" i="72" s="1"/>
  <c r="I30" i="18"/>
  <c r="I46" i="18" s="1"/>
  <c r="H104" i="32"/>
  <c r="I107" i="32" s="1"/>
  <c r="C107" i="32"/>
  <c r="P16" i="38"/>
  <c r="T16" i="38" s="1"/>
  <c r="U16" i="38" s="1"/>
  <c r="P26" i="38"/>
  <c r="T26" i="38" s="1"/>
  <c r="U26" i="38" s="1"/>
  <c r="P28" i="38"/>
  <c r="T28" i="38" s="1"/>
  <c r="U28" i="38" s="1"/>
  <c r="P39" i="38"/>
  <c r="U39" i="38" s="1"/>
  <c r="P42" i="38"/>
  <c r="U42" i="38" s="1"/>
  <c r="P18" i="38"/>
  <c r="T18" i="38" s="1"/>
  <c r="U18" i="38" s="1"/>
  <c r="P23" i="38"/>
  <c r="T23" i="38" s="1"/>
  <c r="U23" i="38" s="1"/>
  <c r="P121" i="38"/>
  <c r="U121" i="38" s="1"/>
  <c r="P113" i="38"/>
  <c r="U113" i="38" s="1"/>
  <c r="P15" i="38"/>
  <c r="T15" i="38" s="1"/>
  <c r="U15" i="38" s="1"/>
  <c r="P25" i="38"/>
  <c r="T25" i="38" s="1"/>
  <c r="U25" i="38" s="1"/>
  <c r="P20" i="38"/>
  <c r="T20" i="38" s="1"/>
  <c r="U20" i="38" s="1"/>
  <c r="P40" i="38"/>
  <c r="U40" i="38" s="1"/>
  <c r="P43" i="38"/>
  <c r="U43" i="38" s="1"/>
  <c r="P123" i="38"/>
  <c r="U123" i="38" s="1"/>
  <c r="P27" i="38"/>
  <c r="T27" i="38" s="1"/>
  <c r="U27" i="38" s="1"/>
  <c r="P17" i="38"/>
  <c r="T17" i="38" s="1"/>
  <c r="U17" i="38" s="1"/>
  <c r="P22" i="38"/>
  <c r="T22" i="38" s="1"/>
  <c r="U22" i="38" s="1"/>
  <c r="P14" i="38"/>
  <c r="P29" i="38"/>
  <c r="T29" i="38" s="1"/>
  <c r="U29" i="38" s="1"/>
  <c r="P24" i="38"/>
  <c r="T24" i="38" s="1"/>
  <c r="U24" i="38" s="1"/>
  <c r="P38" i="38"/>
  <c r="U38" i="38" s="1"/>
  <c r="P41" i="38"/>
  <c r="U41" i="38" s="1"/>
  <c r="P21" i="38"/>
  <c r="T21" i="38" s="1"/>
  <c r="U21" i="38" s="1"/>
  <c r="P19" i="38"/>
  <c r="T19" i="38" s="1"/>
  <c r="U19" i="38" s="1"/>
  <c r="P122" i="38"/>
  <c r="U122" i="38" s="1"/>
  <c r="E28" i="72"/>
  <c r="V28" i="72" s="1"/>
  <c r="H88" i="67"/>
  <c r="I88" i="67" s="1"/>
  <c r="I90" i="67"/>
  <c r="I92" i="67"/>
  <c r="I85" i="67"/>
  <c r="H88" i="77"/>
  <c r="I88" i="77" s="1"/>
  <c r="I85" i="77"/>
  <c r="I90" i="77"/>
  <c r="I92" i="77"/>
  <c r="I92" i="26"/>
  <c r="H88" i="26"/>
  <c r="I88" i="26" s="1"/>
  <c r="I85" i="26"/>
  <c r="I90" i="26"/>
  <c r="C107" i="40"/>
  <c r="P15" i="16"/>
  <c r="T15" i="16" s="1"/>
  <c r="U15" i="16" s="1"/>
  <c r="P17" i="16"/>
  <c r="T17" i="16" s="1"/>
  <c r="U17" i="16" s="1"/>
  <c r="P19" i="16"/>
  <c r="T19" i="16" s="1"/>
  <c r="U19" i="16" s="1"/>
  <c r="P14" i="16"/>
  <c r="P29" i="16"/>
  <c r="T29" i="16" s="1"/>
  <c r="U29" i="16" s="1"/>
  <c r="P24" i="16"/>
  <c r="T24" i="16" s="1"/>
  <c r="U24" i="16" s="1"/>
  <c r="P38" i="16"/>
  <c r="U38" i="16" s="1"/>
  <c r="P41" i="16"/>
  <c r="U41" i="16" s="1"/>
  <c r="P122" i="16"/>
  <c r="U122" i="16" s="1"/>
  <c r="P26" i="16"/>
  <c r="T26" i="16" s="1"/>
  <c r="U26" i="16" s="1"/>
  <c r="P21" i="16"/>
  <c r="T21" i="16" s="1"/>
  <c r="U21" i="16" s="1"/>
  <c r="P28" i="16"/>
  <c r="T28" i="16" s="1"/>
  <c r="U28" i="16" s="1"/>
  <c r="P39" i="16"/>
  <c r="U39" i="16" s="1"/>
  <c r="P42" i="16"/>
  <c r="U42" i="16" s="1"/>
  <c r="P23" i="16"/>
  <c r="T23" i="16" s="1"/>
  <c r="U23" i="16" s="1"/>
  <c r="P121" i="16"/>
  <c r="U121" i="16" s="1"/>
  <c r="P113" i="16"/>
  <c r="U113" i="16" s="1"/>
  <c r="E9" i="72"/>
  <c r="V9" i="72" s="1"/>
  <c r="P25" i="16"/>
  <c r="T25" i="16" s="1"/>
  <c r="U25" i="16" s="1"/>
  <c r="P16" i="16"/>
  <c r="T16" i="16" s="1"/>
  <c r="U16" i="16" s="1"/>
  <c r="P20" i="16"/>
  <c r="T20" i="16" s="1"/>
  <c r="U20" i="16" s="1"/>
  <c r="P27" i="16"/>
  <c r="T27" i="16" s="1"/>
  <c r="U27" i="16" s="1"/>
  <c r="P123" i="16"/>
  <c r="U123" i="16" s="1"/>
  <c r="P40" i="16"/>
  <c r="U40" i="16" s="1"/>
  <c r="P18" i="16"/>
  <c r="T18" i="16" s="1"/>
  <c r="U18" i="16" s="1"/>
  <c r="P22" i="16"/>
  <c r="T22" i="16" s="1"/>
  <c r="U22" i="16" s="1"/>
  <c r="P43" i="16"/>
  <c r="U43" i="16" s="1"/>
  <c r="C107" i="28"/>
  <c r="H104" i="28"/>
  <c r="I107" i="28" s="1"/>
  <c r="I92" i="78"/>
  <c r="H88" i="78"/>
  <c r="I88" i="78" s="1"/>
  <c r="I90" i="78"/>
  <c r="I85" i="78"/>
  <c r="I85" i="27"/>
  <c r="I90" i="27"/>
  <c r="I92" i="27"/>
  <c r="H88" i="27"/>
  <c r="I88" i="27" s="1"/>
  <c r="P17" i="30"/>
  <c r="T17" i="30" s="1"/>
  <c r="U17" i="30" s="1"/>
  <c r="P22" i="30"/>
  <c r="T22" i="30" s="1"/>
  <c r="U22" i="30" s="1"/>
  <c r="P14" i="30"/>
  <c r="P29" i="30"/>
  <c r="T29" i="30" s="1"/>
  <c r="U29" i="30" s="1"/>
  <c r="P24" i="30"/>
  <c r="T24" i="30" s="1"/>
  <c r="U24" i="30" s="1"/>
  <c r="P38" i="30"/>
  <c r="U38" i="30" s="1"/>
  <c r="P41" i="30"/>
  <c r="U41" i="30" s="1"/>
  <c r="P19" i="30"/>
  <c r="T19" i="30" s="1"/>
  <c r="U19" i="30" s="1"/>
  <c r="P122" i="30"/>
  <c r="U122" i="30" s="1"/>
  <c r="P16" i="30"/>
  <c r="T16" i="30" s="1"/>
  <c r="U16" i="30" s="1"/>
  <c r="P26" i="30"/>
  <c r="T26" i="30" s="1"/>
  <c r="U26" i="30" s="1"/>
  <c r="P21" i="30"/>
  <c r="T21" i="30" s="1"/>
  <c r="U21" i="30" s="1"/>
  <c r="P28" i="30"/>
  <c r="T28" i="30" s="1"/>
  <c r="U28" i="30" s="1"/>
  <c r="P39" i="30"/>
  <c r="U39" i="30" s="1"/>
  <c r="P42" i="30"/>
  <c r="U42" i="30" s="1"/>
  <c r="P18" i="30"/>
  <c r="T18" i="30" s="1"/>
  <c r="U18" i="30" s="1"/>
  <c r="P23" i="30"/>
  <c r="T23" i="30" s="1"/>
  <c r="U23" i="30" s="1"/>
  <c r="P121" i="30"/>
  <c r="U121" i="30" s="1"/>
  <c r="P113" i="30"/>
  <c r="U113" i="30" s="1"/>
  <c r="P15" i="30"/>
  <c r="T15" i="30" s="1"/>
  <c r="U15" i="30" s="1"/>
  <c r="P25" i="30"/>
  <c r="T25" i="30" s="1"/>
  <c r="U25" i="30" s="1"/>
  <c r="P20" i="30"/>
  <c r="T20" i="30" s="1"/>
  <c r="U20" i="30" s="1"/>
  <c r="P40" i="30"/>
  <c r="U40" i="30" s="1"/>
  <c r="P43" i="30"/>
  <c r="U43" i="30" s="1"/>
  <c r="P27" i="30"/>
  <c r="T27" i="30" s="1"/>
  <c r="U27" i="30" s="1"/>
  <c r="P123" i="30"/>
  <c r="U123" i="30" s="1"/>
  <c r="H88" i="51"/>
  <c r="I88" i="51" s="1"/>
  <c r="I92" i="51"/>
  <c r="I85" i="51"/>
  <c r="I90" i="51"/>
  <c r="I92" i="18"/>
  <c r="H88" i="18"/>
  <c r="I88" i="18" s="1"/>
  <c r="I90" i="18"/>
  <c r="I85" i="18"/>
  <c r="C107" i="70"/>
  <c r="H104" i="70"/>
  <c r="I107" i="70" s="1"/>
  <c r="P17" i="20"/>
  <c r="T17" i="20" s="1"/>
  <c r="U17" i="20" s="1"/>
  <c r="P22" i="20"/>
  <c r="T22" i="20" s="1"/>
  <c r="U22" i="20" s="1"/>
  <c r="P14" i="20"/>
  <c r="P29" i="20"/>
  <c r="T29" i="20" s="1"/>
  <c r="U29" i="20" s="1"/>
  <c r="P24" i="20"/>
  <c r="T24" i="20" s="1"/>
  <c r="U24" i="20" s="1"/>
  <c r="P38" i="20"/>
  <c r="U38" i="20" s="1"/>
  <c r="P41" i="20"/>
  <c r="U41" i="20" s="1"/>
  <c r="P19" i="20"/>
  <c r="T19" i="20" s="1"/>
  <c r="U19" i="20" s="1"/>
  <c r="P122" i="20"/>
  <c r="U122" i="20" s="1"/>
  <c r="P16" i="20"/>
  <c r="T16" i="20" s="1"/>
  <c r="U16" i="20" s="1"/>
  <c r="P26" i="20"/>
  <c r="T26" i="20" s="1"/>
  <c r="U26" i="20" s="1"/>
  <c r="P21" i="20"/>
  <c r="T21" i="20" s="1"/>
  <c r="U21" i="20" s="1"/>
  <c r="P18" i="20"/>
  <c r="T18" i="20" s="1"/>
  <c r="U18" i="20" s="1"/>
  <c r="P23" i="20"/>
  <c r="T23" i="20" s="1"/>
  <c r="U23" i="20" s="1"/>
  <c r="P121" i="20"/>
  <c r="U121" i="20" s="1"/>
  <c r="P113" i="20"/>
  <c r="U113" i="20" s="1"/>
  <c r="P15" i="20"/>
  <c r="T15" i="20" s="1"/>
  <c r="U15" i="20" s="1"/>
  <c r="P25" i="20"/>
  <c r="T25" i="20" s="1"/>
  <c r="U25" i="20" s="1"/>
  <c r="P20" i="20"/>
  <c r="T20" i="20" s="1"/>
  <c r="U20" i="20" s="1"/>
  <c r="P40" i="20"/>
  <c r="U40" i="20" s="1"/>
  <c r="P43" i="20"/>
  <c r="U43" i="20" s="1"/>
  <c r="P123" i="20"/>
  <c r="U123" i="20" s="1"/>
  <c r="E12" i="72"/>
  <c r="P39" i="20"/>
  <c r="U39" i="20" s="1"/>
  <c r="P27" i="20"/>
  <c r="T27" i="20" s="1"/>
  <c r="U27" i="20" s="1"/>
  <c r="P28" i="20"/>
  <c r="T28" i="20" s="1"/>
  <c r="U28" i="20" s="1"/>
  <c r="P42" i="20"/>
  <c r="U42" i="20" s="1"/>
  <c r="P18" i="22"/>
  <c r="T18" i="22" s="1"/>
  <c r="U18" i="22" s="1"/>
  <c r="P23" i="22"/>
  <c r="T23" i="22" s="1"/>
  <c r="U23" i="22" s="1"/>
  <c r="P121" i="22"/>
  <c r="U121" i="22" s="1"/>
  <c r="P15" i="22"/>
  <c r="T15" i="22" s="1"/>
  <c r="U15" i="22" s="1"/>
  <c r="P25" i="22"/>
  <c r="T25" i="22" s="1"/>
  <c r="U25" i="22" s="1"/>
  <c r="P20" i="22"/>
  <c r="T20" i="22" s="1"/>
  <c r="U20" i="22" s="1"/>
  <c r="P40" i="22"/>
  <c r="U40" i="22" s="1"/>
  <c r="P43" i="22"/>
  <c r="U43" i="22" s="1"/>
  <c r="P123" i="22"/>
  <c r="U123" i="22" s="1"/>
  <c r="P27" i="22"/>
  <c r="T27" i="22" s="1"/>
  <c r="U27" i="22" s="1"/>
  <c r="P14" i="22"/>
  <c r="P29" i="22"/>
  <c r="T29" i="22" s="1"/>
  <c r="U29" i="22" s="1"/>
  <c r="P16" i="22"/>
  <c r="T16" i="22" s="1"/>
  <c r="U16" i="22" s="1"/>
  <c r="P26" i="22"/>
  <c r="T26" i="22" s="1"/>
  <c r="U26" i="22" s="1"/>
  <c r="P24" i="22"/>
  <c r="T24" i="22" s="1"/>
  <c r="U24" i="22" s="1"/>
  <c r="P42" i="22"/>
  <c r="U42" i="22" s="1"/>
  <c r="P19" i="22"/>
  <c r="T19" i="22" s="1"/>
  <c r="U19" i="22" s="1"/>
  <c r="P22" i="22"/>
  <c r="T22" i="22" s="1"/>
  <c r="U22" i="22" s="1"/>
  <c r="P38" i="22"/>
  <c r="U38" i="22" s="1"/>
  <c r="P28" i="22"/>
  <c r="T28" i="22" s="1"/>
  <c r="U28" i="22" s="1"/>
  <c r="P17" i="22"/>
  <c r="T17" i="22" s="1"/>
  <c r="U17" i="22" s="1"/>
  <c r="P39" i="22"/>
  <c r="U39" i="22" s="1"/>
  <c r="P122" i="22"/>
  <c r="U122" i="22" s="1"/>
  <c r="P41" i="22"/>
  <c r="U41" i="22" s="1"/>
  <c r="P113" i="22"/>
  <c r="U113" i="22" s="1"/>
  <c r="P21" i="22"/>
  <c r="T21" i="22" s="1"/>
  <c r="U21" i="22" s="1"/>
  <c r="E16" i="72"/>
  <c r="P16" i="71"/>
  <c r="T16" i="71" s="1"/>
  <c r="U16" i="71" s="1"/>
  <c r="P26" i="71"/>
  <c r="T26" i="71" s="1"/>
  <c r="U26" i="71" s="1"/>
  <c r="P21" i="71"/>
  <c r="T21" i="71" s="1"/>
  <c r="U21" i="71" s="1"/>
  <c r="P28" i="71"/>
  <c r="T28" i="71" s="1"/>
  <c r="U28" i="71" s="1"/>
  <c r="P39" i="71"/>
  <c r="U39" i="71" s="1"/>
  <c r="P42" i="71"/>
  <c r="U42" i="71" s="1"/>
  <c r="P113" i="71"/>
  <c r="U113" i="71" s="1"/>
  <c r="P17" i="71"/>
  <c r="T17" i="71" s="1"/>
  <c r="U17" i="71" s="1"/>
  <c r="P22" i="71"/>
  <c r="T22" i="71" s="1"/>
  <c r="U22" i="71" s="1"/>
  <c r="P18" i="71"/>
  <c r="T18" i="71" s="1"/>
  <c r="U18" i="71" s="1"/>
  <c r="P38" i="71"/>
  <c r="U38" i="71" s="1"/>
  <c r="P121" i="71"/>
  <c r="U121" i="71" s="1"/>
  <c r="P123" i="71"/>
  <c r="U123" i="71" s="1"/>
  <c r="P29" i="71"/>
  <c r="T29" i="71" s="1"/>
  <c r="U29" i="71" s="1"/>
  <c r="P14" i="71"/>
  <c r="P24" i="71"/>
  <c r="T24" i="71" s="1"/>
  <c r="U24" i="71" s="1"/>
  <c r="P40" i="71"/>
  <c r="U40" i="71" s="1"/>
  <c r="P19" i="71"/>
  <c r="T19" i="71" s="1"/>
  <c r="U19" i="71" s="1"/>
  <c r="P27" i="71"/>
  <c r="T27" i="71" s="1"/>
  <c r="U27" i="71" s="1"/>
  <c r="P41" i="71"/>
  <c r="U41" i="71" s="1"/>
  <c r="P25" i="71"/>
  <c r="T25" i="71" s="1"/>
  <c r="U25" i="71" s="1"/>
  <c r="P15" i="71"/>
  <c r="T15" i="71" s="1"/>
  <c r="U15" i="71" s="1"/>
  <c r="P20" i="71"/>
  <c r="T20" i="71" s="1"/>
  <c r="U20" i="71" s="1"/>
  <c r="P122" i="71"/>
  <c r="U122" i="71" s="1"/>
  <c r="P23" i="71"/>
  <c r="T23" i="71" s="1"/>
  <c r="U23" i="71" s="1"/>
  <c r="P43" i="71"/>
  <c r="U43" i="71" s="1"/>
  <c r="E50" i="72"/>
  <c r="P15" i="48"/>
  <c r="T15" i="48" s="1"/>
  <c r="U15" i="48" s="1"/>
  <c r="P25" i="48"/>
  <c r="T25" i="48" s="1"/>
  <c r="U25" i="48" s="1"/>
  <c r="P20" i="48"/>
  <c r="T20" i="48" s="1"/>
  <c r="U20" i="48" s="1"/>
  <c r="P40" i="48"/>
  <c r="U40" i="48" s="1"/>
  <c r="P43" i="48"/>
  <c r="U43" i="48" s="1"/>
  <c r="P123" i="48"/>
  <c r="U123" i="48" s="1"/>
  <c r="P27" i="48"/>
  <c r="T27" i="48" s="1"/>
  <c r="U27" i="48" s="1"/>
  <c r="P17" i="48"/>
  <c r="T17" i="48" s="1"/>
  <c r="U17" i="48" s="1"/>
  <c r="P22" i="48"/>
  <c r="T22" i="48" s="1"/>
  <c r="U22" i="48" s="1"/>
  <c r="P24" i="48"/>
  <c r="T24" i="48" s="1"/>
  <c r="U24" i="48" s="1"/>
  <c r="P38" i="48"/>
  <c r="U38" i="48" s="1"/>
  <c r="P41" i="48"/>
  <c r="U41" i="48" s="1"/>
  <c r="P19" i="48"/>
  <c r="T19" i="48" s="1"/>
  <c r="U19" i="48" s="1"/>
  <c r="P16" i="48"/>
  <c r="T16" i="48" s="1"/>
  <c r="U16" i="48" s="1"/>
  <c r="P26" i="48"/>
  <c r="T26" i="48" s="1"/>
  <c r="U26" i="48" s="1"/>
  <c r="P21" i="48"/>
  <c r="T21" i="48" s="1"/>
  <c r="U21" i="48" s="1"/>
  <c r="P28" i="48"/>
  <c r="T28" i="48" s="1"/>
  <c r="U28" i="48" s="1"/>
  <c r="P39" i="48"/>
  <c r="U39" i="48" s="1"/>
  <c r="P42" i="48"/>
  <c r="U42" i="48" s="1"/>
  <c r="P18" i="48"/>
  <c r="T18" i="48" s="1"/>
  <c r="U18" i="48" s="1"/>
  <c r="P14" i="48"/>
  <c r="P23" i="48"/>
  <c r="T23" i="48" s="1"/>
  <c r="U23" i="48" s="1"/>
  <c r="P122" i="48"/>
  <c r="U122" i="48" s="1"/>
  <c r="P113" i="48"/>
  <c r="U113" i="48" s="1"/>
  <c r="P29" i="48"/>
  <c r="T29" i="48" s="1"/>
  <c r="U29" i="48" s="1"/>
  <c r="P121" i="48"/>
  <c r="U121" i="48" s="1"/>
  <c r="E36" i="72"/>
  <c r="V36" i="72" s="1"/>
  <c r="I107" i="21"/>
  <c r="I85" i="30"/>
  <c r="I90" i="30"/>
  <c r="I92" i="30"/>
  <c r="H88" i="30"/>
  <c r="I88" i="30" s="1"/>
  <c r="I85" i="56"/>
  <c r="I90" i="56"/>
  <c r="I92" i="56"/>
  <c r="H88" i="56"/>
  <c r="I88" i="56" s="1"/>
  <c r="P16" i="23"/>
  <c r="T16" i="23" s="1"/>
  <c r="U16" i="23" s="1"/>
  <c r="P26" i="23"/>
  <c r="T26" i="23" s="1"/>
  <c r="U26" i="23" s="1"/>
  <c r="P21" i="23"/>
  <c r="T21" i="23" s="1"/>
  <c r="U21" i="23" s="1"/>
  <c r="P28" i="23"/>
  <c r="T28" i="23" s="1"/>
  <c r="U28" i="23" s="1"/>
  <c r="P39" i="23"/>
  <c r="U39" i="23" s="1"/>
  <c r="P42" i="23"/>
  <c r="U42" i="23" s="1"/>
  <c r="P18" i="23"/>
  <c r="T18" i="23" s="1"/>
  <c r="U18" i="23" s="1"/>
  <c r="P23" i="23"/>
  <c r="T23" i="23" s="1"/>
  <c r="U23" i="23" s="1"/>
  <c r="P121" i="23"/>
  <c r="U121" i="23" s="1"/>
  <c r="P113" i="23"/>
  <c r="U113" i="23" s="1"/>
  <c r="P15" i="23"/>
  <c r="T15" i="23" s="1"/>
  <c r="U15" i="23" s="1"/>
  <c r="P25" i="23"/>
  <c r="T25" i="23" s="1"/>
  <c r="U25" i="23" s="1"/>
  <c r="P20" i="23"/>
  <c r="T20" i="23" s="1"/>
  <c r="U20" i="23" s="1"/>
  <c r="P40" i="23"/>
  <c r="U40" i="23" s="1"/>
  <c r="P43" i="23"/>
  <c r="U43" i="23" s="1"/>
  <c r="P123" i="23"/>
  <c r="U123" i="23" s="1"/>
  <c r="P27" i="23"/>
  <c r="T27" i="23" s="1"/>
  <c r="U27" i="23" s="1"/>
  <c r="P17" i="23"/>
  <c r="T17" i="23" s="1"/>
  <c r="U17" i="23" s="1"/>
  <c r="P22" i="23"/>
  <c r="T22" i="23" s="1"/>
  <c r="U22" i="23" s="1"/>
  <c r="P14" i="23"/>
  <c r="P29" i="23"/>
  <c r="T29" i="23" s="1"/>
  <c r="U29" i="23" s="1"/>
  <c r="P24" i="23"/>
  <c r="T24" i="23" s="1"/>
  <c r="U24" i="23" s="1"/>
  <c r="P38" i="23"/>
  <c r="U38" i="23" s="1"/>
  <c r="P41" i="23"/>
  <c r="U41" i="23" s="1"/>
  <c r="P19" i="23"/>
  <c r="T19" i="23" s="1"/>
  <c r="U19" i="23" s="1"/>
  <c r="P122" i="23"/>
  <c r="U122" i="23" s="1"/>
  <c r="E25" i="72"/>
  <c r="C107" i="30"/>
  <c r="H104" i="30"/>
  <c r="I107" i="30" s="1"/>
  <c r="P19" i="18"/>
  <c r="T19" i="18" s="1"/>
  <c r="U19" i="18" s="1"/>
  <c r="P16" i="18"/>
  <c r="T16" i="18" s="1"/>
  <c r="U16" i="18" s="1"/>
  <c r="P26" i="18"/>
  <c r="T26" i="18" s="1"/>
  <c r="U26" i="18" s="1"/>
  <c r="P122" i="18"/>
  <c r="U122" i="18" s="1"/>
  <c r="P21" i="18"/>
  <c r="T21" i="18" s="1"/>
  <c r="U21" i="18" s="1"/>
  <c r="P28" i="18"/>
  <c r="T28" i="18" s="1"/>
  <c r="U28" i="18" s="1"/>
  <c r="P39" i="18"/>
  <c r="U39" i="18" s="1"/>
  <c r="P42" i="18"/>
  <c r="U42" i="18" s="1"/>
  <c r="P18" i="18"/>
  <c r="T18" i="18" s="1"/>
  <c r="U18" i="18" s="1"/>
  <c r="P23" i="18"/>
  <c r="T23" i="18" s="1"/>
  <c r="U23" i="18" s="1"/>
  <c r="P121" i="18"/>
  <c r="U121" i="18" s="1"/>
  <c r="P20" i="18"/>
  <c r="T20" i="18" s="1"/>
  <c r="U20" i="18" s="1"/>
  <c r="P40" i="18"/>
  <c r="U40" i="18" s="1"/>
  <c r="P43" i="18"/>
  <c r="U43" i="18" s="1"/>
  <c r="P17" i="18"/>
  <c r="T17" i="18" s="1"/>
  <c r="U17" i="18" s="1"/>
  <c r="P22" i="18"/>
  <c r="T22" i="18" s="1"/>
  <c r="U22" i="18" s="1"/>
  <c r="P14" i="18"/>
  <c r="P29" i="18"/>
  <c r="T29" i="18" s="1"/>
  <c r="U29" i="18" s="1"/>
  <c r="P15" i="18"/>
  <c r="T15" i="18" s="1"/>
  <c r="U15" i="18" s="1"/>
  <c r="P113" i="18"/>
  <c r="U113" i="18" s="1"/>
  <c r="P24" i="18"/>
  <c r="T24" i="18" s="1"/>
  <c r="U24" i="18" s="1"/>
  <c r="P25" i="18"/>
  <c r="T25" i="18" s="1"/>
  <c r="U25" i="18" s="1"/>
  <c r="P41" i="18"/>
  <c r="U41" i="18" s="1"/>
  <c r="P123" i="18"/>
  <c r="U123" i="18" s="1"/>
  <c r="P27" i="18"/>
  <c r="T27" i="18" s="1"/>
  <c r="U27" i="18" s="1"/>
  <c r="P38" i="18"/>
  <c r="U38" i="18" s="1"/>
  <c r="E11" i="72"/>
  <c r="P19" i="25"/>
  <c r="T19" i="25" s="1"/>
  <c r="U19" i="25" s="1"/>
  <c r="P16" i="25"/>
  <c r="T16" i="25" s="1"/>
  <c r="U16" i="25" s="1"/>
  <c r="P26" i="25"/>
  <c r="T26" i="25" s="1"/>
  <c r="U26" i="25" s="1"/>
  <c r="P18" i="25"/>
  <c r="T18" i="25" s="1"/>
  <c r="U18" i="25" s="1"/>
  <c r="P23" i="25"/>
  <c r="T23" i="25" s="1"/>
  <c r="U23" i="25" s="1"/>
  <c r="P39" i="25"/>
  <c r="U39" i="25" s="1"/>
  <c r="P42" i="25"/>
  <c r="U42" i="25" s="1"/>
  <c r="P28" i="25"/>
  <c r="T28" i="25" s="1"/>
  <c r="U28" i="25" s="1"/>
  <c r="P121" i="25"/>
  <c r="U121" i="25" s="1"/>
  <c r="P113" i="25"/>
  <c r="U113" i="25" s="1"/>
  <c r="P22" i="25"/>
  <c r="T22" i="25" s="1"/>
  <c r="U22" i="25" s="1"/>
  <c r="P24" i="25"/>
  <c r="T24" i="25" s="1"/>
  <c r="U24" i="25" s="1"/>
  <c r="P20" i="25"/>
  <c r="T20" i="25" s="1"/>
  <c r="U20" i="25" s="1"/>
  <c r="P40" i="25"/>
  <c r="U40" i="25" s="1"/>
  <c r="P43" i="25"/>
  <c r="U43" i="25" s="1"/>
  <c r="P123" i="25"/>
  <c r="U123" i="25" s="1"/>
  <c r="P14" i="25"/>
  <c r="P27" i="25"/>
  <c r="T27" i="25" s="1"/>
  <c r="U27" i="25" s="1"/>
  <c r="P25" i="25"/>
  <c r="T25" i="25" s="1"/>
  <c r="U25" i="25" s="1"/>
  <c r="P29" i="25"/>
  <c r="T29" i="25" s="1"/>
  <c r="U29" i="25" s="1"/>
  <c r="P38" i="25"/>
  <c r="U38" i="25" s="1"/>
  <c r="P41" i="25"/>
  <c r="U41" i="25" s="1"/>
  <c r="P21" i="25"/>
  <c r="T21" i="25" s="1"/>
  <c r="U21" i="25" s="1"/>
  <c r="P122" i="25"/>
  <c r="U122" i="25" s="1"/>
  <c r="P15" i="25"/>
  <c r="T15" i="25" s="1"/>
  <c r="U15" i="25" s="1"/>
  <c r="P17" i="25"/>
  <c r="T17" i="25" s="1"/>
  <c r="U17" i="25" s="1"/>
  <c r="E14" i="72"/>
  <c r="V14" i="72" s="1"/>
  <c r="P17" i="33"/>
  <c r="T17" i="33" s="1"/>
  <c r="U17" i="33" s="1"/>
  <c r="P22" i="33"/>
  <c r="T22" i="33" s="1"/>
  <c r="U22" i="33" s="1"/>
  <c r="P14" i="33"/>
  <c r="P29" i="33"/>
  <c r="T29" i="33" s="1"/>
  <c r="U29" i="33" s="1"/>
  <c r="P24" i="33"/>
  <c r="T24" i="33" s="1"/>
  <c r="U24" i="33" s="1"/>
  <c r="P38" i="33"/>
  <c r="U38" i="33" s="1"/>
  <c r="P41" i="33"/>
  <c r="U41" i="33" s="1"/>
  <c r="P19" i="33"/>
  <c r="T19" i="33" s="1"/>
  <c r="U19" i="33" s="1"/>
  <c r="P122" i="33"/>
  <c r="U122" i="33" s="1"/>
  <c r="P16" i="33"/>
  <c r="T16" i="33" s="1"/>
  <c r="U16" i="33" s="1"/>
  <c r="P26" i="33"/>
  <c r="T26" i="33" s="1"/>
  <c r="U26" i="33" s="1"/>
  <c r="P21" i="33"/>
  <c r="T21" i="33" s="1"/>
  <c r="U21" i="33" s="1"/>
  <c r="P28" i="33"/>
  <c r="T28" i="33" s="1"/>
  <c r="U28" i="33" s="1"/>
  <c r="P39" i="33"/>
  <c r="U39" i="33" s="1"/>
  <c r="P42" i="33"/>
  <c r="U42" i="33" s="1"/>
  <c r="P18" i="33"/>
  <c r="T18" i="33" s="1"/>
  <c r="U18" i="33" s="1"/>
  <c r="P23" i="33"/>
  <c r="T23" i="33" s="1"/>
  <c r="U23" i="33" s="1"/>
  <c r="P121" i="33"/>
  <c r="U121" i="33" s="1"/>
  <c r="P20" i="33"/>
  <c r="T20" i="33" s="1"/>
  <c r="U20" i="33" s="1"/>
  <c r="P40" i="33"/>
  <c r="U40" i="33" s="1"/>
  <c r="P43" i="33"/>
  <c r="U43" i="33" s="1"/>
  <c r="P123" i="33"/>
  <c r="U123" i="33" s="1"/>
  <c r="P15" i="33"/>
  <c r="T15" i="33" s="1"/>
  <c r="U15" i="33" s="1"/>
  <c r="P27" i="33"/>
  <c r="T27" i="33" s="1"/>
  <c r="U27" i="33" s="1"/>
  <c r="P25" i="33"/>
  <c r="T25" i="33" s="1"/>
  <c r="U25" i="33" s="1"/>
  <c r="P113" i="33"/>
  <c r="U113" i="33" s="1"/>
  <c r="E22" i="72"/>
  <c r="V22" i="72" s="1"/>
  <c r="P28" i="57"/>
  <c r="T28" i="57" s="1"/>
  <c r="U28" i="57" s="1"/>
  <c r="P39" i="57"/>
  <c r="U39" i="57" s="1"/>
  <c r="P42" i="57"/>
  <c r="U42" i="57" s="1"/>
  <c r="P113" i="57"/>
  <c r="U113" i="57" s="1"/>
  <c r="P15" i="57"/>
  <c r="T15" i="57" s="1"/>
  <c r="U15" i="57" s="1"/>
  <c r="P25" i="57"/>
  <c r="T25" i="57" s="1"/>
  <c r="U25" i="57" s="1"/>
  <c r="P27" i="57"/>
  <c r="T27" i="57" s="1"/>
  <c r="U27" i="57" s="1"/>
  <c r="P14" i="57"/>
  <c r="P29" i="57"/>
  <c r="T29" i="57" s="1"/>
  <c r="U29" i="57" s="1"/>
  <c r="P24" i="57"/>
  <c r="T24" i="57" s="1"/>
  <c r="U24" i="57" s="1"/>
  <c r="P38" i="57"/>
  <c r="U38" i="57" s="1"/>
  <c r="P41" i="57"/>
  <c r="U41" i="57" s="1"/>
  <c r="P19" i="57"/>
  <c r="T19" i="57" s="1"/>
  <c r="U19" i="57" s="1"/>
  <c r="P122" i="57"/>
  <c r="U122" i="57" s="1"/>
  <c r="P123" i="57"/>
  <c r="U123" i="57" s="1"/>
  <c r="P22" i="57"/>
  <c r="T22" i="57" s="1"/>
  <c r="U22" i="57" s="1"/>
  <c r="P16" i="57"/>
  <c r="T16" i="57" s="1"/>
  <c r="U16" i="57" s="1"/>
  <c r="P26" i="57"/>
  <c r="T26" i="57" s="1"/>
  <c r="U26" i="57" s="1"/>
  <c r="P121" i="57"/>
  <c r="U121" i="57" s="1"/>
  <c r="P23" i="57"/>
  <c r="T23" i="57" s="1"/>
  <c r="U23" i="57" s="1"/>
  <c r="P43" i="57"/>
  <c r="U43" i="57" s="1"/>
  <c r="P20" i="57"/>
  <c r="T20" i="57" s="1"/>
  <c r="U20" i="57" s="1"/>
  <c r="P17" i="57"/>
  <c r="T17" i="57" s="1"/>
  <c r="U17" i="57" s="1"/>
  <c r="P18" i="57"/>
  <c r="T18" i="57" s="1"/>
  <c r="U18" i="57" s="1"/>
  <c r="P40" i="57"/>
  <c r="U40" i="57" s="1"/>
  <c r="P21" i="57"/>
  <c r="T21" i="57" s="1"/>
  <c r="U21" i="57" s="1"/>
  <c r="E44" i="72"/>
  <c r="V44" i="72" s="1"/>
  <c r="I92" i="71"/>
  <c r="H88" i="71"/>
  <c r="I88" i="71" s="1"/>
  <c r="I85" i="71"/>
  <c r="I90" i="71"/>
  <c r="I85" i="48"/>
  <c r="I90" i="48"/>
  <c r="I92" i="48"/>
  <c r="H88" i="48"/>
  <c r="I88" i="48" s="1"/>
  <c r="P28" i="77"/>
  <c r="T28" i="77" s="1"/>
  <c r="U28" i="77" s="1"/>
  <c r="P39" i="77"/>
  <c r="U39" i="77" s="1"/>
  <c r="P42" i="77"/>
  <c r="U42" i="77" s="1"/>
  <c r="P18" i="77"/>
  <c r="T18" i="77" s="1"/>
  <c r="U18" i="77" s="1"/>
  <c r="P23" i="77"/>
  <c r="T23" i="77" s="1"/>
  <c r="U23" i="77" s="1"/>
  <c r="P121" i="77"/>
  <c r="U121" i="77" s="1"/>
  <c r="P113" i="77"/>
  <c r="U113" i="77" s="1"/>
  <c r="P15" i="77"/>
  <c r="T15" i="77" s="1"/>
  <c r="U15" i="77" s="1"/>
  <c r="P25" i="77"/>
  <c r="T25" i="77" s="1"/>
  <c r="U25" i="77" s="1"/>
  <c r="P20" i="77"/>
  <c r="T20" i="77" s="1"/>
  <c r="U20" i="77" s="1"/>
  <c r="P40" i="77"/>
  <c r="U40" i="77" s="1"/>
  <c r="P43" i="77"/>
  <c r="U43" i="77" s="1"/>
  <c r="P123" i="77"/>
  <c r="U123" i="77" s="1"/>
  <c r="P27" i="77"/>
  <c r="T27" i="77" s="1"/>
  <c r="U27" i="77" s="1"/>
  <c r="P17" i="77"/>
  <c r="T17" i="77" s="1"/>
  <c r="U17" i="77" s="1"/>
  <c r="P22" i="77"/>
  <c r="T22" i="77" s="1"/>
  <c r="U22" i="77" s="1"/>
  <c r="P14" i="77"/>
  <c r="P29" i="77"/>
  <c r="T29" i="77" s="1"/>
  <c r="U29" i="77" s="1"/>
  <c r="P24" i="77"/>
  <c r="T24" i="77" s="1"/>
  <c r="U24" i="77" s="1"/>
  <c r="P38" i="77"/>
  <c r="U38" i="77" s="1"/>
  <c r="P41" i="77"/>
  <c r="U41" i="77" s="1"/>
  <c r="P19" i="77"/>
  <c r="T19" i="77" s="1"/>
  <c r="U19" i="77" s="1"/>
  <c r="P122" i="77"/>
  <c r="U122" i="77" s="1"/>
  <c r="P16" i="77"/>
  <c r="T16" i="77" s="1"/>
  <c r="U16" i="77" s="1"/>
  <c r="P26" i="77"/>
  <c r="T26" i="77" s="1"/>
  <c r="U26" i="77" s="1"/>
  <c r="P21" i="77"/>
  <c r="T21" i="77" s="1"/>
  <c r="U21" i="77" s="1"/>
  <c r="E52" i="72"/>
  <c r="V52" i="72" s="1"/>
  <c r="P19" i="26"/>
  <c r="T19" i="26" s="1"/>
  <c r="U19" i="26" s="1"/>
  <c r="P122" i="26"/>
  <c r="U122" i="26" s="1"/>
  <c r="P16" i="26"/>
  <c r="T16" i="26" s="1"/>
  <c r="U16" i="26" s="1"/>
  <c r="P26" i="26"/>
  <c r="T26" i="26" s="1"/>
  <c r="U26" i="26" s="1"/>
  <c r="P21" i="26"/>
  <c r="T21" i="26" s="1"/>
  <c r="U21" i="26" s="1"/>
  <c r="P28" i="26"/>
  <c r="T28" i="26" s="1"/>
  <c r="U28" i="26" s="1"/>
  <c r="P39" i="26"/>
  <c r="U39" i="26" s="1"/>
  <c r="P42" i="26"/>
  <c r="U42" i="26" s="1"/>
  <c r="P18" i="26"/>
  <c r="T18" i="26" s="1"/>
  <c r="U18" i="26" s="1"/>
  <c r="P23" i="26"/>
  <c r="T23" i="26" s="1"/>
  <c r="U23" i="26" s="1"/>
  <c r="P121" i="26"/>
  <c r="U121" i="26" s="1"/>
  <c r="P113" i="26"/>
  <c r="U113" i="26" s="1"/>
  <c r="P15" i="26"/>
  <c r="T15" i="26" s="1"/>
  <c r="U15" i="26" s="1"/>
  <c r="P25" i="26"/>
  <c r="T25" i="26" s="1"/>
  <c r="U25" i="26" s="1"/>
  <c r="P20" i="26"/>
  <c r="T20" i="26" s="1"/>
  <c r="U20" i="26" s="1"/>
  <c r="P40" i="26"/>
  <c r="U40" i="26" s="1"/>
  <c r="P43" i="26"/>
  <c r="U43" i="26" s="1"/>
  <c r="P123" i="26"/>
  <c r="U123" i="26" s="1"/>
  <c r="P17" i="26"/>
  <c r="T17" i="26" s="1"/>
  <c r="U17" i="26" s="1"/>
  <c r="P22" i="26"/>
  <c r="T22" i="26" s="1"/>
  <c r="U22" i="26" s="1"/>
  <c r="P14" i="26"/>
  <c r="P29" i="26"/>
  <c r="T29" i="26" s="1"/>
  <c r="U29" i="26" s="1"/>
  <c r="P38" i="26"/>
  <c r="U38" i="26" s="1"/>
  <c r="P27" i="26"/>
  <c r="T27" i="26" s="1"/>
  <c r="U27" i="26" s="1"/>
  <c r="P41" i="26"/>
  <c r="U41" i="26" s="1"/>
  <c r="P24" i="26"/>
  <c r="T24" i="26" s="1"/>
  <c r="U24" i="26" s="1"/>
  <c r="E17" i="72"/>
  <c r="I85" i="16"/>
  <c r="I90" i="16"/>
  <c r="I92" i="16"/>
  <c r="P19" i="78"/>
  <c r="T19" i="78" s="1"/>
  <c r="U19" i="78" s="1"/>
  <c r="P122" i="78"/>
  <c r="U122" i="78" s="1"/>
  <c r="P16" i="78"/>
  <c r="T16" i="78" s="1"/>
  <c r="U16" i="78" s="1"/>
  <c r="P26" i="78"/>
  <c r="T26" i="78" s="1"/>
  <c r="U26" i="78" s="1"/>
  <c r="P21" i="78"/>
  <c r="T21" i="78" s="1"/>
  <c r="U21" i="78" s="1"/>
  <c r="P28" i="78"/>
  <c r="T28" i="78" s="1"/>
  <c r="U28" i="78" s="1"/>
  <c r="P39" i="78"/>
  <c r="U39" i="78" s="1"/>
  <c r="P42" i="78"/>
  <c r="U42" i="78" s="1"/>
  <c r="P18" i="78"/>
  <c r="T18" i="78" s="1"/>
  <c r="U18" i="78" s="1"/>
  <c r="P23" i="78"/>
  <c r="T23" i="78" s="1"/>
  <c r="U23" i="78" s="1"/>
  <c r="P121" i="78"/>
  <c r="U121" i="78" s="1"/>
  <c r="P113" i="78"/>
  <c r="U113" i="78" s="1"/>
  <c r="P15" i="78"/>
  <c r="T15" i="78" s="1"/>
  <c r="U15" i="78" s="1"/>
  <c r="P25" i="78"/>
  <c r="T25" i="78" s="1"/>
  <c r="U25" i="78" s="1"/>
  <c r="P20" i="78"/>
  <c r="T20" i="78" s="1"/>
  <c r="U20" i="78" s="1"/>
  <c r="P40" i="78"/>
  <c r="U40" i="78" s="1"/>
  <c r="P43" i="78"/>
  <c r="U43" i="78" s="1"/>
  <c r="P123" i="78"/>
  <c r="U123" i="78" s="1"/>
  <c r="P27" i="78"/>
  <c r="T27" i="78" s="1"/>
  <c r="U27" i="78" s="1"/>
  <c r="P17" i="78"/>
  <c r="T17" i="78" s="1"/>
  <c r="U17" i="78" s="1"/>
  <c r="P22" i="78"/>
  <c r="T22" i="78" s="1"/>
  <c r="U22" i="78" s="1"/>
  <c r="P29" i="78"/>
  <c r="T29" i="78" s="1"/>
  <c r="U29" i="78" s="1"/>
  <c r="P14" i="78"/>
  <c r="P24" i="78"/>
  <c r="T24" i="78" s="1"/>
  <c r="U24" i="78" s="1"/>
  <c r="P38" i="78"/>
  <c r="U38" i="78" s="1"/>
  <c r="P41" i="78"/>
  <c r="U41" i="78" s="1"/>
  <c r="E53" i="72"/>
  <c r="V53" i="72" s="1"/>
  <c r="I30" i="30"/>
  <c r="C107" i="31"/>
  <c r="H104" i="31"/>
  <c r="I107" i="31" s="1"/>
  <c r="H104" i="23"/>
  <c r="I107" i="23" s="1"/>
  <c r="C107" i="23"/>
  <c r="I85" i="33"/>
  <c r="I90" i="33"/>
  <c r="I92" i="33"/>
  <c r="H88" i="33"/>
  <c r="I88" i="33" s="1"/>
  <c r="P17" i="36"/>
  <c r="T17" i="36" s="1"/>
  <c r="U17" i="36" s="1"/>
  <c r="P22" i="36"/>
  <c r="T22" i="36" s="1"/>
  <c r="U22" i="36" s="1"/>
  <c r="P14" i="36"/>
  <c r="P29" i="36"/>
  <c r="T29" i="36" s="1"/>
  <c r="U29" i="36" s="1"/>
  <c r="P24" i="36"/>
  <c r="T24" i="36" s="1"/>
  <c r="U24" i="36" s="1"/>
  <c r="P38" i="36"/>
  <c r="U38" i="36" s="1"/>
  <c r="P41" i="36"/>
  <c r="U41" i="36" s="1"/>
  <c r="P18" i="36"/>
  <c r="T18" i="36" s="1"/>
  <c r="U18" i="36" s="1"/>
  <c r="P23" i="36"/>
  <c r="T23" i="36" s="1"/>
  <c r="U23" i="36" s="1"/>
  <c r="P121" i="36"/>
  <c r="U121" i="36" s="1"/>
  <c r="P39" i="36"/>
  <c r="U39" i="36" s="1"/>
  <c r="P43" i="36"/>
  <c r="U43" i="36" s="1"/>
  <c r="P123" i="36"/>
  <c r="U123" i="36" s="1"/>
  <c r="P15" i="36"/>
  <c r="T15" i="36" s="1"/>
  <c r="U15" i="36" s="1"/>
  <c r="P27" i="36"/>
  <c r="T27" i="36" s="1"/>
  <c r="U27" i="36" s="1"/>
  <c r="P40" i="36"/>
  <c r="U40" i="36" s="1"/>
  <c r="P20" i="36"/>
  <c r="T20" i="36" s="1"/>
  <c r="U20" i="36" s="1"/>
  <c r="P25" i="36"/>
  <c r="T25" i="36" s="1"/>
  <c r="U25" i="36" s="1"/>
  <c r="P113" i="36"/>
  <c r="U113" i="36" s="1"/>
  <c r="P16" i="36"/>
  <c r="T16" i="36" s="1"/>
  <c r="U16" i="36" s="1"/>
  <c r="P28" i="36"/>
  <c r="T28" i="36" s="1"/>
  <c r="U28" i="36" s="1"/>
  <c r="P122" i="36"/>
  <c r="U122" i="36" s="1"/>
  <c r="P19" i="36"/>
  <c r="T19" i="36" s="1"/>
  <c r="U19" i="36" s="1"/>
  <c r="P21" i="36"/>
  <c r="T21" i="36" s="1"/>
  <c r="U21" i="36" s="1"/>
  <c r="P26" i="36"/>
  <c r="T26" i="36" s="1"/>
  <c r="U26" i="36" s="1"/>
  <c r="P42" i="36"/>
  <c r="U42" i="36" s="1"/>
  <c r="E26" i="72"/>
  <c r="I92" i="32"/>
  <c r="H88" i="32"/>
  <c r="I88" i="32" s="1"/>
  <c r="I90" i="32"/>
  <c r="I85" i="32"/>
  <c r="H105" i="69"/>
  <c r="I107" i="69" s="1"/>
  <c r="C107" i="69"/>
  <c r="H104" i="67"/>
  <c r="I107" i="67" s="1"/>
  <c r="C107" i="67"/>
  <c r="H104" i="38"/>
  <c r="I107" i="38" s="1"/>
  <c r="C107" i="38"/>
  <c r="C107" i="77"/>
  <c r="H104" i="77"/>
  <c r="I107" i="77" s="1"/>
  <c r="C107" i="24"/>
  <c r="H104" i="24"/>
  <c r="I107" i="24" s="1"/>
  <c r="C107" i="16"/>
  <c r="H104" i="16"/>
  <c r="P15" i="56"/>
  <c r="T15" i="56" s="1"/>
  <c r="U15" i="56" s="1"/>
  <c r="P25" i="56"/>
  <c r="T25" i="56" s="1"/>
  <c r="U25" i="56" s="1"/>
  <c r="P27" i="56"/>
  <c r="T27" i="56" s="1"/>
  <c r="U27" i="56" s="1"/>
  <c r="P17" i="56"/>
  <c r="T17" i="56" s="1"/>
  <c r="U17" i="56" s="1"/>
  <c r="P22" i="56"/>
  <c r="T22" i="56" s="1"/>
  <c r="U22" i="56" s="1"/>
  <c r="P24" i="56"/>
  <c r="T24" i="56" s="1"/>
  <c r="U24" i="56" s="1"/>
  <c r="P38" i="56"/>
  <c r="U38" i="56" s="1"/>
  <c r="P41" i="56"/>
  <c r="U41" i="56" s="1"/>
  <c r="P16" i="56"/>
  <c r="T16" i="56" s="1"/>
  <c r="U16" i="56" s="1"/>
  <c r="P26" i="56"/>
  <c r="T26" i="56" s="1"/>
  <c r="U26" i="56" s="1"/>
  <c r="P21" i="56"/>
  <c r="T21" i="56" s="1"/>
  <c r="U21" i="56" s="1"/>
  <c r="P28" i="56"/>
  <c r="T28" i="56" s="1"/>
  <c r="U28" i="56" s="1"/>
  <c r="P39" i="56"/>
  <c r="U39" i="56" s="1"/>
  <c r="P42" i="56"/>
  <c r="U42" i="56" s="1"/>
  <c r="P123" i="56"/>
  <c r="U123" i="56" s="1"/>
  <c r="P18" i="56"/>
  <c r="T18" i="56" s="1"/>
  <c r="U18" i="56" s="1"/>
  <c r="P40" i="56"/>
  <c r="U40" i="56" s="1"/>
  <c r="P121" i="56"/>
  <c r="U121" i="56" s="1"/>
  <c r="P29" i="56"/>
  <c r="T29" i="56" s="1"/>
  <c r="U29" i="56" s="1"/>
  <c r="P19" i="56"/>
  <c r="T19" i="56" s="1"/>
  <c r="U19" i="56" s="1"/>
  <c r="P113" i="56"/>
  <c r="U113" i="56" s="1"/>
  <c r="P23" i="56"/>
  <c r="T23" i="56" s="1"/>
  <c r="U23" i="56" s="1"/>
  <c r="P122" i="56"/>
  <c r="U122" i="56" s="1"/>
  <c r="P14" i="56"/>
  <c r="P43" i="56"/>
  <c r="U43" i="56" s="1"/>
  <c r="P20" i="56"/>
  <c r="T20" i="56" s="1"/>
  <c r="U20" i="56" s="1"/>
  <c r="E43" i="72"/>
  <c r="V43" i="72" s="1"/>
  <c r="C107" i="45"/>
  <c r="H104" i="45"/>
  <c r="I107" i="45" s="1"/>
  <c r="I30" i="23"/>
  <c r="H88" i="70"/>
  <c r="I88" i="70" s="1"/>
  <c r="I92" i="70"/>
  <c r="I90" i="70"/>
  <c r="I85" i="70"/>
  <c r="C107" i="68"/>
  <c r="H104" i="68"/>
  <c r="I107" i="68" s="1"/>
  <c r="H88" i="35"/>
  <c r="I88" i="35" s="1"/>
  <c r="I85" i="35"/>
  <c r="I90" i="35"/>
  <c r="I92" i="35"/>
  <c r="I85" i="36"/>
  <c r="I90" i="36"/>
  <c r="H88" i="36"/>
  <c r="I88" i="36" s="1"/>
  <c r="I92" i="36"/>
  <c r="P19" i="32"/>
  <c r="T19" i="32" s="1"/>
  <c r="U19" i="32" s="1"/>
  <c r="P16" i="32"/>
  <c r="T16" i="32" s="1"/>
  <c r="U16" i="32" s="1"/>
  <c r="P26" i="32"/>
  <c r="T26" i="32" s="1"/>
  <c r="U26" i="32" s="1"/>
  <c r="P21" i="32"/>
  <c r="T21" i="32" s="1"/>
  <c r="U21" i="32" s="1"/>
  <c r="P28" i="32"/>
  <c r="T28" i="32" s="1"/>
  <c r="U28" i="32" s="1"/>
  <c r="P39" i="32"/>
  <c r="U39" i="32" s="1"/>
  <c r="P42" i="32"/>
  <c r="U42" i="32" s="1"/>
  <c r="P18" i="32"/>
  <c r="T18" i="32" s="1"/>
  <c r="U18" i="32" s="1"/>
  <c r="P23" i="32"/>
  <c r="T23" i="32" s="1"/>
  <c r="U23" i="32" s="1"/>
  <c r="P121" i="32"/>
  <c r="U121" i="32" s="1"/>
  <c r="P113" i="32"/>
  <c r="U113" i="32" s="1"/>
  <c r="P15" i="32"/>
  <c r="T15" i="32" s="1"/>
  <c r="U15" i="32" s="1"/>
  <c r="P25" i="32"/>
  <c r="T25" i="32" s="1"/>
  <c r="U25" i="32" s="1"/>
  <c r="P20" i="32"/>
  <c r="T20" i="32" s="1"/>
  <c r="U20" i="32" s="1"/>
  <c r="P40" i="32"/>
  <c r="U40" i="32" s="1"/>
  <c r="P43" i="32"/>
  <c r="U43" i="32" s="1"/>
  <c r="P14" i="32"/>
  <c r="P29" i="32"/>
  <c r="T29" i="32" s="1"/>
  <c r="U29" i="32" s="1"/>
  <c r="P17" i="32"/>
  <c r="T17" i="32" s="1"/>
  <c r="U17" i="32" s="1"/>
  <c r="P22" i="32"/>
  <c r="T22" i="32" s="1"/>
  <c r="U22" i="32" s="1"/>
  <c r="P41" i="32"/>
  <c r="U41" i="32" s="1"/>
  <c r="P122" i="32"/>
  <c r="U122" i="32" s="1"/>
  <c r="P27" i="32"/>
  <c r="T27" i="32" s="1"/>
  <c r="U27" i="32" s="1"/>
  <c r="P38" i="32"/>
  <c r="U38" i="32" s="1"/>
  <c r="P24" i="32"/>
  <c r="T24" i="32" s="1"/>
  <c r="U24" i="32" s="1"/>
  <c r="P123" i="32"/>
  <c r="U123" i="32" s="1"/>
  <c r="E21" i="72"/>
  <c r="V21" i="72" s="1"/>
  <c r="P20" i="24"/>
  <c r="T20" i="24" s="1"/>
  <c r="U20" i="24" s="1"/>
  <c r="P40" i="24"/>
  <c r="U40" i="24" s="1"/>
  <c r="P43" i="24"/>
  <c r="U43" i="24" s="1"/>
  <c r="P123" i="24"/>
  <c r="U123" i="24" s="1"/>
  <c r="P17" i="24"/>
  <c r="T17" i="24" s="1"/>
  <c r="U17" i="24" s="1"/>
  <c r="P22" i="24"/>
  <c r="T22" i="24" s="1"/>
  <c r="U22" i="24" s="1"/>
  <c r="P14" i="24"/>
  <c r="P29" i="24"/>
  <c r="T29" i="24" s="1"/>
  <c r="U29" i="24" s="1"/>
  <c r="P24" i="24"/>
  <c r="T24" i="24" s="1"/>
  <c r="U24" i="24" s="1"/>
  <c r="P38" i="24"/>
  <c r="U38" i="24" s="1"/>
  <c r="P41" i="24"/>
  <c r="U41" i="24" s="1"/>
  <c r="P16" i="24"/>
  <c r="T16" i="24" s="1"/>
  <c r="U16" i="24" s="1"/>
  <c r="P26" i="24"/>
  <c r="T26" i="24" s="1"/>
  <c r="U26" i="24" s="1"/>
  <c r="P18" i="24"/>
  <c r="T18" i="24" s="1"/>
  <c r="U18" i="24" s="1"/>
  <c r="P23" i="24"/>
  <c r="T23" i="24" s="1"/>
  <c r="U23" i="24" s="1"/>
  <c r="P121" i="24"/>
  <c r="U121" i="24" s="1"/>
  <c r="P19" i="24"/>
  <c r="T19" i="24" s="1"/>
  <c r="U19" i="24" s="1"/>
  <c r="P28" i="24"/>
  <c r="T28" i="24" s="1"/>
  <c r="U28" i="24" s="1"/>
  <c r="P25" i="24"/>
  <c r="T25" i="24" s="1"/>
  <c r="U25" i="24" s="1"/>
  <c r="P39" i="24"/>
  <c r="U39" i="24" s="1"/>
  <c r="P15" i="24"/>
  <c r="T15" i="24" s="1"/>
  <c r="U15" i="24" s="1"/>
  <c r="P113" i="24"/>
  <c r="U113" i="24" s="1"/>
  <c r="P21" i="24"/>
  <c r="T21" i="24" s="1"/>
  <c r="U21" i="24" s="1"/>
  <c r="P27" i="24"/>
  <c r="T27" i="24" s="1"/>
  <c r="U27" i="24" s="1"/>
  <c r="P122" i="24"/>
  <c r="U122" i="24" s="1"/>
  <c r="E15" i="72"/>
  <c r="P42" i="24"/>
  <c r="U42" i="24" s="1"/>
  <c r="I85" i="75"/>
  <c r="I90" i="75"/>
  <c r="I92" i="75"/>
  <c r="H88" i="75"/>
  <c r="I88" i="75" s="1"/>
  <c r="H104" i="78"/>
  <c r="I107" i="78" s="1"/>
  <c r="C107" i="78"/>
  <c r="H88" i="50"/>
  <c r="I88" i="50" s="1"/>
  <c r="I85" i="50"/>
  <c r="I90" i="50"/>
  <c r="I92" i="50"/>
  <c r="P14" i="7"/>
  <c r="P16" i="7"/>
  <c r="T16" i="7" s="1"/>
  <c r="U16" i="7" s="1"/>
  <c r="P121" i="7"/>
  <c r="U121" i="7" s="1"/>
  <c r="P18" i="7"/>
  <c r="T18" i="7" s="1"/>
  <c r="U18" i="7" s="1"/>
  <c r="P20" i="7"/>
  <c r="T20" i="7" s="1"/>
  <c r="U20" i="7" s="1"/>
  <c r="P22" i="7"/>
  <c r="T22" i="7" s="1"/>
  <c r="U22" i="7" s="1"/>
  <c r="P24" i="7"/>
  <c r="T24" i="7" s="1"/>
  <c r="U24" i="7" s="1"/>
  <c r="P26" i="7"/>
  <c r="T26" i="7" s="1"/>
  <c r="U26" i="7" s="1"/>
  <c r="P28" i="7"/>
  <c r="T28" i="7" s="1"/>
  <c r="U28" i="7" s="1"/>
  <c r="P39" i="7"/>
  <c r="U39" i="7" s="1"/>
  <c r="P42" i="7"/>
  <c r="U42" i="7" s="1"/>
  <c r="P113" i="7"/>
  <c r="U113" i="7" s="1"/>
  <c r="P123" i="7"/>
  <c r="U123" i="7" s="1"/>
  <c r="P15" i="7"/>
  <c r="T15" i="7" s="1"/>
  <c r="U15" i="7" s="1"/>
  <c r="P40" i="7"/>
  <c r="U40" i="7" s="1"/>
  <c r="P43" i="7"/>
  <c r="U43" i="7" s="1"/>
  <c r="P17" i="7"/>
  <c r="T17" i="7" s="1"/>
  <c r="U17" i="7" s="1"/>
  <c r="P19" i="7"/>
  <c r="T19" i="7" s="1"/>
  <c r="U19" i="7" s="1"/>
  <c r="P23" i="7"/>
  <c r="T23" i="7" s="1"/>
  <c r="U23" i="7" s="1"/>
  <c r="P27" i="7"/>
  <c r="T27" i="7" s="1"/>
  <c r="U27" i="7" s="1"/>
  <c r="P38" i="7"/>
  <c r="U38" i="7" s="1"/>
  <c r="P122" i="7"/>
  <c r="U122" i="7" s="1"/>
  <c r="P41" i="7"/>
  <c r="U41" i="7" s="1"/>
  <c r="P21" i="7"/>
  <c r="T21" i="7" s="1"/>
  <c r="U21" i="7" s="1"/>
  <c r="P25" i="7"/>
  <c r="T25" i="7" s="1"/>
  <c r="U25" i="7" s="1"/>
  <c r="P29" i="7"/>
  <c r="T29" i="7" s="1"/>
  <c r="U29" i="7" s="1"/>
  <c r="V8" i="72"/>
  <c r="H105" i="60" l="1"/>
  <c r="I91" i="60"/>
  <c r="L91" i="60" s="1"/>
  <c r="I86" i="60"/>
  <c r="L86" i="60" s="1"/>
  <c r="I93" i="60"/>
  <c r="L93" i="60" s="1"/>
  <c r="H89" i="60"/>
  <c r="H99" i="60"/>
  <c r="C74" i="60"/>
  <c r="H75" i="60" s="1"/>
  <c r="H98" i="16"/>
  <c r="I98" i="16" s="1"/>
  <c r="H96" i="56"/>
  <c r="I96" i="56" s="1"/>
  <c r="I128" i="56" s="1"/>
  <c r="I107" i="7"/>
  <c r="H88" i="7"/>
  <c r="I88" i="7" s="1"/>
  <c r="I89" i="60" s="1"/>
  <c r="H98" i="7"/>
  <c r="I98" i="7" s="1"/>
  <c r="I52" i="38"/>
  <c r="I52" i="22"/>
  <c r="I51" i="69"/>
  <c r="I51" i="37"/>
  <c r="I52" i="76"/>
  <c r="I51" i="36"/>
  <c r="I52" i="48"/>
  <c r="I52" i="58"/>
  <c r="I51" i="40"/>
  <c r="I52" i="25"/>
  <c r="I51" i="56"/>
  <c r="I51" i="52"/>
  <c r="I51" i="42"/>
  <c r="I52" i="21"/>
  <c r="I51" i="45"/>
  <c r="I51" i="24"/>
  <c r="I51" i="51"/>
  <c r="I51" i="25"/>
  <c r="I51" i="55"/>
  <c r="I52" i="50"/>
  <c r="I52" i="45"/>
  <c r="I52" i="77"/>
  <c r="I52" i="47"/>
  <c r="I51" i="71"/>
  <c r="I52" i="78"/>
  <c r="I52" i="28"/>
  <c r="I51" i="57"/>
  <c r="I51" i="34"/>
  <c r="I52" i="35"/>
  <c r="I52" i="39"/>
  <c r="I51" i="39"/>
  <c r="I51" i="76"/>
  <c r="I52" i="40"/>
  <c r="I51" i="38"/>
  <c r="I52" i="55"/>
  <c r="U124" i="34"/>
  <c r="I51" i="28"/>
  <c r="U124" i="52"/>
  <c r="U44" i="34"/>
  <c r="O105" i="52"/>
  <c r="T105" i="52" s="1"/>
  <c r="I52" i="37"/>
  <c r="I51" i="77"/>
  <c r="I52" i="69"/>
  <c r="I52" i="34"/>
  <c r="I51" i="58"/>
  <c r="I51" i="47"/>
  <c r="O105" i="34"/>
  <c r="T105" i="34" s="1"/>
  <c r="C108" i="60"/>
  <c r="I51" i="78"/>
  <c r="I52" i="24"/>
  <c r="I52" i="51"/>
  <c r="I52" i="57"/>
  <c r="O106" i="34"/>
  <c r="T106" i="34" s="1"/>
  <c r="P30" i="34"/>
  <c r="P78" i="34" s="1"/>
  <c r="T79" i="34" s="1"/>
  <c r="T85" i="34" s="1"/>
  <c r="U85" i="34" s="1"/>
  <c r="P30" i="52"/>
  <c r="P69" i="52" s="1"/>
  <c r="T70" i="52" s="1"/>
  <c r="I52" i="36"/>
  <c r="R44" i="34"/>
  <c r="I52" i="52"/>
  <c r="I52" i="56"/>
  <c r="I52" i="27"/>
  <c r="U44" i="52"/>
  <c r="I46" i="17"/>
  <c r="O106" i="52"/>
  <c r="T106" i="52" s="1"/>
  <c r="I46" i="66"/>
  <c r="I52" i="71"/>
  <c r="T14" i="52"/>
  <c r="U14" i="52" s="1"/>
  <c r="U30" i="52" s="1"/>
  <c r="I46" i="67"/>
  <c r="I52" i="42"/>
  <c r="I51" i="21"/>
  <c r="R44" i="52"/>
  <c r="I46" i="7"/>
  <c r="I46" i="32"/>
  <c r="I46" i="26"/>
  <c r="I46" i="20"/>
  <c r="I46" i="23"/>
  <c r="I46" i="70"/>
  <c r="I51" i="48"/>
  <c r="I51" i="22"/>
  <c r="I46" i="16"/>
  <c r="I46" i="30"/>
  <c r="H94" i="33"/>
  <c r="I94" i="33" s="1"/>
  <c r="H96" i="33"/>
  <c r="I96" i="33" s="1"/>
  <c r="I53" i="43"/>
  <c r="H94" i="43"/>
  <c r="I94" i="43" s="1"/>
  <c r="H96" i="43"/>
  <c r="I96" i="43" s="1"/>
  <c r="H94" i="32"/>
  <c r="I94" i="32" s="1"/>
  <c r="H96" i="32"/>
  <c r="I96" i="32" s="1"/>
  <c r="H73" i="35"/>
  <c r="H73" i="44"/>
  <c r="H73" i="70"/>
  <c r="H73" i="58"/>
  <c r="H73" i="30"/>
  <c r="H73" i="31"/>
  <c r="H73" i="66"/>
  <c r="I53" i="33"/>
  <c r="H73" i="26"/>
  <c r="H73" i="16"/>
  <c r="H73" i="7"/>
  <c r="H73" i="68"/>
  <c r="H73" i="20"/>
  <c r="H73" i="78"/>
  <c r="H73" i="28"/>
  <c r="H73" i="21"/>
  <c r="H73" i="17"/>
  <c r="H73" i="22"/>
  <c r="H73" i="67"/>
  <c r="H73" i="45"/>
  <c r="H73" i="76"/>
  <c r="H73" i="57"/>
  <c r="H73" i="36"/>
  <c r="H73" i="37"/>
  <c r="H73" i="69"/>
  <c r="H73" i="23"/>
  <c r="H73" i="51"/>
  <c r="H73" i="71"/>
  <c r="H73" i="18"/>
  <c r="H73" i="50"/>
  <c r="H73" i="40"/>
  <c r="H73" i="42"/>
  <c r="H73" i="27"/>
  <c r="H73" i="55"/>
  <c r="H73" i="47"/>
  <c r="H73" i="77"/>
  <c r="H73" i="38"/>
  <c r="H73" i="39"/>
  <c r="H73" i="24"/>
  <c r="H73" i="75"/>
  <c r="H73" i="52"/>
  <c r="H73" i="25"/>
  <c r="H73" i="48"/>
  <c r="H73" i="34"/>
  <c r="I51" i="75"/>
  <c r="I52" i="75"/>
  <c r="U124" i="50"/>
  <c r="U124" i="35"/>
  <c r="O57" i="72"/>
  <c r="U124" i="42"/>
  <c r="U124" i="68"/>
  <c r="U124" i="55"/>
  <c r="U124" i="20"/>
  <c r="U124" i="44"/>
  <c r="U124" i="75"/>
  <c r="U124" i="25"/>
  <c r="U124" i="30"/>
  <c r="U124" i="16"/>
  <c r="I30" i="60"/>
  <c r="I32" i="60" s="1"/>
  <c r="I47" i="60" s="1"/>
  <c r="E56" i="72"/>
  <c r="U124" i="24"/>
  <c r="T14" i="24"/>
  <c r="U14" i="24" s="1"/>
  <c r="P30" i="24"/>
  <c r="O105" i="26"/>
  <c r="T105" i="26" s="1"/>
  <c r="O106" i="57"/>
  <c r="T106" i="57" s="1"/>
  <c r="O106" i="33"/>
  <c r="T106" i="33" s="1"/>
  <c r="O106" i="25"/>
  <c r="T106" i="25" s="1"/>
  <c r="P30" i="23"/>
  <c r="T14" i="23"/>
  <c r="U14" i="23" s="1"/>
  <c r="U124" i="23"/>
  <c r="U124" i="48"/>
  <c r="U44" i="20"/>
  <c r="R44" i="20"/>
  <c r="P30" i="38"/>
  <c r="T14" i="38"/>
  <c r="U14" i="38" s="1"/>
  <c r="U124" i="38"/>
  <c r="P30" i="66"/>
  <c r="T14" i="66"/>
  <c r="U14" i="66" s="1"/>
  <c r="O105" i="51"/>
  <c r="T105" i="51" s="1"/>
  <c r="P30" i="69"/>
  <c r="T14" i="69"/>
  <c r="U14" i="69" s="1"/>
  <c r="O106" i="21"/>
  <c r="T106" i="21" s="1"/>
  <c r="P30" i="37"/>
  <c r="T14" i="37"/>
  <c r="U14" i="37" s="1"/>
  <c r="O105" i="28"/>
  <c r="T105" i="28" s="1"/>
  <c r="O106" i="56"/>
  <c r="T106" i="56" s="1"/>
  <c r="O106" i="36"/>
  <c r="T106" i="36" s="1"/>
  <c r="O106" i="78"/>
  <c r="T106" i="78" s="1"/>
  <c r="U44" i="26"/>
  <c r="R44" i="26"/>
  <c r="U44" i="33"/>
  <c r="R44" i="33"/>
  <c r="O106" i="18"/>
  <c r="T106" i="18" s="1"/>
  <c r="R44" i="22"/>
  <c r="U44" i="22"/>
  <c r="T14" i="16"/>
  <c r="U14" i="16" s="1"/>
  <c r="P30" i="16"/>
  <c r="O105" i="31"/>
  <c r="T105" i="31" s="1"/>
  <c r="O106" i="27"/>
  <c r="T106" i="27" s="1"/>
  <c r="T14" i="55"/>
  <c r="U14" i="55" s="1"/>
  <c r="P30" i="55"/>
  <c r="O106" i="69"/>
  <c r="T106" i="69" s="1"/>
  <c r="U44" i="43"/>
  <c r="R44" i="43"/>
  <c r="O105" i="40"/>
  <c r="T105" i="40" s="1"/>
  <c r="O105" i="17"/>
  <c r="T105" i="17" s="1"/>
  <c r="T14" i="44"/>
  <c r="U14" i="44" s="1"/>
  <c r="P30" i="44"/>
  <c r="O106" i="37"/>
  <c r="T106" i="37" s="1"/>
  <c r="P30" i="35"/>
  <c r="T14" i="35"/>
  <c r="U14" i="35" s="1"/>
  <c r="O106" i="24"/>
  <c r="T106" i="24" s="1"/>
  <c r="O105" i="32"/>
  <c r="T105" i="32" s="1"/>
  <c r="P30" i="56"/>
  <c r="T14" i="56"/>
  <c r="U14" i="56" s="1"/>
  <c r="U44" i="77"/>
  <c r="R44" i="77"/>
  <c r="O105" i="25"/>
  <c r="T105" i="25" s="1"/>
  <c r="O106" i="23"/>
  <c r="T106" i="23" s="1"/>
  <c r="U124" i="71"/>
  <c r="O105" i="71"/>
  <c r="T105" i="71" s="1"/>
  <c r="O106" i="20"/>
  <c r="T106" i="20" s="1"/>
  <c r="T14" i="30"/>
  <c r="U14" i="30" s="1"/>
  <c r="P30" i="30"/>
  <c r="O106" i="38"/>
  <c r="T106" i="38" s="1"/>
  <c r="U44" i="27"/>
  <c r="R44" i="27"/>
  <c r="P30" i="21"/>
  <c r="T14" i="21"/>
  <c r="U14" i="21" s="1"/>
  <c r="R44" i="45"/>
  <c r="U44" i="45"/>
  <c r="O106" i="17"/>
  <c r="T106" i="17" s="1"/>
  <c r="U124" i="39"/>
  <c r="U44" i="50"/>
  <c r="R44" i="50"/>
  <c r="U44" i="75"/>
  <c r="R44" i="75"/>
  <c r="U124" i="26"/>
  <c r="O105" i="48"/>
  <c r="T105" i="48" s="1"/>
  <c r="R44" i="71"/>
  <c r="U44" i="71"/>
  <c r="O106" i="51"/>
  <c r="T106" i="51" s="1"/>
  <c r="P30" i="67"/>
  <c r="T14" i="67"/>
  <c r="U14" i="67" s="1"/>
  <c r="O105" i="55"/>
  <c r="T105" i="55" s="1"/>
  <c r="T30" i="34"/>
  <c r="U30" i="34"/>
  <c r="O104" i="34"/>
  <c r="T104" i="34" s="1"/>
  <c r="U44" i="68"/>
  <c r="R44" i="68"/>
  <c r="T14" i="47"/>
  <c r="U14" i="47" s="1"/>
  <c r="P30" i="47"/>
  <c r="O105" i="35"/>
  <c r="T105" i="35" s="1"/>
  <c r="O106" i="35"/>
  <c r="T106" i="35" s="1"/>
  <c r="T14" i="76"/>
  <c r="U14" i="76" s="1"/>
  <c r="P30" i="76"/>
  <c r="R44" i="36"/>
  <c r="U44" i="36"/>
  <c r="U44" i="57"/>
  <c r="R44" i="57"/>
  <c r="P30" i="18"/>
  <c r="T14" i="18"/>
  <c r="U14" i="18" s="1"/>
  <c r="O106" i="71"/>
  <c r="T106" i="71" s="1"/>
  <c r="T14" i="20"/>
  <c r="U14" i="20" s="1"/>
  <c r="P30" i="20"/>
  <c r="O105" i="30"/>
  <c r="T105" i="30" s="1"/>
  <c r="O105" i="16"/>
  <c r="T105" i="16" s="1"/>
  <c r="O105" i="66"/>
  <c r="T105" i="66" s="1"/>
  <c r="U124" i="67"/>
  <c r="O106" i="55"/>
  <c r="T106" i="55" s="1"/>
  <c r="O106" i="68"/>
  <c r="T106" i="68" s="1"/>
  <c r="O106" i="42"/>
  <c r="T106" i="42" s="1"/>
  <c r="T14" i="42"/>
  <c r="U14" i="42" s="1"/>
  <c r="P30" i="42"/>
  <c r="O106" i="39"/>
  <c r="T106" i="39" s="1"/>
  <c r="O105" i="47"/>
  <c r="T105" i="47" s="1"/>
  <c r="U124" i="28"/>
  <c r="O105" i="75"/>
  <c r="T105" i="75" s="1"/>
  <c r="I107" i="16"/>
  <c r="P30" i="26"/>
  <c r="T14" i="26"/>
  <c r="U14" i="26" s="1"/>
  <c r="O106" i="7"/>
  <c r="T106" i="7" s="1"/>
  <c r="O105" i="24"/>
  <c r="T105" i="24" s="1"/>
  <c r="U124" i="32"/>
  <c r="O106" i="26"/>
  <c r="T106" i="26" s="1"/>
  <c r="U124" i="57"/>
  <c r="T14" i="33"/>
  <c r="U14" i="33" s="1"/>
  <c r="P30" i="33"/>
  <c r="U44" i="25"/>
  <c r="R44" i="25"/>
  <c r="U44" i="18"/>
  <c r="R44" i="18"/>
  <c r="O105" i="58"/>
  <c r="T105" i="58" s="1"/>
  <c r="U44" i="51"/>
  <c r="R44" i="51"/>
  <c r="P30" i="43"/>
  <c r="T14" i="43"/>
  <c r="U14" i="43" s="1"/>
  <c r="U124" i="43"/>
  <c r="U44" i="39"/>
  <c r="R44" i="39"/>
  <c r="O105" i="37"/>
  <c r="T105" i="37" s="1"/>
  <c r="P30" i="70"/>
  <c r="T14" i="70"/>
  <c r="U14" i="70" s="1"/>
  <c r="O105" i="76"/>
  <c r="T105" i="76" s="1"/>
  <c r="U124" i="7"/>
  <c r="U44" i="78"/>
  <c r="R44" i="78"/>
  <c r="P30" i="77"/>
  <c r="T14" i="77"/>
  <c r="U14" i="77" s="1"/>
  <c r="U124" i="77"/>
  <c r="O105" i="20"/>
  <c r="T105" i="20" s="1"/>
  <c r="U44" i="58"/>
  <c r="R44" i="58"/>
  <c r="U124" i="58"/>
  <c r="T14" i="27"/>
  <c r="U14" i="27" s="1"/>
  <c r="P30" i="27"/>
  <c r="O106" i="67"/>
  <c r="T106" i="67" s="1"/>
  <c r="P30" i="45"/>
  <c r="T14" i="45"/>
  <c r="U14" i="45" s="1"/>
  <c r="U124" i="45"/>
  <c r="P30" i="50"/>
  <c r="T14" i="50"/>
  <c r="U14" i="50" s="1"/>
  <c r="O106" i="28"/>
  <c r="T106" i="28" s="1"/>
  <c r="U44" i="28"/>
  <c r="R44" i="28"/>
  <c r="O106" i="32"/>
  <c r="T106" i="32" s="1"/>
  <c r="O105" i="33"/>
  <c r="T105" i="33" s="1"/>
  <c r="P30" i="48"/>
  <c r="T14" i="48"/>
  <c r="U14" i="48" s="1"/>
  <c r="U44" i="48"/>
  <c r="R44" i="48"/>
  <c r="P30" i="58"/>
  <c r="T14" i="58"/>
  <c r="U14" i="58" s="1"/>
  <c r="P30" i="31"/>
  <c r="T14" i="31"/>
  <c r="U14" i="31" s="1"/>
  <c r="O106" i="31"/>
  <c r="T106" i="31" s="1"/>
  <c r="O105" i="67"/>
  <c r="T105" i="67" s="1"/>
  <c r="O106" i="43"/>
  <c r="T106" i="43" s="1"/>
  <c r="O105" i="21"/>
  <c r="T105" i="21" s="1"/>
  <c r="U124" i="40"/>
  <c r="U124" i="47"/>
  <c r="O105" i="50"/>
  <c r="T105" i="50" s="1"/>
  <c r="O105" i="70"/>
  <c r="T105" i="70" s="1"/>
  <c r="T14" i="7"/>
  <c r="U14" i="7" s="1"/>
  <c r="P30" i="7"/>
  <c r="R44" i="24"/>
  <c r="U44" i="24"/>
  <c r="O105" i="56"/>
  <c r="T105" i="56" s="1"/>
  <c r="T14" i="36"/>
  <c r="U14" i="36" s="1"/>
  <c r="P30" i="36"/>
  <c r="O105" i="78"/>
  <c r="T105" i="78" s="1"/>
  <c r="O105" i="77"/>
  <c r="T105" i="77" s="1"/>
  <c r="O106" i="77"/>
  <c r="T106" i="77" s="1"/>
  <c r="O105" i="57"/>
  <c r="T105" i="57" s="1"/>
  <c r="P30" i="57"/>
  <c r="T14" i="57"/>
  <c r="U14" i="57" s="1"/>
  <c r="R44" i="23"/>
  <c r="U44" i="23"/>
  <c r="O106" i="48"/>
  <c r="T106" i="48" s="1"/>
  <c r="O105" i="22"/>
  <c r="T105" i="22" s="1"/>
  <c r="U124" i="22"/>
  <c r="R44" i="38"/>
  <c r="U44" i="38"/>
  <c r="O105" i="38"/>
  <c r="T105" i="38" s="1"/>
  <c r="O106" i="58"/>
  <c r="T106" i="58" s="1"/>
  <c r="U124" i="66"/>
  <c r="U124" i="31"/>
  <c r="U124" i="51"/>
  <c r="P30" i="51"/>
  <c r="T14" i="51"/>
  <c r="U14" i="51" s="1"/>
  <c r="O105" i="27"/>
  <c r="T105" i="27" s="1"/>
  <c r="U44" i="67"/>
  <c r="R44" i="67"/>
  <c r="R44" i="69"/>
  <c r="U44" i="69"/>
  <c r="O106" i="40"/>
  <c r="T106" i="40" s="1"/>
  <c r="O106" i="45"/>
  <c r="T106" i="45" s="1"/>
  <c r="U44" i="42"/>
  <c r="R44" i="42"/>
  <c r="O105" i="44"/>
  <c r="T105" i="44" s="1"/>
  <c r="O106" i="47"/>
  <c r="T106" i="47" s="1"/>
  <c r="O106" i="50"/>
  <c r="T106" i="50" s="1"/>
  <c r="U124" i="70"/>
  <c r="U44" i="7"/>
  <c r="R44" i="7"/>
  <c r="P30" i="32"/>
  <c r="T14" i="32"/>
  <c r="U14" i="32" s="1"/>
  <c r="O105" i="23"/>
  <c r="T105" i="23" s="1"/>
  <c r="O106" i="30"/>
  <c r="T106" i="30" s="1"/>
  <c r="U44" i="16"/>
  <c r="R44" i="16"/>
  <c r="U44" i="55"/>
  <c r="R44" i="55"/>
  <c r="O105" i="43"/>
  <c r="T105" i="43" s="1"/>
  <c r="T14" i="68"/>
  <c r="U14" i="68" s="1"/>
  <c r="P30" i="68"/>
  <c r="U44" i="40"/>
  <c r="R44" i="40"/>
  <c r="U124" i="17"/>
  <c r="T14" i="39"/>
  <c r="U14" i="39" s="1"/>
  <c r="P30" i="39"/>
  <c r="U44" i="37"/>
  <c r="R44" i="37"/>
  <c r="U44" i="35"/>
  <c r="R44" i="35"/>
  <c r="U124" i="76"/>
  <c r="O105" i="7"/>
  <c r="T105" i="7" s="1"/>
  <c r="U124" i="56"/>
  <c r="P30" i="78"/>
  <c r="T14" i="78"/>
  <c r="U14" i="78" s="1"/>
  <c r="U124" i="33"/>
  <c r="P30" i="25"/>
  <c r="T14" i="25"/>
  <c r="U14" i="25" s="1"/>
  <c r="O105" i="18"/>
  <c r="T105" i="18" s="1"/>
  <c r="O106" i="22"/>
  <c r="T106" i="22" s="1"/>
  <c r="U44" i="30"/>
  <c r="R44" i="30"/>
  <c r="R44" i="66"/>
  <c r="U44" i="66"/>
  <c r="O106" i="66"/>
  <c r="T106" i="66" s="1"/>
  <c r="U44" i="31"/>
  <c r="R44" i="31"/>
  <c r="O105" i="68"/>
  <c r="T105" i="68" s="1"/>
  <c r="U124" i="21"/>
  <c r="R44" i="21"/>
  <c r="U44" i="21"/>
  <c r="T14" i="40"/>
  <c r="U14" i="40" s="1"/>
  <c r="P30" i="40"/>
  <c r="U44" i="17"/>
  <c r="R44" i="17"/>
  <c r="O105" i="42"/>
  <c r="T105" i="42" s="1"/>
  <c r="P30" i="28"/>
  <c r="T14" i="28"/>
  <c r="U14" i="28" s="1"/>
  <c r="T14" i="75"/>
  <c r="U14" i="75" s="1"/>
  <c r="P30" i="75"/>
  <c r="O106" i="70"/>
  <c r="T106" i="70" s="1"/>
  <c r="R44" i="32"/>
  <c r="U44" i="32"/>
  <c r="U44" i="56"/>
  <c r="R44" i="56"/>
  <c r="O105" i="36"/>
  <c r="T105" i="36" s="1"/>
  <c r="U124" i="36"/>
  <c r="U124" i="78"/>
  <c r="U124" i="18"/>
  <c r="T14" i="71"/>
  <c r="U14" i="71" s="1"/>
  <c r="P30" i="71"/>
  <c r="P30" i="22"/>
  <c r="T14" i="22"/>
  <c r="U14" i="22" s="1"/>
  <c r="O106" i="16"/>
  <c r="T106" i="16" s="1"/>
  <c r="U124" i="27"/>
  <c r="O105" i="69"/>
  <c r="T105" i="69" s="1"/>
  <c r="U124" i="69"/>
  <c r="O105" i="45"/>
  <c r="T105" i="45" s="1"/>
  <c r="P30" i="17"/>
  <c r="T14" i="17"/>
  <c r="U14" i="17" s="1"/>
  <c r="O106" i="44"/>
  <c r="T106" i="44" s="1"/>
  <c r="U44" i="44"/>
  <c r="R44" i="44"/>
  <c r="O105" i="39"/>
  <c r="T105" i="39" s="1"/>
  <c r="U44" i="47"/>
  <c r="R44" i="47"/>
  <c r="U124" i="37"/>
  <c r="O106" i="75"/>
  <c r="T106" i="75" s="1"/>
  <c r="U44" i="70"/>
  <c r="R44" i="70"/>
  <c r="O106" i="76"/>
  <c r="T106" i="76" s="1"/>
  <c r="U44" i="76"/>
  <c r="R44" i="76"/>
  <c r="I108" i="60" l="1"/>
  <c r="H97" i="60"/>
  <c r="H95" i="60"/>
  <c r="K95" i="60" s="1"/>
  <c r="I99" i="60"/>
  <c r="I128" i="43"/>
  <c r="I130" i="43" s="1"/>
  <c r="H135" i="43" s="1"/>
  <c r="I135" i="43" s="1"/>
  <c r="I128" i="33"/>
  <c r="I130" i="33" s="1"/>
  <c r="H135" i="33" s="1"/>
  <c r="I135" i="33" s="1"/>
  <c r="I128" i="32"/>
  <c r="I53" i="38"/>
  <c r="I53" i="36"/>
  <c r="I53" i="71"/>
  <c r="I53" i="22"/>
  <c r="T88" i="52"/>
  <c r="U88" i="52" s="1"/>
  <c r="T98" i="52"/>
  <c r="U98" i="52" s="1"/>
  <c r="I53" i="76"/>
  <c r="I53" i="77"/>
  <c r="I53" i="52"/>
  <c r="I53" i="45"/>
  <c r="I53" i="78"/>
  <c r="I53" i="48"/>
  <c r="I53" i="44"/>
  <c r="I53" i="68"/>
  <c r="I53" i="50"/>
  <c r="I53" i="24"/>
  <c r="I53" i="58"/>
  <c r="I53" i="27"/>
  <c r="I53" i="47"/>
  <c r="I53" i="69"/>
  <c r="I53" i="42"/>
  <c r="I53" i="25"/>
  <c r="I53" i="51"/>
  <c r="I53" i="37"/>
  <c r="I53" i="39"/>
  <c r="I53" i="35"/>
  <c r="I53" i="21"/>
  <c r="I53" i="57"/>
  <c r="I53" i="56"/>
  <c r="I130" i="56" s="1"/>
  <c r="H135" i="56" s="1"/>
  <c r="I135" i="56" s="1"/>
  <c r="I52" i="67"/>
  <c r="I52" i="70"/>
  <c r="I52" i="23"/>
  <c r="I51" i="20"/>
  <c r="I53" i="28"/>
  <c r="I52" i="26"/>
  <c r="I51" i="17"/>
  <c r="I52" i="32"/>
  <c r="I53" i="55"/>
  <c r="I52" i="7"/>
  <c r="I53" i="34"/>
  <c r="I51" i="30"/>
  <c r="I53" i="31"/>
  <c r="I52" i="16"/>
  <c r="I51" i="18"/>
  <c r="I53" i="40"/>
  <c r="I51" i="67"/>
  <c r="I51" i="70"/>
  <c r="I52" i="20"/>
  <c r="P81" i="34"/>
  <c r="T82" i="34" s="1"/>
  <c r="T90" i="34" s="1"/>
  <c r="U90" i="34" s="1"/>
  <c r="P75" i="34"/>
  <c r="T76" i="34" s="1"/>
  <c r="T92" i="34" s="1"/>
  <c r="U92" i="34" s="1"/>
  <c r="P69" i="34"/>
  <c r="T70" i="34" s="1"/>
  <c r="T30" i="52"/>
  <c r="P72" i="52" s="1"/>
  <c r="O104" i="52"/>
  <c r="I52" i="30"/>
  <c r="I51" i="7"/>
  <c r="P75" i="52"/>
  <c r="T76" i="52" s="1"/>
  <c r="T92" i="52" s="1"/>
  <c r="U92" i="52" s="1"/>
  <c r="P81" i="52"/>
  <c r="T82" i="52" s="1"/>
  <c r="T90" i="52" s="1"/>
  <c r="U90" i="52" s="1"/>
  <c r="P78" i="52"/>
  <c r="T79" i="52" s="1"/>
  <c r="T85" i="52" s="1"/>
  <c r="U85" i="52" s="1"/>
  <c r="I51" i="26"/>
  <c r="I51" i="32"/>
  <c r="I51" i="23"/>
  <c r="U46" i="52"/>
  <c r="R51" i="52"/>
  <c r="U51" i="52" s="1"/>
  <c r="R52" i="52"/>
  <c r="U52" i="52" s="1"/>
  <c r="U46" i="34"/>
  <c r="R51" i="34"/>
  <c r="U51" i="34" s="1"/>
  <c r="R52" i="34"/>
  <c r="U52" i="34" s="1"/>
  <c r="I52" i="18"/>
  <c r="I52" i="17"/>
  <c r="H94" i="36"/>
  <c r="I94" i="36" s="1"/>
  <c r="H96" i="36"/>
  <c r="I96" i="36" s="1"/>
  <c r="H94" i="68"/>
  <c r="I94" i="68" s="1"/>
  <c r="H96" i="68"/>
  <c r="I96" i="68" s="1"/>
  <c r="H94" i="24"/>
  <c r="I94" i="24" s="1"/>
  <c r="H96" i="24"/>
  <c r="I96" i="24" s="1"/>
  <c r="H94" i="42"/>
  <c r="I94" i="42" s="1"/>
  <c r="H96" i="42"/>
  <c r="I96" i="42" s="1"/>
  <c r="H94" i="57"/>
  <c r="I94" i="57" s="1"/>
  <c r="H96" i="57"/>
  <c r="I96" i="57" s="1"/>
  <c r="H94" i="70"/>
  <c r="I94" i="70" s="1"/>
  <c r="H96" i="70"/>
  <c r="I96" i="70" s="1"/>
  <c r="H94" i="39"/>
  <c r="I94" i="39" s="1"/>
  <c r="H96" i="39"/>
  <c r="I96" i="39" s="1"/>
  <c r="H94" i="40"/>
  <c r="I94" i="40" s="1"/>
  <c r="H96" i="40"/>
  <c r="I96" i="40" s="1"/>
  <c r="H94" i="76"/>
  <c r="I94" i="76" s="1"/>
  <c r="H96" i="76"/>
  <c r="I96" i="76" s="1"/>
  <c r="H94" i="44"/>
  <c r="I94" i="44" s="1"/>
  <c r="H96" i="44"/>
  <c r="I96" i="44" s="1"/>
  <c r="H94" i="38"/>
  <c r="I94" i="38" s="1"/>
  <c r="H96" i="38"/>
  <c r="I96" i="38" s="1"/>
  <c r="H94" i="50"/>
  <c r="I94" i="50" s="1"/>
  <c r="H96" i="50"/>
  <c r="I96" i="50" s="1"/>
  <c r="H94" i="45"/>
  <c r="I94" i="45" s="1"/>
  <c r="H96" i="45"/>
  <c r="I96" i="45" s="1"/>
  <c r="H94" i="7"/>
  <c r="I94" i="7" s="1"/>
  <c r="H96" i="7"/>
  <c r="I96" i="7" s="1"/>
  <c r="H94" i="35"/>
  <c r="I94" i="35" s="1"/>
  <c r="H96" i="35"/>
  <c r="I96" i="35" s="1"/>
  <c r="H94" i="77"/>
  <c r="I94" i="77" s="1"/>
  <c r="H96" i="77"/>
  <c r="I96" i="77" s="1"/>
  <c r="H94" i="18"/>
  <c r="I94" i="18" s="1"/>
  <c r="H96" i="18"/>
  <c r="I96" i="18" s="1"/>
  <c r="H94" i="67"/>
  <c r="I94" i="67" s="1"/>
  <c r="H96" i="67"/>
  <c r="I96" i="67" s="1"/>
  <c r="H94" i="16"/>
  <c r="I94" i="16" s="1"/>
  <c r="H96" i="16"/>
  <c r="I96" i="16" s="1"/>
  <c r="H94" i="22"/>
  <c r="I94" i="22" s="1"/>
  <c r="H96" i="22"/>
  <c r="I96" i="22" s="1"/>
  <c r="H94" i="26"/>
  <c r="I94" i="26" s="1"/>
  <c r="H96" i="26"/>
  <c r="I96" i="26" s="1"/>
  <c r="H94" i="17"/>
  <c r="I94" i="17" s="1"/>
  <c r="H96" i="17"/>
  <c r="I96" i="17" s="1"/>
  <c r="H94" i="34"/>
  <c r="I94" i="34" s="1"/>
  <c r="H96" i="34"/>
  <c r="I96" i="34" s="1"/>
  <c r="H94" i="71"/>
  <c r="I94" i="71" s="1"/>
  <c r="H96" i="71"/>
  <c r="I96" i="71" s="1"/>
  <c r="H94" i="21"/>
  <c r="I94" i="21" s="1"/>
  <c r="H96" i="21"/>
  <c r="I96" i="21" s="1"/>
  <c r="H94" i="66"/>
  <c r="I94" i="66" s="1"/>
  <c r="H96" i="66"/>
  <c r="I96" i="66" s="1"/>
  <c r="H94" i="48"/>
  <c r="I94" i="48" s="1"/>
  <c r="H96" i="48"/>
  <c r="I96" i="48" s="1"/>
  <c r="H94" i="51"/>
  <c r="I94" i="51" s="1"/>
  <c r="H96" i="51"/>
  <c r="I96" i="51" s="1"/>
  <c r="H94" i="28"/>
  <c r="I94" i="28" s="1"/>
  <c r="H96" i="28"/>
  <c r="I96" i="28" s="1"/>
  <c r="H94" i="31"/>
  <c r="I94" i="31" s="1"/>
  <c r="H96" i="31"/>
  <c r="I96" i="31" s="1"/>
  <c r="H94" i="25"/>
  <c r="I94" i="25" s="1"/>
  <c r="H96" i="25"/>
  <c r="I96" i="25" s="1"/>
  <c r="H94" i="47"/>
  <c r="I94" i="47" s="1"/>
  <c r="H96" i="47"/>
  <c r="I96" i="47" s="1"/>
  <c r="H94" i="23"/>
  <c r="I94" i="23" s="1"/>
  <c r="H96" i="23"/>
  <c r="I96" i="23" s="1"/>
  <c r="H94" i="78"/>
  <c r="I94" i="78" s="1"/>
  <c r="H96" i="78"/>
  <c r="I96" i="78" s="1"/>
  <c r="H94" i="30"/>
  <c r="I94" i="30" s="1"/>
  <c r="H96" i="30"/>
  <c r="I96" i="30" s="1"/>
  <c r="H94" i="52"/>
  <c r="I94" i="52" s="1"/>
  <c r="H96" i="52"/>
  <c r="I96" i="52" s="1"/>
  <c r="H94" i="55"/>
  <c r="I94" i="55" s="1"/>
  <c r="H96" i="55"/>
  <c r="I96" i="55" s="1"/>
  <c r="H94" i="69"/>
  <c r="I94" i="69" s="1"/>
  <c r="H96" i="69"/>
  <c r="I96" i="69" s="1"/>
  <c r="H94" i="58"/>
  <c r="I94" i="58" s="1"/>
  <c r="H96" i="58"/>
  <c r="I96" i="58" s="1"/>
  <c r="H94" i="75"/>
  <c r="I94" i="75" s="1"/>
  <c r="H96" i="75"/>
  <c r="I96" i="75" s="1"/>
  <c r="H94" i="27"/>
  <c r="I94" i="27" s="1"/>
  <c r="H96" i="27"/>
  <c r="I96" i="27" s="1"/>
  <c r="H94" i="37"/>
  <c r="I94" i="37" s="1"/>
  <c r="H96" i="37"/>
  <c r="I96" i="37" s="1"/>
  <c r="H94" i="20"/>
  <c r="I94" i="20" s="1"/>
  <c r="H96" i="20"/>
  <c r="I96" i="20" s="1"/>
  <c r="P69" i="58"/>
  <c r="T70" i="58" s="1"/>
  <c r="P78" i="58"/>
  <c r="T79" i="58" s="1"/>
  <c r="T85" i="58" s="1"/>
  <c r="U85" i="58" s="1"/>
  <c r="P81" i="58"/>
  <c r="T82" i="58" s="1"/>
  <c r="T90" i="58" s="1"/>
  <c r="U90" i="58" s="1"/>
  <c r="P75" i="58"/>
  <c r="T76" i="58" s="1"/>
  <c r="T92" i="58" s="1"/>
  <c r="U92" i="58" s="1"/>
  <c r="P69" i="50"/>
  <c r="T70" i="50" s="1"/>
  <c r="P81" i="50"/>
  <c r="T82" i="50" s="1"/>
  <c r="T90" i="50" s="1"/>
  <c r="U90" i="50" s="1"/>
  <c r="P78" i="50"/>
  <c r="T79" i="50" s="1"/>
  <c r="T85" i="50" s="1"/>
  <c r="U85" i="50" s="1"/>
  <c r="P75" i="50"/>
  <c r="T76" i="50" s="1"/>
  <c r="T92" i="50" s="1"/>
  <c r="U92" i="50" s="1"/>
  <c r="P69" i="33"/>
  <c r="T70" i="33" s="1"/>
  <c r="P75" i="33"/>
  <c r="T76" i="33" s="1"/>
  <c r="T92" i="33" s="1"/>
  <c r="U92" i="33" s="1"/>
  <c r="P78" i="33"/>
  <c r="T79" i="33" s="1"/>
  <c r="T85" i="33" s="1"/>
  <c r="U85" i="33" s="1"/>
  <c r="P81" i="33"/>
  <c r="T82" i="33" s="1"/>
  <c r="T90" i="33" s="1"/>
  <c r="U90" i="33" s="1"/>
  <c r="P69" i="66"/>
  <c r="T70" i="66" s="1"/>
  <c r="P75" i="66"/>
  <c r="T76" i="66" s="1"/>
  <c r="T92" i="66" s="1"/>
  <c r="U92" i="66" s="1"/>
  <c r="P81" i="66"/>
  <c r="T82" i="66" s="1"/>
  <c r="T90" i="66" s="1"/>
  <c r="U90" i="66" s="1"/>
  <c r="P78" i="66"/>
  <c r="T79" i="66" s="1"/>
  <c r="T85" i="66" s="1"/>
  <c r="U85" i="66" s="1"/>
  <c r="P69" i="67"/>
  <c r="T70" i="67" s="1"/>
  <c r="P75" i="67"/>
  <c r="T76" i="67" s="1"/>
  <c r="T92" i="67" s="1"/>
  <c r="U92" i="67" s="1"/>
  <c r="P81" i="67"/>
  <c r="T82" i="67" s="1"/>
  <c r="T90" i="67" s="1"/>
  <c r="U90" i="67" s="1"/>
  <c r="P78" i="67"/>
  <c r="T79" i="67" s="1"/>
  <c r="T85" i="67" s="1"/>
  <c r="U85" i="67" s="1"/>
  <c r="P69" i="77"/>
  <c r="T70" i="77" s="1"/>
  <c r="P81" i="77"/>
  <c r="T82" i="77" s="1"/>
  <c r="T90" i="77" s="1"/>
  <c r="U90" i="77" s="1"/>
  <c r="P78" i="77"/>
  <c r="T79" i="77" s="1"/>
  <c r="T85" i="77" s="1"/>
  <c r="U85" i="77" s="1"/>
  <c r="P75" i="77"/>
  <c r="T76" i="77" s="1"/>
  <c r="T92" i="77" s="1"/>
  <c r="U92" i="77" s="1"/>
  <c r="P69" i="20"/>
  <c r="T70" i="20" s="1"/>
  <c r="P81" i="20"/>
  <c r="T82" i="20" s="1"/>
  <c r="T90" i="20" s="1"/>
  <c r="U90" i="20" s="1"/>
  <c r="P78" i="20"/>
  <c r="T79" i="20" s="1"/>
  <c r="T85" i="20" s="1"/>
  <c r="U85" i="20" s="1"/>
  <c r="P75" i="20"/>
  <c r="T76" i="20" s="1"/>
  <c r="T92" i="20" s="1"/>
  <c r="U92" i="20" s="1"/>
  <c r="P69" i="21"/>
  <c r="T70" i="21" s="1"/>
  <c r="P81" i="21"/>
  <c r="T82" i="21" s="1"/>
  <c r="T90" i="21" s="1"/>
  <c r="U90" i="21" s="1"/>
  <c r="P75" i="21"/>
  <c r="T76" i="21" s="1"/>
  <c r="T92" i="21" s="1"/>
  <c r="U92" i="21" s="1"/>
  <c r="P78" i="21"/>
  <c r="T79" i="21" s="1"/>
  <c r="T85" i="21" s="1"/>
  <c r="U85" i="21" s="1"/>
  <c r="P69" i="35"/>
  <c r="T70" i="35" s="1"/>
  <c r="P78" i="35"/>
  <c r="T79" i="35" s="1"/>
  <c r="T85" i="35" s="1"/>
  <c r="U85" i="35" s="1"/>
  <c r="P75" i="35"/>
  <c r="T76" i="35" s="1"/>
  <c r="T92" i="35" s="1"/>
  <c r="U92" i="35" s="1"/>
  <c r="P81" i="35"/>
  <c r="T82" i="35" s="1"/>
  <c r="T90" i="35" s="1"/>
  <c r="U90" i="35" s="1"/>
  <c r="P69" i="36"/>
  <c r="T70" i="36" s="1"/>
  <c r="P81" i="36"/>
  <c r="T82" i="36" s="1"/>
  <c r="T90" i="36" s="1"/>
  <c r="U90" i="36" s="1"/>
  <c r="P78" i="36"/>
  <c r="T79" i="36" s="1"/>
  <c r="T85" i="36" s="1"/>
  <c r="U85" i="36" s="1"/>
  <c r="P75" i="36"/>
  <c r="T76" i="36" s="1"/>
  <c r="T92" i="36" s="1"/>
  <c r="U92" i="36" s="1"/>
  <c r="P69" i="43"/>
  <c r="T70" i="43" s="1"/>
  <c r="P81" i="43"/>
  <c r="T82" i="43" s="1"/>
  <c r="T90" i="43" s="1"/>
  <c r="U90" i="43" s="1"/>
  <c r="P78" i="43"/>
  <c r="T79" i="43" s="1"/>
  <c r="T85" i="43" s="1"/>
  <c r="U85" i="43" s="1"/>
  <c r="P75" i="43"/>
  <c r="T76" i="43" s="1"/>
  <c r="T92" i="43" s="1"/>
  <c r="U92" i="43" s="1"/>
  <c r="P69" i="16"/>
  <c r="T70" i="16" s="1"/>
  <c r="P78" i="16"/>
  <c r="T79" i="16" s="1"/>
  <c r="T85" i="16" s="1"/>
  <c r="U85" i="16" s="1"/>
  <c r="P81" i="16"/>
  <c r="T82" i="16" s="1"/>
  <c r="T90" i="16" s="1"/>
  <c r="U90" i="16" s="1"/>
  <c r="P75" i="16"/>
  <c r="T76" i="16" s="1"/>
  <c r="T92" i="16" s="1"/>
  <c r="U92" i="16" s="1"/>
  <c r="P69" i="38"/>
  <c r="T70" i="38" s="1"/>
  <c r="P78" i="38"/>
  <c r="T79" i="38" s="1"/>
  <c r="T85" i="38" s="1"/>
  <c r="U85" i="38" s="1"/>
  <c r="P81" i="38"/>
  <c r="T82" i="38" s="1"/>
  <c r="T90" i="38" s="1"/>
  <c r="U90" i="38" s="1"/>
  <c r="P75" i="38"/>
  <c r="T76" i="38" s="1"/>
  <c r="T92" i="38" s="1"/>
  <c r="U92" i="38" s="1"/>
  <c r="P69" i="24"/>
  <c r="T70" i="24" s="1"/>
  <c r="P78" i="24"/>
  <c r="T79" i="24" s="1"/>
  <c r="T85" i="24" s="1"/>
  <c r="U85" i="24" s="1"/>
  <c r="P81" i="24"/>
  <c r="T82" i="24" s="1"/>
  <c r="T90" i="24" s="1"/>
  <c r="U90" i="24" s="1"/>
  <c r="P75" i="24"/>
  <c r="T76" i="24" s="1"/>
  <c r="T92" i="24" s="1"/>
  <c r="U92" i="24" s="1"/>
  <c r="P69" i="25"/>
  <c r="T70" i="25" s="1"/>
  <c r="P81" i="25"/>
  <c r="T82" i="25" s="1"/>
  <c r="T90" i="25" s="1"/>
  <c r="U90" i="25" s="1"/>
  <c r="P75" i="25"/>
  <c r="T76" i="25" s="1"/>
  <c r="T92" i="25" s="1"/>
  <c r="U92" i="25" s="1"/>
  <c r="P78" i="25"/>
  <c r="T79" i="25" s="1"/>
  <c r="T85" i="25" s="1"/>
  <c r="U85" i="25" s="1"/>
  <c r="P69" i="48"/>
  <c r="T70" i="48" s="1"/>
  <c r="P78" i="48"/>
  <c r="T79" i="48" s="1"/>
  <c r="T85" i="48" s="1"/>
  <c r="U85" i="48" s="1"/>
  <c r="P81" i="48"/>
  <c r="T82" i="48" s="1"/>
  <c r="T90" i="48" s="1"/>
  <c r="U90" i="48" s="1"/>
  <c r="P75" i="48"/>
  <c r="T76" i="48" s="1"/>
  <c r="T92" i="48" s="1"/>
  <c r="U92" i="48" s="1"/>
  <c r="P69" i="42"/>
  <c r="T70" i="42" s="1"/>
  <c r="P75" i="42"/>
  <c r="T76" i="42" s="1"/>
  <c r="T92" i="42" s="1"/>
  <c r="U92" i="42" s="1"/>
  <c r="P78" i="42"/>
  <c r="T79" i="42" s="1"/>
  <c r="T85" i="42" s="1"/>
  <c r="U85" i="42" s="1"/>
  <c r="P81" i="42"/>
  <c r="T82" i="42" s="1"/>
  <c r="T90" i="42" s="1"/>
  <c r="U90" i="42" s="1"/>
  <c r="P69" i="47"/>
  <c r="T70" i="47" s="1"/>
  <c r="P75" i="47"/>
  <c r="T76" i="47" s="1"/>
  <c r="T92" i="47" s="1"/>
  <c r="U92" i="47" s="1"/>
  <c r="P81" i="47"/>
  <c r="T82" i="47" s="1"/>
  <c r="T90" i="47" s="1"/>
  <c r="U90" i="47" s="1"/>
  <c r="P78" i="47"/>
  <c r="T79" i="47" s="1"/>
  <c r="T85" i="47" s="1"/>
  <c r="U85" i="47" s="1"/>
  <c r="P69" i="44"/>
  <c r="T70" i="44" s="1"/>
  <c r="P78" i="44"/>
  <c r="T79" i="44" s="1"/>
  <c r="T85" i="44" s="1"/>
  <c r="U85" i="44" s="1"/>
  <c r="P81" i="44"/>
  <c r="T82" i="44" s="1"/>
  <c r="T90" i="44" s="1"/>
  <c r="U90" i="44" s="1"/>
  <c r="P75" i="44"/>
  <c r="T76" i="44" s="1"/>
  <c r="T92" i="44" s="1"/>
  <c r="U92" i="44" s="1"/>
  <c r="P69" i="45"/>
  <c r="T70" i="45" s="1"/>
  <c r="P75" i="45"/>
  <c r="T76" i="45" s="1"/>
  <c r="T92" i="45" s="1"/>
  <c r="U92" i="45" s="1"/>
  <c r="P81" i="45"/>
  <c r="T82" i="45" s="1"/>
  <c r="T90" i="45" s="1"/>
  <c r="U90" i="45" s="1"/>
  <c r="P78" i="45"/>
  <c r="T79" i="45" s="1"/>
  <c r="T85" i="45" s="1"/>
  <c r="U85" i="45" s="1"/>
  <c r="P69" i="40"/>
  <c r="T70" i="40" s="1"/>
  <c r="P78" i="40"/>
  <c r="T79" i="40" s="1"/>
  <c r="T85" i="40" s="1"/>
  <c r="U85" i="40" s="1"/>
  <c r="P81" i="40"/>
  <c r="T82" i="40" s="1"/>
  <c r="T90" i="40" s="1"/>
  <c r="U90" i="40" s="1"/>
  <c r="P75" i="40"/>
  <c r="T76" i="40" s="1"/>
  <c r="T92" i="40" s="1"/>
  <c r="U92" i="40" s="1"/>
  <c r="P69" i="39"/>
  <c r="T70" i="39" s="1"/>
  <c r="P75" i="39"/>
  <c r="T76" i="39" s="1"/>
  <c r="T92" i="39" s="1"/>
  <c r="U92" i="39" s="1"/>
  <c r="P78" i="39"/>
  <c r="T79" i="39" s="1"/>
  <c r="T85" i="39" s="1"/>
  <c r="U85" i="39" s="1"/>
  <c r="P81" i="39"/>
  <c r="T82" i="39" s="1"/>
  <c r="T90" i="39" s="1"/>
  <c r="U90" i="39" s="1"/>
  <c r="P69" i="27"/>
  <c r="T70" i="27" s="1"/>
  <c r="P78" i="27"/>
  <c r="T79" i="27" s="1"/>
  <c r="T85" i="27" s="1"/>
  <c r="U85" i="27" s="1"/>
  <c r="P81" i="27"/>
  <c r="T82" i="27" s="1"/>
  <c r="T90" i="27" s="1"/>
  <c r="U90" i="27" s="1"/>
  <c r="P75" i="27"/>
  <c r="T76" i="27" s="1"/>
  <c r="T92" i="27" s="1"/>
  <c r="U92" i="27" s="1"/>
  <c r="P69" i="51"/>
  <c r="T70" i="51" s="1"/>
  <c r="P81" i="51"/>
  <c r="T82" i="51" s="1"/>
  <c r="T90" i="51" s="1"/>
  <c r="U90" i="51" s="1"/>
  <c r="P78" i="51"/>
  <c r="T79" i="51" s="1"/>
  <c r="T85" i="51" s="1"/>
  <c r="U85" i="51" s="1"/>
  <c r="P75" i="51"/>
  <c r="T76" i="51" s="1"/>
  <c r="T92" i="51" s="1"/>
  <c r="U92" i="51" s="1"/>
  <c r="P69" i="18"/>
  <c r="T70" i="18" s="1"/>
  <c r="P75" i="18"/>
  <c r="T76" i="18" s="1"/>
  <c r="T92" i="18" s="1"/>
  <c r="U92" i="18" s="1"/>
  <c r="P81" i="18"/>
  <c r="T82" i="18" s="1"/>
  <c r="T90" i="18" s="1"/>
  <c r="U90" i="18" s="1"/>
  <c r="P78" i="18"/>
  <c r="T79" i="18" s="1"/>
  <c r="T85" i="18" s="1"/>
  <c r="U85" i="18" s="1"/>
  <c r="P69" i="37"/>
  <c r="T70" i="37" s="1"/>
  <c r="P78" i="37"/>
  <c r="T79" i="37" s="1"/>
  <c r="T85" i="37" s="1"/>
  <c r="U85" i="37" s="1"/>
  <c r="P81" i="37"/>
  <c r="T82" i="37" s="1"/>
  <c r="T90" i="37" s="1"/>
  <c r="U90" i="37" s="1"/>
  <c r="P75" i="37"/>
  <c r="T76" i="37" s="1"/>
  <c r="T92" i="37" s="1"/>
  <c r="U92" i="37" s="1"/>
  <c r="P69" i="56"/>
  <c r="T70" i="56" s="1"/>
  <c r="P75" i="56"/>
  <c r="T76" i="56" s="1"/>
  <c r="T92" i="56" s="1"/>
  <c r="U92" i="56" s="1"/>
  <c r="P81" i="56"/>
  <c r="T82" i="56" s="1"/>
  <c r="T90" i="56" s="1"/>
  <c r="U90" i="56" s="1"/>
  <c r="P78" i="56"/>
  <c r="T79" i="56" s="1"/>
  <c r="T85" i="56" s="1"/>
  <c r="U85" i="56" s="1"/>
  <c r="P69" i="78"/>
  <c r="T70" i="78" s="1"/>
  <c r="P75" i="78"/>
  <c r="T76" i="78" s="1"/>
  <c r="T92" i="78" s="1"/>
  <c r="U92" i="78" s="1"/>
  <c r="P78" i="78"/>
  <c r="T79" i="78" s="1"/>
  <c r="T85" i="78" s="1"/>
  <c r="U85" i="78" s="1"/>
  <c r="P81" i="78"/>
  <c r="T82" i="78" s="1"/>
  <c r="T90" i="78" s="1"/>
  <c r="U90" i="78" s="1"/>
  <c r="P69" i="22"/>
  <c r="T70" i="22" s="1"/>
  <c r="P78" i="22"/>
  <c r="T79" i="22" s="1"/>
  <c r="T85" i="22" s="1"/>
  <c r="U85" i="22" s="1"/>
  <c r="P81" i="22"/>
  <c r="T82" i="22" s="1"/>
  <c r="T90" i="22" s="1"/>
  <c r="U90" i="22" s="1"/>
  <c r="P75" i="22"/>
  <c r="T76" i="22" s="1"/>
  <c r="T92" i="22" s="1"/>
  <c r="U92" i="22" s="1"/>
  <c r="P78" i="7"/>
  <c r="T79" i="7" s="1"/>
  <c r="T85" i="7" s="1"/>
  <c r="U85" i="7" s="1"/>
  <c r="P81" i="7"/>
  <c r="T82" i="7" s="1"/>
  <c r="T90" i="7" s="1"/>
  <c r="U90" i="7" s="1"/>
  <c r="P69" i="75"/>
  <c r="T70" i="75" s="1"/>
  <c r="P81" i="75"/>
  <c r="T82" i="75" s="1"/>
  <c r="T90" i="75" s="1"/>
  <c r="U90" i="75" s="1"/>
  <c r="P75" i="75"/>
  <c r="T76" i="75" s="1"/>
  <c r="T92" i="75" s="1"/>
  <c r="U92" i="75" s="1"/>
  <c r="P78" i="75"/>
  <c r="T79" i="75" s="1"/>
  <c r="T85" i="75" s="1"/>
  <c r="U85" i="75" s="1"/>
  <c r="P69" i="32"/>
  <c r="T70" i="32" s="1"/>
  <c r="P78" i="32"/>
  <c r="T79" i="32" s="1"/>
  <c r="T85" i="32" s="1"/>
  <c r="U85" i="32" s="1"/>
  <c r="P81" i="32"/>
  <c r="T82" i="32" s="1"/>
  <c r="T90" i="32" s="1"/>
  <c r="U90" i="32" s="1"/>
  <c r="P75" i="32"/>
  <c r="T76" i="32" s="1"/>
  <c r="T92" i="32" s="1"/>
  <c r="U92" i="32" s="1"/>
  <c r="P69" i="70"/>
  <c r="T70" i="70" s="1"/>
  <c r="P81" i="70"/>
  <c r="T82" i="70" s="1"/>
  <c r="T90" i="70" s="1"/>
  <c r="U90" i="70" s="1"/>
  <c r="P78" i="70"/>
  <c r="T79" i="70" s="1"/>
  <c r="T85" i="70" s="1"/>
  <c r="U85" i="70" s="1"/>
  <c r="P75" i="70"/>
  <c r="T76" i="70" s="1"/>
  <c r="T92" i="70" s="1"/>
  <c r="U92" i="70" s="1"/>
  <c r="P69" i="30"/>
  <c r="T70" i="30" s="1"/>
  <c r="P78" i="30"/>
  <c r="T79" i="30" s="1"/>
  <c r="T85" i="30" s="1"/>
  <c r="U85" i="30" s="1"/>
  <c r="P81" i="30"/>
  <c r="T82" i="30" s="1"/>
  <c r="T90" i="30" s="1"/>
  <c r="U90" i="30" s="1"/>
  <c r="P75" i="30"/>
  <c r="T76" i="30" s="1"/>
  <c r="T92" i="30" s="1"/>
  <c r="U92" i="30" s="1"/>
  <c r="P69" i="69"/>
  <c r="T70" i="69" s="1"/>
  <c r="P81" i="69"/>
  <c r="T82" i="69" s="1"/>
  <c r="T90" i="69" s="1"/>
  <c r="U90" i="69" s="1"/>
  <c r="P75" i="69"/>
  <c r="T76" i="69" s="1"/>
  <c r="T92" i="69" s="1"/>
  <c r="U92" i="69" s="1"/>
  <c r="P78" i="69"/>
  <c r="T79" i="69" s="1"/>
  <c r="T85" i="69" s="1"/>
  <c r="U85" i="69" s="1"/>
  <c r="P69" i="23"/>
  <c r="T70" i="23" s="1"/>
  <c r="P81" i="23"/>
  <c r="T82" i="23" s="1"/>
  <c r="T90" i="23" s="1"/>
  <c r="U90" i="23" s="1"/>
  <c r="P78" i="23"/>
  <c r="T79" i="23" s="1"/>
  <c r="T85" i="23" s="1"/>
  <c r="U85" i="23" s="1"/>
  <c r="P75" i="23"/>
  <c r="T76" i="23" s="1"/>
  <c r="T92" i="23" s="1"/>
  <c r="U92" i="23" s="1"/>
  <c r="P69" i="17"/>
  <c r="T70" i="17" s="1"/>
  <c r="P75" i="17"/>
  <c r="T76" i="17" s="1"/>
  <c r="T92" i="17" s="1"/>
  <c r="U92" i="17" s="1"/>
  <c r="P78" i="17"/>
  <c r="T79" i="17" s="1"/>
  <c r="T85" i="17" s="1"/>
  <c r="U85" i="17" s="1"/>
  <c r="P81" i="17"/>
  <c r="T82" i="17" s="1"/>
  <c r="T90" i="17" s="1"/>
  <c r="U90" i="17" s="1"/>
  <c r="P69" i="71"/>
  <c r="T70" i="71" s="1"/>
  <c r="P81" i="71"/>
  <c r="T82" i="71" s="1"/>
  <c r="T90" i="71" s="1"/>
  <c r="U90" i="71" s="1"/>
  <c r="P78" i="71"/>
  <c r="T79" i="71" s="1"/>
  <c r="T85" i="71" s="1"/>
  <c r="U85" i="71" s="1"/>
  <c r="P75" i="71"/>
  <c r="T76" i="71" s="1"/>
  <c r="T92" i="71" s="1"/>
  <c r="U92" i="71" s="1"/>
  <c r="P69" i="57"/>
  <c r="T70" i="57" s="1"/>
  <c r="P81" i="57"/>
  <c r="T82" i="57" s="1"/>
  <c r="T90" i="57" s="1"/>
  <c r="U90" i="57" s="1"/>
  <c r="P75" i="57"/>
  <c r="T76" i="57" s="1"/>
  <c r="T92" i="57" s="1"/>
  <c r="U92" i="57" s="1"/>
  <c r="P78" i="57"/>
  <c r="T79" i="57" s="1"/>
  <c r="T85" i="57" s="1"/>
  <c r="U85" i="57" s="1"/>
  <c r="P69" i="31"/>
  <c r="T70" i="31" s="1"/>
  <c r="P81" i="31"/>
  <c r="T82" i="31" s="1"/>
  <c r="T90" i="31" s="1"/>
  <c r="U90" i="31" s="1"/>
  <c r="P75" i="31"/>
  <c r="T76" i="31" s="1"/>
  <c r="T92" i="31" s="1"/>
  <c r="U92" i="31" s="1"/>
  <c r="P78" i="31"/>
  <c r="T79" i="31" s="1"/>
  <c r="T85" i="31" s="1"/>
  <c r="U85" i="31" s="1"/>
  <c r="P69" i="26"/>
  <c r="T70" i="26" s="1"/>
  <c r="T98" i="26" s="1"/>
  <c r="U98" i="26" s="1"/>
  <c r="P75" i="26"/>
  <c r="T76" i="26" s="1"/>
  <c r="T92" i="26" s="1"/>
  <c r="U92" i="26" s="1"/>
  <c r="P78" i="26"/>
  <c r="T79" i="26" s="1"/>
  <c r="T85" i="26" s="1"/>
  <c r="U85" i="26" s="1"/>
  <c r="P81" i="26"/>
  <c r="T82" i="26" s="1"/>
  <c r="T90" i="26" s="1"/>
  <c r="U90" i="26" s="1"/>
  <c r="R46" i="34"/>
  <c r="P72" i="34"/>
  <c r="P69" i="28"/>
  <c r="T70" i="28" s="1"/>
  <c r="P75" i="28"/>
  <c r="T76" i="28" s="1"/>
  <c r="T92" i="28" s="1"/>
  <c r="U92" i="28" s="1"/>
  <c r="P81" i="28"/>
  <c r="T82" i="28" s="1"/>
  <c r="T90" i="28" s="1"/>
  <c r="U90" i="28" s="1"/>
  <c r="P78" i="28"/>
  <c r="T79" i="28" s="1"/>
  <c r="T85" i="28" s="1"/>
  <c r="U85" i="28" s="1"/>
  <c r="P69" i="68"/>
  <c r="T70" i="68" s="1"/>
  <c r="P78" i="68"/>
  <c r="T79" i="68" s="1"/>
  <c r="T85" i="68" s="1"/>
  <c r="U85" i="68" s="1"/>
  <c r="P81" i="68"/>
  <c r="T82" i="68" s="1"/>
  <c r="T90" i="68" s="1"/>
  <c r="U90" i="68" s="1"/>
  <c r="P75" i="68"/>
  <c r="T76" i="68" s="1"/>
  <c r="T92" i="68" s="1"/>
  <c r="U92" i="68" s="1"/>
  <c r="P69" i="76"/>
  <c r="T70" i="76" s="1"/>
  <c r="P75" i="76"/>
  <c r="T76" i="76" s="1"/>
  <c r="T92" i="76" s="1"/>
  <c r="U92" i="76" s="1"/>
  <c r="P78" i="76"/>
  <c r="T79" i="76" s="1"/>
  <c r="T85" i="76" s="1"/>
  <c r="U85" i="76" s="1"/>
  <c r="P81" i="76"/>
  <c r="T82" i="76" s="1"/>
  <c r="T90" i="76" s="1"/>
  <c r="U90" i="76" s="1"/>
  <c r="P69" i="55"/>
  <c r="T70" i="55" s="1"/>
  <c r="P78" i="55"/>
  <c r="T79" i="55" s="1"/>
  <c r="T85" i="55" s="1"/>
  <c r="U85" i="55" s="1"/>
  <c r="P81" i="55"/>
  <c r="T82" i="55" s="1"/>
  <c r="T90" i="55" s="1"/>
  <c r="U90" i="55" s="1"/>
  <c r="P75" i="55"/>
  <c r="T76" i="55" s="1"/>
  <c r="T92" i="55" s="1"/>
  <c r="U92" i="55" s="1"/>
  <c r="P69" i="7"/>
  <c r="T70" i="7" s="1"/>
  <c r="P75" i="7"/>
  <c r="T76" i="7" s="1"/>
  <c r="T92" i="7" s="1"/>
  <c r="U92" i="7" s="1"/>
  <c r="I53" i="75"/>
  <c r="T30" i="28"/>
  <c r="P72" i="28" s="1"/>
  <c r="U30" i="28"/>
  <c r="O104" i="28"/>
  <c r="T104" i="28" s="1"/>
  <c r="T30" i="43"/>
  <c r="O104" i="43"/>
  <c r="T104" i="43" s="1"/>
  <c r="U30" i="43"/>
  <c r="O104" i="23"/>
  <c r="T104" i="23" s="1"/>
  <c r="T30" i="23"/>
  <c r="U30" i="23"/>
  <c r="T30" i="22"/>
  <c r="O104" i="22"/>
  <c r="T104" i="22" s="1"/>
  <c r="U30" i="22"/>
  <c r="U30" i="25"/>
  <c r="T30" i="25"/>
  <c r="O104" i="25"/>
  <c r="T104" i="25" s="1"/>
  <c r="U30" i="39"/>
  <c r="O104" i="39"/>
  <c r="T104" i="39" s="1"/>
  <c r="T30" i="39"/>
  <c r="O104" i="51"/>
  <c r="T104" i="51" s="1"/>
  <c r="T30" i="51"/>
  <c r="U30" i="51"/>
  <c r="T30" i="44"/>
  <c r="U30" i="44"/>
  <c r="O104" i="44"/>
  <c r="T104" i="44" s="1"/>
  <c r="T30" i="37"/>
  <c r="U30" i="37"/>
  <c r="O104" i="37"/>
  <c r="T104" i="37" s="1"/>
  <c r="O104" i="66"/>
  <c r="T104" i="66" s="1"/>
  <c r="U30" i="66"/>
  <c r="T30" i="66"/>
  <c r="U30" i="32"/>
  <c r="O104" i="32"/>
  <c r="T104" i="32" s="1"/>
  <c r="T30" i="32"/>
  <c r="U30" i="47"/>
  <c r="O104" i="47"/>
  <c r="T104" i="47" s="1"/>
  <c r="T30" i="47"/>
  <c r="T30" i="48"/>
  <c r="U30" i="48"/>
  <c r="O104" i="48"/>
  <c r="T104" i="48" s="1"/>
  <c r="U30" i="70"/>
  <c r="T30" i="70"/>
  <c r="O104" i="70"/>
  <c r="T104" i="70" s="1"/>
  <c r="T30" i="21"/>
  <c r="O104" i="21"/>
  <c r="T104" i="21" s="1"/>
  <c r="U30" i="21"/>
  <c r="U30" i="30"/>
  <c r="O104" i="30"/>
  <c r="T104" i="30" s="1"/>
  <c r="T30" i="30"/>
  <c r="T30" i="24"/>
  <c r="U30" i="24"/>
  <c r="O104" i="24"/>
  <c r="T104" i="24" s="1"/>
  <c r="T30" i="77"/>
  <c r="U30" i="77"/>
  <c r="O104" i="77"/>
  <c r="T104" i="77" s="1"/>
  <c r="U30" i="33"/>
  <c r="O104" i="33"/>
  <c r="T104" i="33" s="1"/>
  <c r="T30" i="33"/>
  <c r="T30" i="55"/>
  <c r="U30" i="55"/>
  <c r="O104" i="55"/>
  <c r="T104" i="55" s="1"/>
  <c r="T30" i="38"/>
  <c r="O104" i="38"/>
  <c r="T104" i="38" s="1"/>
  <c r="U30" i="38"/>
  <c r="T30" i="31"/>
  <c r="U30" i="31"/>
  <c r="O104" i="31"/>
  <c r="T104" i="31" s="1"/>
  <c r="U30" i="26"/>
  <c r="O104" i="26"/>
  <c r="T104" i="26" s="1"/>
  <c r="T30" i="26"/>
  <c r="U30" i="20"/>
  <c r="O104" i="20"/>
  <c r="T104" i="20" s="1"/>
  <c r="T30" i="20"/>
  <c r="U30" i="76"/>
  <c r="O104" i="76"/>
  <c r="T104" i="76" s="1"/>
  <c r="T30" i="76"/>
  <c r="T30" i="35"/>
  <c r="U30" i="35"/>
  <c r="O104" i="35"/>
  <c r="T104" i="35" s="1"/>
  <c r="I43" i="72"/>
  <c r="U30" i="78"/>
  <c r="O104" i="78"/>
  <c r="T104" i="78" s="1"/>
  <c r="T30" i="78"/>
  <c r="U30" i="27"/>
  <c r="O104" i="27"/>
  <c r="T104" i="27" s="1"/>
  <c r="T30" i="27"/>
  <c r="T30" i="67"/>
  <c r="U30" i="67"/>
  <c r="O104" i="67"/>
  <c r="T104" i="67" s="1"/>
  <c r="O104" i="71"/>
  <c r="T104" i="71" s="1"/>
  <c r="U30" i="71"/>
  <c r="T30" i="71"/>
  <c r="U30" i="68"/>
  <c r="O104" i="68"/>
  <c r="T104" i="68" s="1"/>
  <c r="T30" i="68"/>
  <c r="U30" i="7"/>
  <c r="O104" i="7"/>
  <c r="T104" i="7" s="1"/>
  <c r="T30" i="7"/>
  <c r="T30" i="58"/>
  <c r="U30" i="58"/>
  <c r="O104" i="58"/>
  <c r="T104" i="58" s="1"/>
  <c r="T30" i="50"/>
  <c r="U30" i="50"/>
  <c r="O104" i="50"/>
  <c r="T104" i="50" s="1"/>
  <c r="O104" i="17"/>
  <c r="T104" i="17" s="1"/>
  <c r="T30" i="17"/>
  <c r="U30" i="17"/>
  <c r="T30" i="42"/>
  <c r="U30" i="42"/>
  <c r="O104" i="42"/>
  <c r="T104" i="42" s="1"/>
  <c r="U30" i="18"/>
  <c r="O104" i="18"/>
  <c r="T104" i="18" s="1"/>
  <c r="U107" i="18" s="1"/>
  <c r="T30" i="18"/>
  <c r="O104" i="56"/>
  <c r="T104" i="56" s="1"/>
  <c r="T30" i="56"/>
  <c r="U30" i="56"/>
  <c r="O104" i="69"/>
  <c r="T104" i="69" s="1"/>
  <c r="T30" i="69"/>
  <c r="U30" i="69"/>
  <c r="O107" i="34"/>
  <c r="U107" i="34"/>
  <c r="T30" i="40"/>
  <c r="O104" i="40"/>
  <c r="T104" i="40" s="1"/>
  <c r="U30" i="40"/>
  <c r="U30" i="57"/>
  <c r="T30" i="57"/>
  <c r="O104" i="57"/>
  <c r="T104" i="57" s="1"/>
  <c r="T30" i="36"/>
  <c r="O104" i="36"/>
  <c r="T104" i="36" s="1"/>
  <c r="U30" i="36"/>
  <c r="O104" i="75"/>
  <c r="T104" i="75" s="1"/>
  <c r="U30" i="75"/>
  <c r="T30" i="75"/>
  <c r="T30" i="45"/>
  <c r="O104" i="45"/>
  <c r="T104" i="45" s="1"/>
  <c r="U30" i="45"/>
  <c r="U30" i="16"/>
  <c r="O104" i="16"/>
  <c r="T104" i="16" s="1"/>
  <c r="T30" i="16"/>
  <c r="I128" i="21" l="1"/>
  <c r="I128" i="57"/>
  <c r="I128" i="55"/>
  <c r="I130" i="55" s="1"/>
  <c r="H135" i="55" s="1"/>
  <c r="I135" i="55" s="1"/>
  <c r="I128" i="48"/>
  <c r="I130" i="48" s="1"/>
  <c r="H135" i="48" s="1"/>
  <c r="I128" i="18"/>
  <c r="I128" i="39"/>
  <c r="I130" i="39" s="1"/>
  <c r="H135" i="39" s="1"/>
  <c r="I128" i="30"/>
  <c r="I128" i="35"/>
  <c r="I130" i="35" s="1"/>
  <c r="H135" i="35" s="1"/>
  <c r="I128" i="38"/>
  <c r="I128" i="76"/>
  <c r="I130" i="76" s="1"/>
  <c r="H135" i="76" s="1"/>
  <c r="I128" i="69"/>
  <c r="I48" i="72" s="1"/>
  <c r="I128" i="67"/>
  <c r="I128" i="58"/>
  <c r="I130" i="58" s="1"/>
  <c r="H135" i="58" s="1"/>
  <c r="I128" i="28"/>
  <c r="I19" i="72" s="1"/>
  <c r="I128" i="51"/>
  <c r="I130" i="51" s="1"/>
  <c r="I128" i="25"/>
  <c r="I128" i="77"/>
  <c r="I130" i="77" s="1"/>
  <c r="H135" i="77" s="1"/>
  <c r="I128" i="70"/>
  <c r="I128" i="27"/>
  <c r="I130" i="27" s="1"/>
  <c r="H135" i="27" s="1"/>
  <c r="I128" i="78"/>
  <c r="I128" i="42"/>
  <c r="I130" i="42" s="1"/>
  <c r="H135" i="42" s="1"/>
  <c r="I128" i="20"/>
  <c r="I128" i="23"/>
  <c r="I128" i="34"/>
  <c r="I23" i="72" s="1"/>
  <c r="I128" i="45"/>
  <c r="I130" i="45" s="1"/>
  <c r="H135" i="45" s="1"/>
  <c r="I135" i="45" s="1"/>
  <c r="I128" i="24"/>
  <c r="I130" i="24" s="1"/>
  <c r="I128" i="26"/>
  <c r="I128" i="75"/>
  <c r="I130" i="75" s="1"/>
  <c r="H135" i="75" s="1"/>
  <c r="I128" i="7"/>
  <c r="I128" i="17"/>
  <c r="I128" i="47"/>
  <c r="I130" i="47" s="1"/>
  <c r="H135" i="47" s="1"/>
  <c r="I135" i="47" s="1"/>
  <c r="I128" i="22"/>
  <c r="I130" i="22" s="1"/>
  <c r="I128" i="40"/>
  <c r="I128" i="68"/>
  <c r="I130" i="68" s="1"/>
  <c r="I128" i="36"/>
  <c r="I130" i="36" s="1"/>
  <c r="I97" i="60"/>
  <c r="I128" i="37"/>
  <c r="I130" i="37" s="1"/>
  <c r="H135" i="37" s="1"/>
  <c r="I128" i="52"/>
  <c r="I128" i="31"/>
  <c r="I130" i="31" s="1"/>
  <c r="I128" i="50"/>
  <c r="I54" i="60"/>
  <c r="I95" i="60"/>
  <c r="L95" i="60" s="1"/>
  <c r="I128" i="71"/>
  <c r="I53" i="18"/>
  <c r="I53" i="60"/>
  <c r="T88" i="76"/>
  <c r="U88" i="76" s="1"/>
  <c r="T98" i="76"/>
  <c r="U98" i="76" s="1"/>
  <c r="T88" i="22"/>
  <c r="U88" i="22" s="1"/>
  <c r="T98" i="22"/>
  <c r="U98" i="22" s="1"/>
  <c r="T88" i="37"/>
  <c r="U88" i="37" s="1"/>
  <c r="T98" i="37"/>
  <c r="U98" i="37" s="1"/>
  <c r="T88" i="27"/>
  <c r="U88" i="27" s="1"/>
  <c r="T98" i="27"/>
  <c r="U98" i="27" s="1"/>
  <c r="T88" i="45"/>
  <c r="U88" i="45" s="1"/>
  <c r="T98" i="45"/>
  <c r="U98" i="45" s="1"/>
  <c r="T88" i="42"/>
  <c r="U88" i="42" s="1"/>
  <c r="T98" i="42"/>
  <c r="U98" i="42" s="1"/>
  <c r="T88" i="24"/>
  <c r="U88" i="24" s="1"/>
  <c r="T98" i="24"/>
  <c r="U98" i="24" s="1"/>
  <c r="T88" i="43"/>
  <c r="U88" i="43" s="1"/>
  <c r="T98" i="43"/>
  <c r="U98" i="43" s="1"/>
  <c r="T88" i="21"/>
  <c r="U88" i="21" s="1"/>
  <c r="T98" i="21"/>
  <c r="U98" i="21" s="1"/>
  <c r="T88" i="67"/>
  <c r="U88" i="67" s="1"/>
  <c r="T98" i="67"/>
  <c r="U98" i="67" s="1"/>
  <c r="T88" i="50"/>
  <c r="U88" i="50" s="1"/>
  <c r="T98" i="50"/>
  <c r="U98" i="50" s="1"/>
  <c r="T88" i="23"/>
  <c r="U88" i="23" s="1"/>
  <c r="T98" i="23"/>
  <c r="U98" i="23" s="1"/>
  <c r="T88" i="71"/>
  <c r="U88" i="71" s="1"/>
  <c r="T98" i="71"/>
  <c r="U98" i="71" s="1"/>
  <c r="T88" i="69"/>
  <c r="U88" i="69" s="1"/>
  <c r="T98" i="69"/>
  <c r="U98" i="69" s="1"/>
  <c r="T88" i="32"/>
  <c r="U88" i="32" s="1"/>
  <c r="T98" i="32"/>
  <c r="U98" i="32" s="1"/>
  <c r="T88" i="57"/>
  <c r="U88" i="57" s="1"/>
  <c r="T98" i="57"/>
  <c r="U98" i="57" s="1"/>
  <c r="T88" i="7"/>
  <c r="U88" i="7" s="1"/>
  <c r="T98" i="7"/>
  <c r="U98" i="7" s="1"/>
  <c r="T88" i="68"/>
  <c r="U88" i="68" s="1"/>
  <c r="T98" i="68"/>
  <c r="U98" i="68" s="1"/>
  <c r="T88" i="78"/>
  <c r="U88" i="78" s="1"/>
  <c r="T98" i="78"/>
  <c r="U98" i="78" s="1"/>
  <c r="T88" i="18"/>
  <c r="U88" i="18" s="1"/>
  <c r="T98" i="18"/>
  <c r="U98" i="18" s="1"/>
  <c r="T88" i="39"/>
  <c r="U88" i="39" s="1"/>
  <c r="T98" i="39"/>
  <c r="U98" i="39" s="1"/>
  <c r="T88" i="44"/>
  <c r="U88" i="44" s="1"/>
  <c r="T98" i="44"/>
  <c r="U98" i="44" s="1"/>
  <c r="T88" i="48"/>
  <c r="U88" i="48" s="1"/>
  <c r="T98" i="48"/>
  <c r="U98" i="48" s="1"/>
  <c r="T88" i="38"/>
  <c r="U88" i="38" s="1"/>
  <c r="T98" i="38"/>
  <c r="U98" i="38" s="1"/>
  <c r="T88" i="36"/>
  <c r="U88" i="36" s="1"/>
  <c r="T98" i="36"/>
  <c r="U98" i="36" s="1"/>
  <c r="T88" i="20"/>
  <c r="U88" i="20" s="1"/>
  <c r="T98" i="20"/>
  <c r="U98" i="20" s="1"/>
  <c r="T88" i="66"/>
  <c r="U88" i="66" s="1"/>
  <c r="T98" i="66"/>
  <c r="U98" i="66" s="1"/>
  <c r="T88" i="58"/>
  <c r="U88" i="58" s="1"/>
  <c r="T98" i="58"/>
  <c r="U98" i="58" s="1"/>
  <c r="T88" i="34"/>
  <c r="U88" i="34" s="1"/>
  <c r="T98" i="34"/>
  <c r="U98" i="34" s="1"/>
  <c r="T88" i="70"/>
  <c r="U88" i="70" s="1"/>
  <c r="T98" i="70"/>
  <c r="U98" i="70" s="1"/>
  <c r="T88" i="31"/>
  <c r="U88" i="31" s="1"/>
  <c r="T98" i="31"/>
  <c r="U98" i="31" s="1"/>
  <c r="T88" i="30"/>
  <c r="U88" i="30" s="1"/>
  <c r="T98" i="30"/>
  <c r="U98" i="30" s="1"/>
  <c r="T88" i="75"/>
  <c r="U88" i="75" s="1"/>
  <c r="T98" i="75"/>
  <c r="U98" i="75" s="1"/>
  <c r="T88" i="55"/>
  <c r="U88" i="55" s="1"/>
  <c r="T98" i="55"/>
  <c r="U98" i="55" s="1"/>
  <c r="T88" i="28"/>
  <c r="U88" i="28" s="1"/>
  <c r="T98" i="28"/>
  <c r="U98" i="28" s="1"/>
  <c r="T88" i="56"/>
  <c r="U88" i="56" s="1"/>
  <c r="T98" i="56"/>
  <c r="U98" i="56" s="1"/>
  <c r="T88" i="51"/>
  <c r="U88" i="51" s="1"/>
  <c r="T98" i="51"/>
  <c r="U98" i="51" s="1"/>
  <c r="T88" i="40"/>
  <c r="U88" i="40" s="1"/>
  <c r="T98" i="40"/>
  <c r="U98" i="40" s="1"/>
  <c r="T88" i="47"/>
  <c r="U88" i="47" s="1"/>
  <c r="T98" i="47"/>
  <c r="U98" i="47" s="1"/>
  <c r="T88" i="25"/>
  <c r="U88" i="25" s="1"/>
  <c r="T98" i="25"/>
  <c r="U98" i="25" s="1"/>
  <c r="T88" i="16"/>
  <c r="U88" i="16" s="1"/>
  <c r="T98" i="16"/>
  <c r="U98" i="16" s="1"/>
  <c r="T88" i="35"/>
  <c r="U88" i="35" s="1"/>
  <c r="T98" i="35"/>
  <c r="U98" i="35" s="1"/>
  <c r="T88" i="77"/>
  <c r="U88" i="77" s="1"/>
  <c r="T98" i="77"/>
  <c r="U98" i="77" s="1"/>
  <c r="T88" i="33"/>
  <c r="U88" i="33" s="1"/>
  <c r="T98" i="33"/>
  <c r="U98" i="33" s="1"/>
  <c r="T88" i="17"/>
  <c r="U88" i="17" s="1"/>
  <c r="T98" i="17"/>
  <c r="U98" i="17" s="1"/>
  <c r="J43" i="72"/>
  <c r="I130" i="44"/>
  <c r="H135" i="44" s="1"/>
  <c r="I53" i="70"/>
  <c r="I53" i="67"/>
  <c r="I53" i="16"/>
  <c r="O107" i="52"/>
  <c r="T104" i="52"/>
  <c r="U107" i="52" s="1"/>
  <c r="I53" i="26"/>
  <c r="I53" i="32"/>
  <c r="I130" i="32" s="1"/>
  <c r="H135" i="32" s="1"/>
  <c r="I135" i="32" s="1"/>
  <c r="I53" i="17"/>
  <c r="I53" i="23"/>
  <c r="I53" i="20"/>
  <c r="I53" i="30"/>
  <c r="I130" i="57"/>
  <c r="H135" i="57" s="1"/>
  <c r="I135" i="57" s="1"/>
  <c r="I53" i="66"/>
  <c r="R46" i="28"/>
  <c r="T73" i="28" s="1"/>
  <c r="T94" i="28" s="1"/>
  <c r="U94" i="28" s="1"/>
  <c r="R46" i="52"/>
  <c r="I32" i="72"/>
  <c r="I22" i="72"/>
  <c r="I53" i="7"/>
  <c r="U46" i="39"/>
  <c r="R51" i="39"/>
  <c r="U51" i="39" s="1"/>
  <c r="R52" i="39"/>
  <c r="U52" i="39" s="1"/>
  <c r="U46" i="56"/>
  <c r="R52" i="56"/>
  <c r="U52" i="56" s="1"/>
  <c r="R51" i="56"/>
  <c r="U51" i="56" s="1"/>
  <c r="U46" i="67"/>
  <c r="R51" i="67"/>
  <c r="U51" i="67" s="1"/>
  <c r="R52" i="67"/>
  <c r="U52" i="67" s="1"/>
  <c r="U46" i="55"/>
  <c r="R51" i="55"/>
  <c r="U51" i="55" s="1"/>
  <c r="R52" i="55"/>
  <c r="U52" i="55" s="1"/>
  <c r="U46" i="68"/>
  <c r="R51" i="68"/>
  <c r="U51" i="68" s="1"/>
  <c r="R52" i="68"/>
  <c r="U52" i="68" s="1"/>
  <c r="U46" i="75"/>
  <c r="R51" i="75"/>
  <c r="U51" i="75" s="1"/>
  <c r="R52" i="75"/>
  <c r="U52" i="75" s="1"/>
  <c r="U46" i="57"/>
  <c r="R52" i="57"/>
  <c r="U52" i="57" s="1"/>
  <c r="R51" i="57"/>
  <c r="U51" i="57" s="1"/>
  <c r="U46" i="50"/>
  <c r="R51" i="50"/>
  <c r="U51" i="50" s="1"/>
  <c r="R52" i="50"/>
  <c r="U52" i="50" s="1"/>
  <c r="U46" i="76"/>
  <c r="R51" i="76"/>
  <c r="U51" i="76" s="1"/>
  <c r="R52" i="76"/>
  <c r="U52" i="76" s="1"/>
  <c r="U46" i="33"/>
  <c r="R51" i="33"/>
  <c r="U51" i="33" s="1"/>
  <c r="R52" i="33"/>
  <c r="U52" i="33" s="1"/>
  <c r="U46" i="24"/>
  <c r="R51" i="24"/>
  <c r="U51" i="24" s="1"/>
  <c r="R52" i="24"/>
  <c r="U52" i="24" s="1"/>
  <c r="U46" i="66"/>
  <c r="R51" i="66"/>
  <c r="U51" i="66" s="1"/>
  <c r="R52" i="66"/>
  <c r="U52" i="66" s="1"/>
  <c r="U46" i="35"/>
  <c r="R51" i="35"/>
  <c r="U51" i="35" s="1"/>
  <c r="R52" i="35"/>
  <c r="U52" i="35" s="1"/>
  <c r="U46" i="40"/>
  <c r="R51" i="40"/>
  <c r="U51" i="40" s="1"/>
  <c r="R52" i="40"/>
  <c r="U52" i="40" s="1"/>
  <c r="U46" i="17"/>
  <c r="R51" i="17"/>
  <c r="U51" i="17" s="1"/>
  <c r="R52" i="17"/>
  <c r="U52" i="17" s="1"/>
  <c r="U46" i="47"/>
  <c r="R51" i="47"/>
  <c r="U51" i="47" s="1"/>
  <c r="R52" i="47"/>
  <c r="U52" i="47" s="1"/>
  <c r="U46" i="23"/>
  <c r="R51" i="23"/>
  <c r="U51" i="23" s="1"/>
  <c r="R52" i="23"/>
  <c r="U52" i="23" s="1"/>
  <c r="U46" i="25"/>
  <c r="R51" i="25"/>
  <c r="U51" i="25" s="1"/>
  <c r="R52" i="25"/>
  <c r="U52" i="25" s="1"/>
  <c r="U46" i="18"/>
  <c r="R51" i="18"/>
  <c r="U51" i="18" s="1"/>
  <c r="R52" i="18"/>
  <c r="U52" i="18" s="1"/>
  <c r="U46" i="45"/>
  <c r="R51" i="45"/>
  <c r="U51" i="45" s="1"/>
  <c r="R52" i="45"/>
  <c r="U52" i="45" s="1"/>
  <c r="U46" i="58"/>
  <c r="R51" i="58"/>
  <c r="U51" i="58" s="1"/>
  <c r="R52" i="58"/>
  <c r="U52" i="58" s="1"/>
  <c r="U46" i="71"/>
  <c r="R51" i="71"/>
  <c r="U51" i="71" s="1"/>
  <c r="R52" i="71"/>
  <c r="U52" i="71" s="1"/>
  <c r="U46" i="27"/>
  <c r="R51" i="27"/>
  <c r="U51" i="27" s="1"/>
  <c r="R52" i="27"/>
  <c r="U52" i="27" s="1"/>
  <c r="U46" i="20"/>
  <c r="R51" i="20"/>
  <c r="U51" i="20" s="1"/>
  <c r="R52" i="20"/>
  <c r="U52" i="20" s="1"/>
  <c r="U46" i="70"/>
  <c r="R51" i="70"/>
  <c r="U51" i="70" s="1"/>
  <c r="R52" i="70"/>
  <c r="U52" i="70" s="1"/>
  <c r="U46" i="37"/>
  <c r="R51" i="37"/>
  <c r="U51" i="37" s="1"/>
  <c r="R52" i="37"/>
  <c r="U52" i="37" s="1"/>
  <c r="U46" i="51"/>
  <c r="R51" i="51"/>
  <c r="U51" i="51" s="1"/>
  <c r="R52" i="51"/>
  <c r="U52" i="51" s="1"/>
  <c r="U46" i="43"/>
  <c r="R52" i="43"/>
  <c r="U52" i="43" s="1"/>
  <c r="R51" i="43"/>
  <c r="U51" i="43" s="1"/>
  <c r="U46" i="78"/>
  <c r="R51" i="78"/>
  <c r="U51" i="78" s="1"/>
  <c r="R52" i="78"/>
  <c r="U52" i="78" s="1"/>
  <c r="U46" i="77"/>
  <c r="R51" i="77"/>
  <c r="U51" i="77" s="1"/>
  <c r="R52" i="77"/>
  <c r="U52" i="77" s="1"/>
  <c r="U46" i="28"/>
  <c r="R52" i="28"/>
  <c r="U52" i="28" s="1"/>
  <c r="R51" i="28"/>
  <c r="U51" i="28" s="1"/>
  <c r="U46" i="32"/>
  <c r="R51" i="32"/>
  <c r="U51" i="32" s="1"/>
  <c r="R52" i="32"/>
  <c r="U52" i="32" s="1"/>
  <c r="U46" i="38"/>
  <c r="R51" i="38"/>
  <c r="U51" i="38" s="1"/>
  <c r="R52" i="38"/>
  <c r="U52" i="38" s="1"/>
  <c r="U46" i="22"/>
  <c r="R51" i="22"/>
  <c r="U51" i="22" s="1"/>
  <c r="R52" i="22"/>
  <c r="U52" i="22" s="1"/>
  <c r="U46" i="21"/>
  <c r="R51" i="21"/>
  <c r="U51" i="21" s="1"/>
  <c r="R52" i="21"/>
  <c r="U52" i="21" s="1"/>
  <c r="U46" i="42"/>
  <c r="R52" i="42"/>
  <c r="U52" i="42" s="1"/>
  <c r="R51" i="42"/>
  <c r="U51" i="42" s="1"/>
  <c r="U46" i="69"/>
  <c r="R51" i="69"/>
  <c r="U51" i="69" s="1"/>
  <c r="R52" i="69"/>
  <c r="U52" i="69" s="1"/>
  <c r="U46" i="26"/>
  <c r="R51" i="26"/>
  <c r="U51" i="26" s="1"/>
  <c r="R52" i="26"/>
  <c r="U52" i="26" s="1"/>
  <c r="U46" i="48"/>
  <c r="R51" i="48"/>
  <c r="U51" i="48" s="1"/>
  <c r="R52" i="48"/>
  <c r="U52" i="48" s="1"/>
  <c r="U46" i="44"/>
  <c r="R51" i="44"/>
  <c r="U51" i="44" s="1"/>
  <c r="R52" i="44"/>
  <c r="U52" i="44" s="1"/>
  <c r="U46" i="16"/>
  <c r="R51" i="16"/>
  <c r="U51" i="16" s="1"/>
  <c r="R52" i="16"/>
  <c r="U52" i="16" s="1"/>
  <c r="U46" i="31"/>
  <c r="R52" i="31"/>
  <c r="U52" i="31" s="1"/>
  <c r="R51" i="31"/>
  <c r="U51" i="31" s="1"/>
  <c r="U46" i="36"/>
  <c r="R51" i="36"/>
  <c r="U51" i="36" s="1"/>
  <c r="R52" i="36"/>
  <c r="U52" i="36" s="1"/>
  <c r="U46" i="30"/>
  <c r="R51" i="30"/>
  <c r="U51" i="30" s="1"/>
  <c r="R52" i="30"/>
  <c r="U52" i="30" s="1"/>
  <c r="U53" i="34"/>
  <c r="U53" i="52"/>
  <c r="U46" i="7"/>
  <c r="R52" i="7"/>
  <c r="U52" i="7" s="1"/>
  <c r="R51" i="7"/>
  <c r="U51" i="7" s="1"/>
  <c r="T88" i="26"/>
  <c r="U88" i="26" s="1"/>
  <c r="R46" i="57"/>
  <c r="P72" i="57"/>
  <c r="R46" i="56"/>
  <c r="P72" i="56"/>
  <c r="R46" i="67"/>
  <c r="P72" i="67"/>
  <c r="R46" i="38"/>
  <c r="P72" i="38"/>
  <c r="R46" i="37"/>
  <c r="P72" i="37"/>
  <c r="R46" i="51"/>
  <c r="P72" i="51"/>
  <c r="R46" i="35"/>
  <c r="P72" i="35"/>
  <c r="R46" i="32"/>
  <c r="P72" i="32"/>
  <c r="R46" i="18"/>
  <c r="P72" i="18"/>
  <c r="R46" i="76"/>
  <c r="P72" i="76"/>
  <c r="R46" i="48"/>
  <c r="P72" i="48"/>
  <c r="R46" i="39"/>
  <c r="P72" i="39"/>
  <c r="R46" i="43"/>
  <c r="P72" i="43"/>
  <c r="R46" i="50"/>
  <c r="P72" i="50"/>
  <c r="R46" i="55"/>
  <c r="P72" i="55"/>
  <c r="R46" i="33"/>
  <c r="P72" i="33"/>
  <c r="R46" i="44"/>
  <c r="P72" i="44"/>
  <c r="R46" i="71"/>
  <c r="P72" i="71"/>
  <c r="R46" i="78"/>
  <c r="P72" i="78"/>
  <c r="R46" i="21"/>
  <c r="P72" i="21"/>
  <c r="R46" i="22"/>
  <c r="P72" i="22"/>
  <c r="R46" i="40"/>
  <c r="P72" i="40"/>
  <c r="R46" i="17"/>
  <c r="P72" i="17"/>
  <c r="R46" i="27"/>
  <c r="P72" i="27"/>
  <c r="R46" i="45"/>
  <c r="P72" i="45"/>
  <c r="R46" i="20"/>
  <c r="P72" i="20"/>
  <c r="R46" i="58"/>
  <c r="P72" i="58"/>
  <c r="R46" i="47"/>
  <c r="P72" i="47"/>
  <c r="R46" i="23"/>
  <c r="P72" i="23"/>
  <c r="R46" i="42"/>
  <c r="P72" i="42"/>
  <c r="R46" i="24"/>
  <c r="P72" i="24"/>
  <c r="R46" i="66"/>
  <c r="P72" i="66"/>
  <c r="T73" i="52"/>
  <c r="T94" i="52" s="1"/>
  <c r="U94" i="52" s="1"/>
  <c r="R46" i="26"/>
  <c r="P72" i="26"/>
  <c r="R46" i="31"/>
  <c r="P72" i="31"/>
  <c r="R46" i="69"/>
  <c r="P72" i="69"/>
  <c r="R46" i="70"/>
  <c r="P72" i="70"/>
  <c r="R46" i="25"/>
  <c r="P72" i="25"/>
  <c r="T73" i="34"/>
  <c r="T94" i="34" s="1"/>
  <c r="U94" i="34" s="1"/>
  <c r="R46" i="36"/>
  <c r="P72" i="36"/>
  <c r="R46" i="68"/>
  <c r="P72" i="68"/>
  <c r="R46" i="16"/>
  <c r="P72" i="16"/>
  <c r="R46" i="75"/>
  <c r="P72" i="75"/>
  <c r="R46" i="77"/>
  <c r="P72" i="77"/>
  <c r="R46" i="30"/>
  <c r="P72" i="30"/>
  <c r="R46" i="7"/>
  <c r="P72" i="7"/>
  <c r="I21" i="72"/>
  <c r="K32" i="72"/>
  <c r="R32" i="72" s="1"/>
  <c r="I137" i="43"/>
  <c r="I141" i="43" s="1"/>
  <c r="I145" i="43" s="1"/>
  <c r="I147" i="43"/>
  <c r="U107" i="69"/>
  <c r="O107" i="69"/>
  <c r="U107" i="7"/>
  <c r="O107" i="7"/>
  <c r="U107" i="35"/>
  <c r="O107" i="35"/>
  <c r="O107" i="26"/>
  <c r="U107" i="26"/>
  <c r="U107" i="38"/>
  <c r="O107" i="38"/>
  <c r="O107" i="24"/>
  <c r="U107" i="24"/>
  <c r="O107" i="21"/>
  <c r="U107" i="21"/>
  <c r="O107" i="28"/>
  <c r="U107" i="28"/>
  <c r="U107" i="31"/>
  <c r="O107" i="31"/>
  <c r="U107" i="77"/>
  <c r="O107" i="77"/>
  <c r="U107" i="43"/>
  <c r="O107" i="43"/>
  <c r="O107" i="55"/>
  <c r="U107" i="55"/>
  <c r="U107" i="48"/>
  <c r="O107" i="48"/>
  <c r="U107" i="22"/>
  <c r="O107" i="22"/>
  <c r="U107" i="57"/>
  <c r="O107" i="57"/>
  <c r="O107" i="39"/>
  <c r="U107" i="39"/>
  <c r="O107" i="56"/>
  <c r="U107" i="56"/>
  <c r="O107" i="17"/>
  <c r="U107" i="17"/>
  <c r="U107" i="50"/>
  <c r="O107" i="50"/>
  <c r="U107" i="71"/>
  <c r="O107" i="71"/>
  <c r="U107" i="32"/>
  <c r="O107" i="32"/>
  <c r="U107" i="66"/>
  <c r="O107" i="66"/>
  <c r="U107" i="25"/>
  <c r="O107" i="25"/>
  <c r="U107" i="23"/>
  <c r="O107" i="23"/>
  <c r="O107" i="42"/>
  <c r="U107" i="42"/>
  <c r="O107" i="27"/>
  <c r="U107" i="27"/>
  <c r="O107" i="76"/>
  <c r="U107" i="76"/>
  <c r="O107" i="37"/>
  <c r="U107" i="37"/>
  <c r="U107" i="67"/>
  <c r="O107" i="67"/>
  <c r="U107" i="47"/>
  <c r="O107" i="47"/>
  <c r="O107" i="58"/>
  <c r="U107" i="58"/>
  <c r="O107" i="68"/>
  <c r="U107" i="68"/>
  <c r="O107" i="33"/>
  <c r="U107" i="33"/>
  <c r="O107" i="16"/>
  <c r="U107" i="16"/>
  <c r="U107" i="45"/>
  <c r="O107" i="45"/>
  <c r="K22" i="72"/>
  <c r="I137" i="33"/>
  <c r="I141" i="33" s="1"/>
  <c r="I145" i="33" s="1"/>
  <c r="O107" i="20"/>
  <c r="U107" i="20"/>
  <c r="O107" i="36"/>
  <c r="U107" i="36"/>
  <c r="I147" i="33"/>
  <c r="O107" i="18"/>
  <c r="O107" i="78"/>
  <c r="U107" i="78"/>
  <c r="Q43" i="72"/>
  <c r="O107" i="30"/>
  <c r="U107" i="30"/>
  <c r="O107" i="51"/>
  <c r="U107" i="51"/>
  <c r="O107" i="75"/>
  <c r="U107" i="75"/>
  <c r="O107" i="40"/>
  <c r="U107" i="40"/>
  <c r="O107" i="70"/>
  <c r="U107" i="70"/>
  <c r="U107" i="44"/>
  <c r="O107" i="44"/>
  <c r="I38" i="72" l="1"/>
  <c r="J38" i="72" s="1"/>
  <c r="I130" i="50"/>
  <c r="H135" i="50" s="1"/>
  <c r="I135" i="50" s="1"/>
  <c r="I147" i="50" s="1"/>
  <c r="I53" i="72"/>
  <c r="Q53" i="72" s="1"/>
  <c r="I130" i="78"/>
  <c r="H135" i="78" s="1"/>
  <c r="I11" i="72"/>
  <c r="Q11" i="72" s="1"/>
  <c r="I8" i="72"/>
  <c r="I130" i="71"/>
  <c r="J22" i="72"/>
  <c r="G22" i="72" s="1"/>
  <c r="M32" i="72"/>
  <c r="J32" i="72"/>
  <c r="G32" i="72" s="1"/>
  <c r="L32" i="72"/>
  <c r="S32" i="72" s="1"/>
  <c r="U32" i="72" s="1"/>
  <c r="W32" i="72" s="1"/>
  <c r="H135" i="66"/>
  <c r="I135" i="66" s="1"/>
  <c r="I36" i="72"/>
  <c r="J21" i="72"/>
  <c r="I42" i="72"/>
  <c r="I35" i="72"/>
  <c r="I130" i="28"/>
  <c r="H135" i="28" s="1"/>
  <c r="I41" i="72"/>
  <c r="I31" i="72"/>
  <c r="T96" i="28"/>
  <c r="U96" i="28" s="1"/>
  <c r="U128" i="28" s="1"/>
  <c r="I147" i="45"/>
  <c r="I135" i="75"/>
  <c r="I147" i="75" s="1"/>
  <c r="I135" i="39"/>
  <c r="I147" i="39" s="1"/>
  <c r="I135" i="42"/>
  <c r="I147" i="42" s="1"/>
  <c r="I135" i="44"/>
  <c r="I135" i="77"/>
  <c r="I137" i="77" s="1"/>
  <c r="I135" i="76"/>
  <c r="I147" i="76" s="1"/>
  <c r="I135" i="58"/>
  <c r="K45" i="72" s="1"/>
  <c r="R45" i="72" s="1"/>
  <c r="I135" i="35"/>
  <c r="I147" i="35" s="1"/>
  <c r="I135" i="48"/>
  <c r="I137" i="48" s="1"/>
  <c r="I141" i="48" s="1"/>
  <c r="I145" i="48" s="1"/>
  <c r="H135" i="51"/>
  <c r="I135" i="27"/>
  <c r="I147" i="27" s="1"/>
  <c r="I135" i="37"/>
  <c r="I147" i="37" s="1"/>
  <c r="I29" i="72"/>
  <c r="I24" i="72"/>
  <c r="Q32" i="72"/>
  <c r="I45" i="72"/>
  <c r="I55" i="60"/>
  <c r="I15" i="72"/>
  <c r="I52" i="72"/>
  <c r="I27" i="72"/>
  <c r="I16" i="72"/>
  <c r="I130" i="34"/>
  <c r="H135" i="34" s="1"/>
  <c r="I135" i="34" s="1"/>
  <c r="I130" i="18"/>
  <c r="I18" i="72"/>
  <c r="I40" i="72"/>
  <c r="I28" i="72"/>
  <c r="I130" i="38"/>
  <c r="H135" i="38" s="1"/>
  <c r="Q22" i="72"/>
  <c r="I50" i="72"/>
  <c r="I34" i="72"/>
  <c r="U53" i="76"/>
  <c r="J19" i="72"/>
  <c r="U53" i="17"/>
  <c r="U53" i="66"/>
  <c r="Q48" i="72"/>
  <c r="J48" i="72"/>
  <c r="U53" i="43"/>
  <c r="Q23" i="72"/>
  <c r="J23" i="72"/>
  <c r="I37" i="72"/>
  <c r="I44" i="72"/>
  <c r="I26" i="72"/>
  <c r="I130" i="69"/>
  <c r="H135" i="69" s="1"/>
  <c r="Q38" i="72"/>
  <c r="Q19" i="72"/>
  <c r="U53" i="58"/>
  <c r="I130" i="7"/>
  <c r="I39" i="72"/>
  <c r="I130" i="52"/>
  <c r="H135" i="52" s="1"/>
  <c r="I135" i="52" s="1"/>
  <c r="U53" i="51"/>
  <c r="U53" i="27"/>
  <c r="U53" i="22"/>
  <c r="U53" i="37"/>
  <c r="U53" i="30"/>
  <c r="U53" i="38"/>
  <c r="U53" i="42"/>
  <c r="U53" i="40"/>
  <c r="U53" i="33"/>
  <c r="U53" i="75"/>
  <c r="U53" i="7"/>
  <c r="U53" i="23"/>
  <c r="U53" i="67"/>
  <c r="U53" i="20"/>
  <c r="U53" i="45"/>
  <c r="U53" i="56"/>
  <c r="U53" i="36"/>
  <c r="U53" i="31"/>
  <c r="U53" i="44"/>
  <c r="U53" i="69"/>
  <c r="U53" i="28"/>
  <c r="I130" i="20"/>
  <c r="I12" i="72"/>
  <c r="U53" i="55"/>
  <c r="I130" i="70"/>
  <c r="H135" i="70" s="1"/>
  <c r="I49" i="72"/>
  <c r="U53" i="39"/>
  <c r="I130" i="67"/>
  <c r="H135" i="67" s="1"/>
  <c r="I47" i="72"/>
  <c r="U53" i="70"/>
  <c r="U53" i="71"/>
  <c r="U53" i="18"/>
  <c r="U53" i="24"/>
  <c r="U53" i="50"/>
  <c r="U53" i="68"/>
  <c r="U53" i="48"/>
  <c r="I130" i="17"/>
  <c r="I10" i="72"/>
  <c r="U53" i="57"/>
  <c r="U53" i="16"/>
  <c r="U53" i="77"/>
  <c r="U53" i="47"/>
  <c r="U53" i="35"/>
  <c r="H135" i="68"/>
  <c r="I51" i="72"/>
  <c r="J51" i="72" s="1"/>
  <c r="I130" i="23"/>
  <c r="I25" i="72"/>
  <c r="I130" i="30"/>
  <c r="H135" i="30" s="1"/>
  <c r="I54" i="72"/>
  <c r="U53" i="26"/>
  <c r="U53" i="21"/>
  <c r="U53" i="25"/>
  <c r="I130" i="40"/>
  <c r="H135" i="40" s="1"/>
  <c r="I135" i="40" s="1"/>
  <c r="I30" i="72"/>
  <c r="U53" i="32"/>
  <c r="I130" i="21"/>
  <c r="H135" i="21" s="1"/>
  <c r="I13" i="72"/>
  <c r="I130" i="26"/>
  <c r="I17" i="72"/>
  <c r="U53" i="78"/>
  <c r="I130" i="25"/>
  <c r="H135" i="25" s="1"/>
  <c r="I135" i="25" s="1"/>
  <c r="I14" i="72"/>
  <c r="T73" i="30"/>
  <c r="T94" i="30" s="1"/>
  <c r="U94" i="30" s="1"/>
  <c r="T73" i="66"/>
  <c r="T94" i="66" s="1"/>
  <c r="U94" i="66" s="1"/>
  <c r="T73" i="58"/>
  <c r="T94" i="58" s="1"/>
  <c r="U94" i="58" s="1"/>
  <c r="T73" i="22"/>
  <c r="T94" i="22" s="1"/>
  <c r="U94" i="22" s="1"/>
  <c r="T73" i="55"/>
  <c r="T73" i="18"/>
  <c r="T73" i="69"/>
  <c r="T73" i="77"/>
  <c r="T73" i="24"/>
  <c r="T73" i="20"/>
  <c r="T73" i="21"/>
  <c r="T73" i="50"/>
  <c r="T73" i="75"/>
  <c r="T73" i="31"/>
  <c r="T73" i="16"/>
  <c r="T94" i="16" s="1"/>
  <c r="U94" i="16" s="1"/>
  <c r="T73" i="23"/>
  <c r="T94" i="23" s="1"/>
  <c r="U94" i="23" s="1"/>
  <c r="T73" i="27"/>
  <c r="T94" i="27" s="1"/>
  <c r="U94" i="27" s="1"/>
  <c r="T73" i="71"/>
  <c r="T94" i="71" s="1"/>
  <c r="U94" i="71" s="1"/>
  <c r="T73" i="39"/>
  <c r="T94" i="39" s="1"/>
  <c r="U94" i="39" s="1"/>
  <c r="T73" i="51"/>
  <c r="T94" i="51" s="1"/>
  <c r="U94" i="51" s="1"/>
  <c r="T73" i="68"/>
  <c r="T94" i="68" s="1"/>
  <c r="U94" i="68" s="1"/>
  <c r="T73" i="17"/>
  <c r="T94" i="17" s="1"/>
  <c r="U94" i="17" s="1"/>
  <c r="T73" i="44"/>
  <c r="T94" i="44" s="1"/>
  <c r="U94" i="44" s="1"/>
  <c r="T73" i="48"/>
  <c r="T94" i="48" s="1"/>
  <c r="U94" i="48" s="1"/>
  <c r="T73" i="37"/>
  <c r="T94" i="37" s="1"/>
  <c r="U94" i="37" s="1"/>
  <c r="T73" i="26"/>
  <c r="T94" i="26" s="1"/>
  <c r="U94" i="26" s="1"/>
  <c r="T73" i="36"/>
  <c r="T94" i="36" s="1"/>
  <c r="U94" i="36" s="1"/>
  <c r="T96" i="52"/>
  <c r="U96" i="52" s="1"/>
  <c r="T73" i="47"/>
  <c r="T94" i="47" s="1"/>
  <c r="U94" i="47" s="1"/>
  <c r="T73" i="40"/>
  <c r="T94" i="40" s="1"/>
  <c r="U94" i="40" s="1"/>
  <c r="T73" i="33"/>
  <c r="T94" i="33" s="1"/>
  <c r="U94" i="33" s="1"/>
  <c r="T73" i="76"/>
  <c r="T94" i="76" s="1"/>
  <c r="U94" i="76" s="1"/>
  <c r="T73" i="38"/>
  <c r="T94" i="38" s="1"/>
  <c r="U94" i="38" s="1"/>
  <c r="T96" i="34"/>
  <c r="U96" i="34" s="1"/>
  <c r="T73" i="67"/>
  <c r="T94" i="67" s="1"/>
  <c r="U94" i="67" s="1"/>
  <c r="T73" i="25"/>
  <c r="T94" i="25" s="1"/>
  <c r="U94" i="25" s="1"/>
  <c r="T73" i="32"/>
  <c r="T94" i="32" s="1"/>
  <c r="U94" i="32" s="1"/>
  <c r="T73" i="56"/>
  <c r="T94" i="56" s="1"/>
  <c r="U94" i="56" s="1"/>
  <c r="T73" i="70"/>
  <c r="T94" i="70" s="1"/>
  <c r="U94" i="70" s="1"/>
  <c r="T73" i="42"/>
  <c r="T94" i="42" s="1"/>
  <c r="U94" i="42" s="1"/>
  <c r="T73" i="45"/>
  <c r="T94" i="45" s="1"/>
  <c r="U94" i="45" s="1"/>
  <c r="T73" i="78"/>
  <c r="T94" i="78" s="1"/>
  <c r="U94" i="78" s="1"/>
  <c r="T73" i="43"/>
  <c r="T94" i="43" s="1"/>
  <c r="U94" i="43" s="1"/>
  <c r="T73" i="35"/>
  <c r="T94" i="35" s="1"/>
  <c r="U94" i="35" s="1"/>
  <c r="T73" i="57"/>
  <c r="T94" i="57" s="1"/>
  <c r="U94" i="57" s="1"/>
  <c r="T73" i="7"/>
  <c r="T94" i="7" s="1"/>
  <c r="U94" i="7" s="1"/>
  <c r="Q21" i="72"/>
  <c r="K44" i="72"/>
  <c r="I137" i="57"/>
  <c r="I141" i="57" s="1"/>
  <c r="I145" i="57" s="1"/>
  <c r="I147" i="57"/>
  <c r="E253" i="64"/>
  <c r="G253" i="64" s="1"/>
  <c r="F32" i="72"/>
  <c r="U19" i="72"/>
  <c r="E162" i="64"/>
  <c r="G162" i="64" s="1"/>
  <c r="M22" i="72"/>
  <c r="R22" i="72"/>
  <c r="F22" i="72"/>
  <c r="L22" i="72"/>
  <c r="S22" i="72" s="1"/>
  <c r="W22" i="72" s="1"/>
  <c r="K35" i="72"/>
  <c r="I137" i="47"/>
  <c r="I141" i="47" s="1"/>
  <c r="I145" i="47" s="1"/>
  <c r="I147" i="47"/>
  <c r="K42" i="72"/>
  <c r="I137" i="55"/>
  <c r="I141" i="55" s="1"/>
  <c r="I145" i="55" s="1"/>
  <c r="K43" i="72"/>
  <c r="G43" i="72" s="1"/>
  <c r="I137" i="56"/>
  <c r="I141" i="56" s="1"/>
  <c r="I145" i="56" s="1"/>
  <c r="I147" i="56"/>
  <c r="I147" i="55"/>
  <c r="K21" i="72"/>
  <c r="I137" i="32"/>
  <c r="I141" i="32" s="1"/>
  <c r="I145" i="32" s="1"/>
  <c r="I147" i="32"/>
  <c r="J53" i="72" l="1"/>
  <c r="J11" i="72"/>
  <c r="I135" i="21"/>
  <c r="I147" i="21" s="1"/>
  <c r="I141" i="77"/>
  <c r="I145" i="77" s="1"/>
  <c r="M52" i="72" s="1"/>
  <c r="Q8" i="72"/>
  <c r="J27" i="72"/>
  <c r="J10" i="72"/>
  <c r="J52" i="72"/>
  <c r="J31" i="72"/>
  <c r="J49" i="72"/>
  <c r="J17" i="72"/>
  <c r="J25" i="72"/>
  <c r="J12" i="72"/>
  <c r="J50" i="72"/>
  <c r="J15" i="72"/>
  <c r="J41" i="72"/>
  <c r="J39" i="72"/>
  <c r="J13" i="72"/>
  <c r="J35" i="72"/>
  <c r="G35" i="72" s="1"/>
  <c r="J28" i="72"/>
  <c r="J45" i="72"/>
  <c r="G45" i="72" s="1"/>
  <c r="J26" i="72"/>
  <c r="J40" i="72"/>
  <c r="J42" i="72"/>
  <c r="G42" i="72" s="1"/>
  <c r="J16" i="72"/>
  <c r="J14" i="72"/>
  <c r="J30" i="72"/>
  <c r="J18" i="72"/>
  <c r="J24" i="72"/>
  <c r="J47" i="72"/>
  <c r="J29" i="72"/>
  <c r="J36" i="72"/>
  <c r="J8" i="72"/>
  <c r="I135" i="67"/>
  <c r="I147" i="67" s="1"/>
  <c r="I147" i="66"/>
  <c r="M36" i="72"/>
  <c r="I135" i="28"/>
  <c r="I147" i="28" s="1"/>
  <c r="J54" i="72"/>
  <c r="Q42" i="72"/>
  <c r="Q41" i="72"/>
  <c r="I137" i="76"/>
  <c r="I141" i="76" s="1"/>
  <c r="I145" i="76" s="1"/>
  <c r="I137" i="75"/>
  <c r="I141" i="75" s="1"/>
  <c r="I145" i="75" s="1"/>
  <c r="K37" i="72"/>
  <c r="R37" i="72" s="1"/>
  <c r="Q36" i="72"/>
  <c r="G21" i="72"/>
  <c r="Q35" i="72"/>
  <c r="K18" i="72"/>
  <c r="F18" i="72" s="1"/>
  <c r="I137" i="27"/>
  <c r="I141" i="27" s="1"/>
  <c r="I145" i="27" s="1"/>
  <c r="K31" i="72"/>
  <c r="Q31" i="72"/>
  <c r="I137" i="42"/>
  <c r="I141" i="42" s="1"/>
  <c r="I145" i="42" s="1"/>
  <c r="I137" i="39"/>
  <c r="I141" i="39" s="1"/>
  <c r="I145" i="39" s="1"/>
  <c r="K29" i="72"/>
  <c r="I137" i="37"/>
  <c r="I141" i="37" s="1"/>
  <c r="I145" i="37" s="1"/>
  <c r="I137" i="50"/>
  <c r="I141" i="50" s="1"/>
  <c r="I145" i="50" s="1"/>
  <c r="K40" i="72"/>
  <c r="R40" i="72" s="1"/>
  <c r="Q29" i="72"/>
  <c r="Q45" i="72"/>
  <c r="K41" i="72"/>
  <c r="I147" i="77"/>
  <c r="K52" i="72"/>
  <c r="U130" i="28"/>
  <c r="I133" i="28" s="1"/>
  <c r="I147" i="44"/>
  <c r="K34" i="72"/>
  <c r="R34" i="72" s="1"/>
  <c r="I137" i="45"/>
  <c r="I141" i="45" s="1"/>
  <c r="I145" i="45" s="1"/>
  <c r="I137" i="35"/>
  <c r="I141" i="35" s="1"/>
  <c r="I145" i="35" s="1"/>
  <c r="I137" i="58"/>
  <c r="I141" i="58" s="1"/>
  <c r="I145" i="58" s="1"/>
  <c r="K24" i="72"/>
  <c r="K27" i="72"/>
  <c r="R27" i="72" s="1"/>
  <c r="I147" i="48"/>
  <c r="I135" i="69"/>
  <c r="K48" i="72" s="1"/>
  <c r="I135" i="30"/>
  <c r="I137" i="30" s="1"/>
  <c r="I141" i="30" s="1"/>
  <c r="I145" i="30" s="1"/>
  <c r="I135" i="38"/>
  <c r="K28" i="72" s="1"/>
  <c r="I135" i="70"/>
  <c r="I147" i="70" s="1"/>
  <c r="I147" i="58"/>
  <c r="I135" i="68"/>
  <c r="Q24" i="72"/>
  <c r="I137" i="66"/>
  <c r="I145" i="66" s="1"/>
  <c r="K36" i="72"/>
  <c r="I135" i="78"/>
  <c r="I147" i="78" s="1"/>
  <c r="I135" i="51"/>
  <c r="U128" i="34"/>
  <c r="U130" i="34" s="1"/>
  <c r="I133" i="34" s="1"/>
  <c r="U128" i="52"/>
  <c r="U130" i="52" s="1"/>
  <c r="I133" i="52" s="1"/>
  <c r="Q27" i="72"/>
  <c r="Q15" i="72"/>
  <c r="Q50" i="72"/>
  <c r="Q52" i="72"/>
  <c r="E288" i="64"/>
  <c r="G288" i="64" s="1"/>
  <c r="Q16" i="72"/>
  <c r="Q18" i="72"/>
  <c r="Q28" i="72"/>
  <c r="I147" i="34"/>
  <c r="Q40" i="72"/>
  <c r="J37" i="72"/>
  <c r="Q37" i="72"/>
  <c r="Q44" i="72"/>
  <c r="J44" i="72"/>
  <c r="G44" i="72" s="1"/>
  <c r="J34" i="72"/>
  <c r="Q34" i="72"/>
  <c r="Q26" i="72"/>
  <c r="I147" i="52"/>
  <c r="K39" i="72"/>
  <c r="Q39" i="72"/>
  <c r="L45" i="72"/>
  <c r="S45" i="72" s="1"/>
  <c r="U45" i="72" s="1"/>
  <c r="W45" i="72" s="1"/>
  <c r="F45" i="72"/>
  <c r="I137" i="52"/>
  <c r="I141" i="52" s="1"/>
  <c r="T96" i="30"/>
  <c r="T96" i="58"/>
  <c r="T96" i="66"/>
  <c r="U96" i="66" s="1"/>
  <c r="Q49" i="72"/>
  <c r="Q17" i="72"/>
  <c r="Q12" i="72"/>
  <c r="Q54" i="72"/>
  <c r="T96" i="22"/>
  <c r="U96" i="22" s="1"/>
  <c r="Q13" i="72"/>
  <c r="Q25" i="72"/>
  <c r="Q10" i="72"/>
  <c r="Q47" i="72"/>
  <c r="Q30" i="72"/>
  <c r="Q14" i="72"/>
  <c r="I147" i="40"/>
  <c r="K30" i="72"/>
  <c r="I137" i="40"/>
  <c r="I141" i="40" s="1"/>
  <c r="I145" i="40" s="1"/>
  <c r="I147" i="25"/>
  <c r="T94" i="69"/>
  <c r="U94" i="69" s="1"/>
  <c r="T96" i="69"/>
  <c r="U96" i="69" s="1"/>
  <c r="T94" i="18"/>
  <c r="U94" i="18" s="1"/>
  <c r="T96" i="18"/>
  <c r="U96" i="18" s="1"/>
  <c r="T94" i="55"/>
  <c r="U94" i="55" s="1"/>
  <c r="T96" i="55"/>
  <c r="U96" i="55" s="1"/>
  <c r="T94" i="31"/>
  <c r="T96" i="31"/>
  <c r="U96" i="31" s="1"/>
  <c r="T94" i="75"/>
  <c r="U94" i="75" s="1"/>
  <c r="T96" i="75"/>
  <c r="U96" i="75" s="1"/>
  <c r="T94" i="50"/>
  <c r="U94" i="50" s="1"/>
  <c r="T96" i="50"/>
  <c r="U96" i="50" s="1"/>
  <c r="T94" i="21"/>
  <c r="U94" i="21" s="1"/>
  <c r="T96" i="21"/>
  <c r="U96" i="21" s="1"/>
  <c r="T94" i="20"/>
  <c r="U94" i="20" s="1"/>
  <c r="T96" i="20"/>
  <c r="U96" i="20" s="1"/>
  <c r="T94" i="24"/>
  <c r="U94" i="24" s="1"/>
  <c r="T96" i="24"/>
  <c r="U96" i="24" s="1"/>
  <c r="T94" i="77"/>
  <c r="T96" i="77"/>
  <c r="U96" i="77" s="1"/>
  <c r="T96" i="45"/>
  <c r="U96" i="45" s="1"/>
  <c r="T96" i="76"/>
  <c r="U96" i="76" s="1"/>
  <c r="T96" i="44"/>
  <c r="T96" i="42"/>
  <c r="T96" i="33"/>
  <c r="T96" i="17"/>
  <c r="U96" i="17" s="1"/>
  <c r="T96" i="70"/>
  <c r="U96" i="70" s="1"/>
  <c r="T96" i="40"/>
  <c r="U96" i="40" s="1"/>
  <c r="T96" i="56"/>
  <c r="U96" i="56" s="1"/>
  <c r="T96" i="47"/>
  <c r="U96" i="47" s="1"/>
  <c r="T96" i="68"/>
  <c r="U96" i="68" s="1"/>
  <c r="T96" i="32"/>
  <c r="U96" i="32" s="1"/>
  <c r="T96" i="25"/>
  <c r="T96" i="51"/>
  <c r="T96" i="67"/>
  <c r="T96" i="39"/>
  <c r="U96" i="39" s="1"/>
  <c r="T96" i="71"/>
  <c r="T96" i="57"/>
  <c r="U96" i="57" s="1"/>
  <c r="T96" i="36"/>
  <c r="U96" i="36" s="1"/>
  <c r="T96" i="27"/>
  <c r="T96" i="35"/>
  <c r="U96" i="35" s="1"/>
  <c r="T96" i="26"/>
  <c r="U96" i="26" s="1"/>
  <c r="T96" i="23"/>
  <c r="U96" i="23" s="1"/>
  <c r="T96" i="43"/>
  <c r="U96" i="43" s="1"/>
  <c r="T96" i="37"/>
  <c r="U96" i="37" s="1"/>
  <c r="T96" i="16"/>
  <c r="T96" i="78"/>
  <c r="U96" i="78" s="1"/>
  <c r="T96" i="38"/>
  <c r="T96" i="48"/>
  <c r="T96" i="7"/>
  <c r="R44" i="72"/>
  <c r="F44" i="72"/>
  <c r="L44" i="72"/>
  <c r="S44" i="72" s="1"/>
  <c r="W44" i="72" s="1"/>
  <c r="M44" i="72"/>
  <c r="E362" i="64"/>
  <c r="G362" i="64" s="1"/>
  <c r="U13" i="72"/>
  <c r="R35" i="72"/>
  <c r="F35" i="72"/>
  <c r="L35" i="72"/>
  <c r="S35" i="72" s="1"/>
  <c r="W35" i="72" s="1"/>
  <c r="F21" i="72"/>
  <c r="R21" i="72"/>
  <c r="L21" i="72"/>
  <c r="S21" i="72" s="1"/>
  <c r="W21" i="72" s="1"/>
  <c r="E344" i="64"/>
  <c r="G344" i="64" s="1"/>
  <c r="M42" i="72"/>
  <c r="F42" i="72"/>
  <c r="R42" i="72"/>
  <c r="L42" i="72"/>
  <c r="S42" i="72" s="1"/>
  <c r="U42" i="72" s="1"/>
  <c r="W42" i="72" s="1"/>
  <c r="F43" i="72"/>
  <c r="R43" i="72"/>
  <c r="L43" i="72"/>
  <c r="S43" i="72" s="1"/>
  <c r="W43" i="72" s="1"/>
  <c r="E279" i="64"/>
  <c r="G279" i="64" s="1"/>
  <c r="M35" i="72"/>
  <c r="E152" i="64"/>
  <c r="G152" i="64" s="1"/>
  <c r="M21" i="72"/>
  <c r="M43" i="72"/>
  <c r="E355" i="64"/>
  <c r="G355" i="64" s="1"/>
  <c r="E433" i="64" l="1"/>
  <c r="G433" i="64" s="1"/>
  <c r="G36" i="72"/>
  <c r="G41" i="72"/>
  <c r="I147" i="68"/>
  <c r="I137" i="68"/>
  <c r="I141" i="68" s="1"/>
  <c r="G52" i="72"/>
  <c r="G29" i="72"/>
  <c r="G31" i="72"/>
  <c r="G24" i="72"/>
  <c r="K47" i="72"/>
  <c r="G47" i="72" s="1"/>
  <c r="I137" i="67"/>
  <c r="I141" i="67" s="1"/>
  <c r="I145" i="67" s="1"/>
  <c r="U128" i="18"/>
  <c r="E263" i="64"/>
  <c r="G263" i="64" s="1"/>
  <c r="E125" i="64"/>
  <c r="I137" i="28"/>
  <c r="I141" i="28" s="1"/>
  <c r="I145" i="28" s="1"/>
  <c r="E134" i="64" s="1"/>
  <c r="K19" i="72"/>
  <c r="E371" i="64"/>
  <c r="G371" i="64" s="1"/>
  <c r="E179" i="64"/>
  <c r="G179" i="64" s="1"/>
  <c r="E271" i="64"/>
  <c r="G271" i="64" s="1"/>
  <c r="E298" i="64"/>
  <c r="G298" i="64" s="1"/>
  <c r="E243" i="64"/>
  <c r="G243" i="64" s="1"/>
  <c r="E205" i="64"/>
  <c r="G205" i="64" s="1"/>
  <c r="E324" i="64"/>
  <c r="G324" i="64" s="1"/>
  <c r="E334" i="64"/>
  <c r="G334" i="64" s="1"/>
  <c r="E224" i="64"/>
  <c r="G224" i="64" s="1"/>
  <c r="I145" i="52"/>
  <c r="F40" i="72"/>
  <c r="G37" i="72"/>
  <c r="L37" i="72"/>
  <c r="S37" i="72" s="1"/>
  <c r="U37" i="72" s="1"/>
  <c r="W37" i="72" s="1"/>
  <c r="F37" i="72"/>
  <c r="M41" i="72"/>
  <c r="L18" i="72"/>
  <c r="S18" i="72" s="1"/>
  <c r="U18" i="72" s="1"/>
  <c r="W18" i="72" s="1"/>
  <c r="G18" i="72"/>
  <c r="M40" i="72"/>
  <c r="L31" i="72"/>
  <c r="S31" i="72" s="1"/>
  <c r="W31" i="72" s="1"/>
  <c r="R31" i="72"/>
  <c r="F31" i="72"/>
  <c r="F29" i="72"/>
  <c r="L29" i="72"/>
  <c r="S29" i="72" s="1"/>
  <c r="U29" i="72" s="1"/>
  <c r="W29" i="72" s="1"/>
  <c r="R29" i="72"/>
  <c r="R18" i="72"/>
  <c r="M31" i="72"/>
  <c r="G40" i="72"/>
  <c r="M18" i="72"/>
  <c r="M29" i="72"/>
  <c r="L40" i="72"/>
  <c r="S40" i="72" s="1"/>
  <c r="W40" i="72" s="1"/>
  <c r="L41" i="72"/>
  <c r="S41" i="72" s="1"/>
  <c r="W41" i="72" s="1"/>
  <c r="F24" i="72"/>
  <c r="L24" i="72"/>
  <c r="S24" i="72" s="1"/>
  <c r="W24" i="72" s="1"/>
  <c r="M27" i="72"/>
  <c r="M37" i="72"/>
  <c r="R24" i="72"/>
  <c r="F27" i="72"/>
  <c r="R52" i="72"/>
  <c r="R41" i="72"/>
  <c r="F41" i="72"/>
  <c r="G34" i="72"/>
  <c r="F34" i="72"/>
  <c r="L34" i="72"/>
  <c r="S34" i="72" s="1"/>
  <c r="W34" i="72" s="1"/>
  <c r="L52" i="72"/>
  <c r="S52" i="72" s="1"/>
  <c r="W52" i="72" s="1"/>
  <c r="L27" i="72"/>
  <c r="S27" i="72" s="1"/>
  <c r="U27" i="72" s="1"/>
  <c r="W27" i="72" s="1"/>
  <c r="F52" i="72"/>
  <c r="F36" i="72"/>
  <c r="K54" i="72"/>
  <c r="M45" i="72"/>
  <c r="M24" i="72"/>
  <c r="M34" i="72"/>
  <c r="U96" i="30"/>
  <c r="U128" i="30" s="1"/>
  <c r="U130" i="30" s="1"/>
  <c r="I133" i="30" s="1"/>
  <c r="U94" i="77"/>
  <c r="U128" i="77" s="1"/>
  <c r="U130" i="77" s="1"/>
  <c r="I133" i="77" s="1"/>
  <c r="U94" i="31"/>
  <c r="U128" i="31" s="1"/>
  <c r="U130" i="31" s="1"/>
  <c r="I133" i="31" s="1"/>
  <c r="H135" i="31" s="1"/>
  <c r="U96" i="27"/>
  <c r="U128" i="27" s="1"/>
  <c r="U130" i="27" s="1"/>
  <c r="I133" i="27" s="1"/>
  <c r="R36" i="72"/>
  <c r="U96" i="7"/>
  <c r="U128" i="7" s="1"/>
  <c r="U130" i="7" s="1"/>
  <c r="I133" i="7" s="1"/>
  <c r="U96" i="48"/>
  <c r="U128" i="48" s="1"/>
  <c r="U130" i="48" s="1"/>
  <c r="I133" i="48" s="1"/>
  <c r="U96" i="71"/>
  <c r="U128" i="71" s="1"/>
  <c r="U130" i="71" s="1"/>
  <c r="I133" i="71" s="1"/>
  <c r="H135" i="71" s="1"/>
  <c r="I147" i="38"/>
  <c r="U96" i="38"/>
  <c r="U128" i="38" s="1"/>
  <c r="U130" i="38" s="1"/>
  <c r="I133" i="38" s="1"/>
  <c r="U96" i="33"/>
  <c r="U128" i="33" s="1"/>
  <c r="U130" i="33" s="1"/>
  <c r="I133" i="33" s="1"/>
  <c r="U96" i="67"/>
  <c r="U128" i="67" s="1"/>
  <c r="U130" i="67" s="1"/>
  <c r="I133" i="67" s="1"/>
  <c r="U96" i="42"/>
  <c r="U128" i="42" s="1"/>
  <c r="U130" i="42" s="1"/>
  <c r="I133" i="42" s="1"/>
  <c r="U96" i="16"/>
  <c r="U128" i="16" s="1"/>
  <c r="U130" i="16" s="1"/>
  <c r="I133" i="16" s="1"/>
  <c r="U96" i="51"/>
  <c r="U128" i="51" s="1"/>
  <c r="U130" i="51" s="1"/>
  <c r="I133" i="51" s="1"/>
  <c r="U96" i="44"/>
  <c r="U128" i="44" s="1"/>
  <c r="U130" i="44" s="1"/>
  <c r="I133" i="44" s="1"/>
  <c r="U96" i="58"/>
  <c r="U128" i="58" s="1"/>
  <c r="U130" i="58" s="1"/>
  <c r="I133" i="58" s="1"/>
  <c r="I147" i="69"/>
  <c r="U96" i="25"/>
  <c r="U128" i="25" s="1"/>
  <c r="U130" i="25" s="1"/>
  <c r="I133" i="25" s="1"/>
  <c r="I137" i="69"/>
  <c r="I141" i="69" s="1"/>
  <c r="I145" i="69" s="1"/>
  <c r="I137" i="38"/>
  <c r="I141" i="38" s="1"/>
  <c r="I145" i="38" s="1"/>
  <c r="I147" i="30"/>
  <c r="I137" i="70"/>
  <c r="I141" i="70" s="1"/>
  <c r="I145" i="70" s="1"/>
  <c r="E406" i="64" s="1"/>
  <c r="K51" i="72"/>
  <c r="L51" i="72" s="1"/>
  <c r="L36" i="72"/>
  <c r="S36" i="72" s="1"/>
  <c r="W36" i="72" s="1"/>
  <c r="R48" i="72"/>
  <c r="L48" i="72"/>
  <c r="S48" i="72" s="1"/>
  <c r="W48" i="72" s="1"/>
  <c r="G27" i="72"/>
  <c r="R28" i="72"/>
  <c r="L28" i="72"/>
  <c r="S28" i="72" s="1"/>
  <c r="W28" i="72" s="1"/>
  <c r="G28" i="72"/>
  <c r="F28" i="72"/>
  <c r="E452" i="64"/>
  <c r="G452" i="64" s="1"/>
  <c r="M54" i="72"/>
  <c r="K38" i="72"/>
  <c r="I137" i="51"/>
  <c r="I141" i="51" s="1"/>
  <c r="I145" i="51" s="1"/>
  <c r="I147" i="51"/>
  <c r="K49" i="72"/>
  <c r="K53" i="72"/>
  <c r="F48" i="72"/>
  <c r="I137" i="78"/>
  <c r="I141" i="78" s="1"/>
  <c r="I145" i="78" s="1"/>
  <c r="E380" i="64"/>
  <c r="G380" i="64" s="1"/>
  <c r="G48" i="72"/>
  <c r="U128" i="24"/>
  <c r="U130" i="24" s="1"/>
  <c r="I133" i="24" s="1"/>
  <c r="H135" i="24" s="1"/>
  <c r="U128" i="55"/>
  <c r="U130" i="55" s="1"/>
  <c r="I133" i="55" s="1"/>
  <c r="U128" i="21"/>
  <c r="U130" i="21" s="1"/>
  <c r="I133" i="21" s="1"/>
  <c r="U128" i="75"/>
  <c r="U130" i="75" s="1"/>
  <c r="I133" i="75" s="1"/>
  <c r="U128" i="43"/>
  <c r="U130" i="43" s="1"/>
  <c r="I133" i="43" s="1"/>
  <c r="U128" i="68"/>
  <c r="U130" i="68" s="1"/>
  <c r="I133" i="68" s="1"/>
  <c r="U128" i="76"/>
  <c r="U130" i="76" s="1"/>
  <c r="I133" i="76" s="1"/>
  <c r="U128" i="22"/>
  <c r="U128" i="47"/>
  <c r="U130" i="47" s="1"/>
  <c r="I133" i="47" s="1"/>
  <c r="U128" i="35"/>
  <c r="U130" i="35" s="1"/>
  <c r="I133" i="35" s="1"/>
  <c r="U128" i="20"/>
  <c r="U128" i="23"/>
  <c r="U128" i="45"/>
  <c r="U130" i="45" s="1"/>
  <c r="I133" i="45" s="1"/>
  <c r="U128" i="56"/>
  <c r="U130" i="56" s="1"/>
  <c r="I133" i="56" s="1"/>
  <c r="U128" i="36"/>
  <c r="U128" i="66"/>
  <c r="U130" i="66" s="1"/>
  <c r="I133" i="66" s="1"/>
  <c r="U128" i="69"/>
  <c r="U130" i="69" s="1"/>
  <c r="I133" i="69" s="1"/>
  <c r="U128" i="70"/>
  <c r="U130" i="70" s="1"/>
  <c r="I133" i="70" s="1"/>
  <c r="U128" i="39"/>
  <c r="U130" i="39" s="1"/>
  <c r="I133" i="39" s="1"/>
  <c r="U128" i="57"/>
  <c r="U130" i="57" s="1"/>
  <c r="I133" i="57" s="1"/>
  <c r="U128" i="37"/>
  <c r="U130" i="37" s="1"/>
  <c r="I133" i="37" s="1"/>
  <c r="U128" i="40"/>
  <c r="U130" i="40" s="1"/>
  <c r="I133" i="40" s="1"/>
  <c r="U128" i="17"/>
  <c r="U128" i="32"/>
  <c r="U130" i="32" s="1"/>
  <c r="I133" i="32" s="1"/>
  <c r="U128" i="50"/>
  <c r="U130" i="50" s="1"/>
  <c r="I133" i="50" s="1"/>
  <c r="U128" i="78"/>
  <c r="U130" i="78" s="1"/>
  <c r="I133" i="78" s="1"/>
  <c r="U128" i="26"/>
  <c r="U130" i="26" s="1"/>
  <c r="I133" i="26" s="1"/>
  <c r="H135" i="26" s="1"/>
  <c r="I137" i="34"/>
  <c r="I141" i="34" s="1"/>
  <c r="I145" i="34" s="1"/>
  <c r="K23" i="72"/>
  <c r="G39" i="72"/>
  <c r="R39" i="72"/>
  <c r="F39" i="72"/>
  <c r="L39" i="72"/>
  <c r="S39" i="72" s="1"/>
  <c r="W39" i="72" s="1"/>
  <c r="E234" i="64"/>
  <c r="G234" i="64" s="1"/>
  <c r="M30" i="72"/>
  <c r="G30" i="72"/>
  <c r="R30" i="72"/>
  <c r="L30" i="72"/>
  <c r="S30" i="72" s="1"/>
  <c r="W30" i="72" s="1"/>
  <c r="F30" i="72"/>
  <c r="K13" i="72"/>
  <c r="I137" i="21"/>
  <c r="I141" i="21" s="1"/>
  <c r="I145" i="21" s="1"/>
  <c r="K14" i="72"/>
  <c r="I137" i="25"/>
  <c r="I141" i="25" s="1"/>
  <c r="I145" i="25" s="1"/>
  <c r="E90" i="64" s="1"/>
  <c r="I145" i="68" l="1"/>
  <c r="G125" i="64"/>
  <c r="G51" i="72"/>
  <c r="F47" i="72"/>
  <c r="L47" i="72"/>
  <c r="S47" i="72" s="1"/>
  <c r="W47" i="72" s="1"/>
  <c r="R47" i="72"/>
  <c r="M39" i="72"/>
  <c r="E315" i="64"/>
  <c r="G315" i="64" s="1"/>
  <c r="M19" i="72"/>
  <c r="E387" i="64"/>
  <c r="G387" i="64" s="1"/>
  <c r="M47" i="72"/>
  <c r="E213" i="64"/>
  <c r="G213" i="64" s="1"/>
  <c r="E396" i="64"/>
  <c r="G396" i="64" s="1"/>
  <c r="R19" i="72"/>
  <c r="F19" i="72"/>
  <c r="G19" i="72"/>
  <c r="L19" i="72"/>
  <c r="S19" i="72" s="1"/>
  <c r="W19" i="72" s="1"/>
  <c r="E443" i="64"/>
  <c r="G443" i="64" s="1"/>
  <c r="G134" i="64"/>
  <c r="M49" i="72"/>
  <c r="F54" i="72"/>
  <c r="L54" i="72"/>
  <c r="S54" i="72" s="1"/>
  <c r="W54" i="72" s="1"/>
  <c r="R54" i="72"/>
  <c r="G54" i="72"/>
  <c r="M48" i="72"/>
  <c r="W51" i="72"/>
  <c r="M28" i="72"/>
  <c r="G406" i="64"/>
  <c r="F51" i="72"/>
  <c r="M53" i="72"/>
  <c r="I135" i="24"/>
  <c r="K15" i="72" s="1"/>
  <c r="L49" i="72"/>
  <c r="S49" i="72" s="1"/>
  <c r="W49" i="72" s="1"/>
  <c r="R49" i="72"/>
  <c r="F49" i="72"/>
  <c r="G49" i="72"/>
  <c r="E306" i="64"/>
  <c r="G306" i="64" s="1"/>
  <c r="M38" i="72"/>
  <c r="G38" i="72"/>
  <c r="R38" i="72"/>
  <c r="F38" i="72"/>
  <c r="L38" i="72"/>
  <c r="S38" i="72" s="1"/>
  <c r="U38" i="72" s="1"/>
  <c r="W38" i="72" s="1"/>
  <c r="I135" i="31"/>
  <c r="I141" i="31" s="1"/>
  <c r="I135" i="26"/>
  <c r="I137" i="26" s="1"/>
  <c r="I141" i="26" s="1"/>
  <c r="I145" i="26" s="1"/>
  <c r="I135" i="71"/>
  <c r="R53" i="72"/>
  <c r="F53" i="72"/>
  <c r="G53" i="72"/>
  <c r="L53" i="72"/>
  <c r="S53" i="72" s="1"/>
  <c r="W53" i="72" s="1"/>
  <c r="U130" i="20"/>
  <c r="I133" i="20" s="1"/>
  <c r="H135" i="20" s="1"/>
  <c r="I135" i="20" s="1"/>
  <c r="H135" i="36"/>
  <c r="U130" i="36"/>
  <c r="I133" i="36" s="1"/>
  <c r="U130" i="17"/>
  <c r="U130" i="22"/>
  <c r="I133" i="22" s="1"/>
  <c r="H135" i="22" s="1"/>
  <c r="I135" i="22" s="1"/>
  <c r="U130" i="23"/>
  <c r="I133" i="23" s="1"/>
  <c r="H135" i="23" s="1"/>
  <c r="I135" i="23" s="1"/>
  <c r="U130" i="18"/>
  <c r="I133" i="18" s="1"/>
  <c r="R23" i="72"/>
  <c r="F23" i="72"/>
  <c r="L23" i="72"/>
  <c r="S23" i="72" s="1"/>
  <c r="G23" i="72"/>
  <c r="E171" i="64"/>
  <c r="G171" i="64" s="1"/>
  <c r="M23" i="72"/>
  <c r="G90" i="64"/>
  <c r="M14" i="72"/>
  <c r="F14" i="72"/>
  <c r="R14" i="72"/>
  <c r="L14" i="72"/>
  <c r="S14" i="72" s="1"/>
  <c r="U14" i="72" s="1"/>
  <c r="W14" i="72" s="1"/>
  <c r="G14" i="72"/>
  <c r="M13" i="72"/>
  <c r="E80" i="64"/>
  <c r="G80" i="64" s="1"/>
  <c r="F13" i="72"/>
  <c r="G13" i="72"/>
  <c r="R13" i="72"/>
  <c r="L13" i="72"/>
  <c r="S13" i="72" s="1"/>
  <c r="W13" i="72" s="1"/>
  <c r="I133" i="17" l="1"/>
  <c r="H135" i="17" s="1"/>
  <c r="I135" i="17" s="1"/>
  <c r="E425" i="64"/>
  <c r="M51" i="72"/>
  <c r="U23" i="72"/>
  <c r="W23" i="72" s="1"/>
  <c r="I147" i="71"/>
  <c r="I137" i="71"/>
  <c r="I141" i="71" s="1"/>
  <c r="I145" i="71" s="1"/>
  <c r="G143" i="64"/>
  <c r="I147" i="31"/>
  <c r="I137" i="24"/>
  <c r="I141" i="24" s="1"/>
  <c r="I145" i="24" s="1"/>
  <c r="I147" i="24"/>
  <c r="I147" i="26"/>
  <c r="K17" i="72"/>
  <c r="M17" i="72"/>
  <c r="E118" i="64"/>
  <c r="G118" i="64" s="1"/>
  <c r="G15" i="72"/>
  <c r="F15" i="72"/>
  <c r="L15" i="72"/>
  <c r="S15" i="72" s="1"/>
  <c r="V15" i="72" s="1"/>
  <c r="W15" i="72" s="1"/>
  <c r="R15" i="72"/>
  <c r="K50" i="72"/>
  <c r="I135" i="36"/>
  <c r="I147" i="23"/>
  <c r="K16" i="72"/>
  <c r="I137" i="22"/>
  <c r="I141" i="22" s="1"/>
  <c r="I145" i="22" s="1"/>
  <c r="I147" i="20"/>
  <c r="H135" i="18"/>
  <c r="I135" i="18" s="1"/>
  <c r="I137" i="18" s="1"/>
  <c r="I141" i="18" s="1"/>
  <c r="I145" i="18" s="1"/>
  <c r="I147" i="22"/>
  <c r="G425" i="64" l="1"/>
  <c r="L17" i="72"/>
  <c r="S17" i="72" s="1"/>
  <c r="V17" i="72" s="1"/>
  <c r="W17" i="72" s="1"/>
  <c r="F17" i="72"/>
  <c r="G16" i="72"/>
  <c r="L16" i="72"/>
  <c r="S16" i="72" s="1"/>
  <c r="V16" i="72" s="1"/>
  <c r="W16" i="72" s="1"/>
  <c r="K10" i="72"/>
  <c r="G10" i="72" s="1"/>
  <c r="I137" i="17"/>
  <c r="I141" i="17" s="1"/>
  <c r="I145" i="17" s="1"/>
  <c r="E110" i="64"/>
  <c r="G110" i="64" s="1"/>
  <c r="E416" i="64"/>
  <c r="G416" i="64" s="1"/>
  <c r="E101" i="64"/>
  <c r="M15" i="72"/>
  <c r="G17" i="72"/>
  <c r="R17" i="72"/>
  <c r="M50" i="72"/>
  <c r="M16" i="72"/>
  <c r="R50" i="72"/>
  <c r="G50" i="72"/>
  <c r="L50" i="72"/>
  <c r="F50" i="72"/>
  <c r="K26" i="72"/>
  <c r="I137" i="36"/>
  <c r="I141" i="36" s="1"/>
  <c r="I145" i="36" s="1"/>
  <c r="I147" i="36"/>
  <c r="I147" i="17"/>
  <c r="I147" i="18"/>
  <c r="K12" i="72"/>
  <c r="I137" i="20"/>
  <c r="I141" i="20" s="1"/>
  <c r="I145" i="20" s="1"/>
  <c r="R16" i="72"/>
  <c r="F16" i="72"/>
  <c r="K25" i="72"/>
  <c r="I137" i="23"/>
  <c r="I141" i="23" s="1"/>
  <c r="I145" i="23" s="1"/>
  <c r="M25" i="72" s="1"/>
  <c r="V26" i="72"/>
  <c r="H135" i="7"/>
  <c r="I135" i="7" s="1"/>
  <c r="S50" i="72" l="1"/>
  <c r="V50" i="72" s="1"/>
  <c r="W50" i="72" s="1"/>
  <c r="G101" i="64"/>
  <c r="E72" i="64"/>
  <c r="G72" i="64" s="1"/>
  <c r="R10" i="72"/>
  <c r="F10" i="72"/>
  <c r="L10" i="72"/>
  <c r="S10" i="72" s="1"/>
  <c r="V10" i="72" s="1"/>
  <c r="W10" i="72" s="1"/>
  <c r="M10" i="72"/>
  <c r="E194" i="64"/>
  <c r="G194" i="64" s="1"/>
  <c r="M26" i="72"/>
  <c r="F26" i="72"/>
  <c r="L26" i="72"/>
  <c r="S26" i="72" s="1"/>
  <c r="W26" i="72" s="1"/>
  <c r="G26" i="72"/>
  <c r="R26" i="72"/>
  <c r="G25" i="72"/>
  <c r="F25" i="72"/>
  <c r="R25" i="72"/>
  <c r="L25" i="72"/>
  <c r="S25" i="72" s="1"/>
  <c r="V25" i="72" s="1"/>
  <c r="W25" i="72" s="1"/>
  <c r="G12" i="72"/>
  <c r="R12" i="72"/>
  <c r="F12" i="72"/>
  <c r="L12" i="72"/>
  <c r="E186" i="64"/>
  <c r="G186" i="64" s="1"/>
  <c r="M12" i="72"/>
  <c r="K11" i="72"/>
  <c r="E60" i="64"/>
  <c r="G60" i="64" l="1"/>
  <c r="S12" i="72"/>
  <c r="V12" i="72" s="1"/>
  <c r="W12" i="72" s="1"/>
  <c r="I147" i="7"/>
  <c r="K8" i="72"/>
  <c r="I137" i="7"/>
  <c r="E53" i="64"/>
  <c r="G53" i="64" s="1"/>
  <c r="M11" i="72"/>
  <c r="G11" i="72"/>
  <c r="R11" i="72"/>
  <c r="L11" i="72"/>
  <c r="S11" i="72" s="1"/>
  <c r="V11" i="72" s="1"/>
  <c r="W11" i="72" s="1"/>
  <c r="F11" i="72"/>
  <c r="I141" i="7" l="1"/>
  <c r="I145" i="7" s="1"/>
  <c r="F8" i="72"/>
  <c r="L8" i="72"/>
  <c r="R8" i="72"/>
  <c r="G8" i="72"/>
  <c r="S8" i="72" l="1"/>
  <c r="V56" i="72"/>
  <c r="U8" i="72" l="1"/>
  <c r="W8" i="72" s="1"/>
  <c r="I121" i="16"/>
  <c r="I122" i="16"/>
  <c r="I123" i="16"/>
  <c r="I124" i="16" l="1"/>
  <c r="I128" i="16" s="1"/>
  <c r="I129" i="60" s="1"/>
  <c r="I58" i="72" l="1"/>
  <c r="I9" i="72"/>
  <c r="I56" i="72" s="1"/>
  <c r="I130" i="16"/>
  <c r="H135" i="16" l="1"/>
  <c r="I135" i="16" s="1"/>
  <c r="I136" i="60" s="1"/>
  <c r="I131" i="60"/>
  <c r="J58" i="72" s="1"/>
  <c r="I134" i="60"/>
  <c r="J9" i="72"/>
  <c r="J56" i="72" s="1"/>
  <c r="Q9" i="72"/>
  <c r="Q56" i="72" s="1"/>
  <c r="J60" i="72" l="1"/>
  <c r="H136" i="60"/>
  <c r="I60" i="72"/>
  <c r="I147" i="16"/>
  <c r="K58" i="72"/>
  <c r="L58" i="72" s="1"/>
  <c r="K9" i="72"/>
  <c r="K56" i="72" s="1"/>
  <c r="I137" i="16"/>
  <c r="I138" i="60" s="1"/>
  <c r="I141" i="16" l="1"/>
  <c r="I142" i="60" s="1"/>
  <c r="G56" i="72"/>
  <c r="G9" i="72"/>
  <c r="R9" i="72"/>
  <c r="F9" i="72"/>
  <c r="L9" i="72"/>
  <c r="L56" i="72" s="1"/>
  <c r="I145" i="16" l="1"/>
  <c r="I146" i="60" s="1"/>
  <c r="E469" i="64" s="1"/>
  <c r="S9" i="72"/>
  <c r="U9" i="72" s="1"/>
  <c r="L60" i="72"/>
  <c r="F56" i="72"/>
  <c r="R56" i="72"/>
  <c r="K60" i="72"/>
  <c r="L63" i="72" l="1"/>
  <c r="L65" i="72" s="1"/>
  <c r="S56" i="72"/>
  <c r="M9" i="72"/>
  <c r="E37" i="64"/>
  <c r="W9" i="72"/>
  <c r="W56" i="72" s="1"/>
  <c r="U56" i="72"/>
  <c r="J57" i="79" l="1"/>
  <c r="G37" i="64"/>
  <c r="M58" i="72" l="1"/>
  <c r="E12" i="64"/>
  <c r="E462" i="64" s="1"/>
  <c r="M8" i="72"/>
  <c r="M56" i="72" s="1"/>
  <c r="G12" i="64" l="1"/>
  <c r="G462" i="64" s="1"/>
  <c r="M60" i="72"/>
  <c r="G469" i="64" l="1"/>
  <c r="E493" i="64"/>
  <c r="G463" i="64"/>
  <c r="D406" i="64" l="1"/>
  <c r="D416" i="64"/>
  <c r="D110" i="64"/>
  <c r="D396" i="64"/>
  <c r="D271" i="64"/>
  <c r="D263" i="64"/>
  <c r="D425" i="64"/>
  <c r="D315" i="64"/>
  <c r="D205" i="64"/>
  <c r="D101" i="64"/>
  <c r="D362" i="64"/>
  <c r="D213" i="64"/>
  <c r="D306" i="64"/>
  <c r="D194" i="64"/>
  <c r="D344" i="64"/>
  <c r="D234" i="64"/>
  <c r="D288" i="64"/>
  <c r="D179" i="64"/>
  <c r="D90" i="64"/>
  <c r="D298" i="64"/>
  <c r="D186" i="64"/>
  <c r="D224" i="64"/>
  <c r="D152" i="64"/>
  <c r="D433" i="64"/>
  <c r="D143" i="64"/>
  <c r="D171" i="64"/>
  <c r="D134" i="64"/>
  <c r="D53" i="64"/>
  <c r="D452" i="64"/>
  <c r="D253" i="64"/>
  <c r="D380" i="64"/>
  <c r="D355" i="64"/>
  <c r="D125" i="64"/>
  <c r="D443" i="64"/>
  <c r="D334" i="64"/>
  <c r="D387" i="64"/>
  <c r="D162" i="64"/>
  <c r="D80" i="64"/>
  <c r="D118" i="64"/>
  <c r="D371" i="64"/>
  <c r="D72" i="64"/>
  <c r="D324" i="64"/>
  <c r="D243" i="64"/>
  <c r="D60" i="64"/>
  <c r="D37" i="64"/>
  <c r="F485" i="64" s="1"/>
  <c r="G485" i="64" s="1"/>
  <c r="F490" i="64" l="1"/>
  <c r="G490" i="64" s="1"/>
  <c r="F488" i="64"/>
  <c r="G488" i="64" s="1"/>
  <c r="F479" i="64"/>
  <c r="G479" i="64" s="1"/>
  <c r="F482" i="64"/>
  <c r="G482" i="64" s="1"/>
  <c r="F476" i="64"/>
  <c r="G476" i="64" s="1"/>
  <c r="F480" i="64"/>
  <c r="G480" i="64" s="1"/>
  <c r="F474" i="64"/>
  <c r="G474" i="64" s="1"/>
  <c r="F481" i="64"/>
  <c r="G481" i="64" s="1"/>
  <c r="F472" i="64"/>
  <c r="G472" i="64" s="1"/>
  <c r="F475" i="64"/>
  <c r="G475" i="64" s="1"/>
  <c r="F473" i="64"/>
  <c r="G473" i="64" s="1"/>
  <c r="F483" i="64"/>
  <c r="G483" i="64" s="1"/>
  <c r="F487" i="64"/>
  <c r="G487" i="64" s="1"/>
  <c r="F489" i="64"/>
  <c r="G489" i="64" s="1"/>
  <c r="F484" i="64"/>
  <c r="G484" i="64" s="1"/>
  <c r="F471" i="64"/>
  <c r="G471" i="64" s="1"/>
  <c r="F491" i="64"/>
  <c r="G491" i="64" s="1"/>
  <c r="F477" i="64"/>
  <c r="G477" i="64" s="1"/>
  <c r="F478" i="64"/>
  <c r="G478" i="64" s="1"/>
  <c r="F486" i="64"/>
  <c r="G486" i="64" s="1"/>
  <c r="F493" i="64" l="1"/>
  <c r="F495" i="64" s="1"/>
  <c r="G470" i="64"/>
  <c r="G493" i="64" s="1"/>
  <c r="G495" i="64" s="1"/>
</calcChain>
</file>

<file path=xl/sharedStrings.xml><?xml version="1.0" encoding="utf-8"?>
<sst xmlns="http://schemas.openxmlformats.org/spreadsheetml/2006/main" count="19018" uniqueCount="579">
  <si>
    <t xml:space="preserve">School District: </t>
  </si>
  <si>
    <t>Program</t>
  </si>
  <si>
    <t>FTE</t>
  </si>
  <si>
    <t>(b)</t>
  </si>
  <si>
    <t>(c)</t>
  </si>
  <si>
    <t>Totals</t>
  </si>
  <si>
    <t>x</t>
  </si>
  <si>
    <t>NOTES:</t>
  </si>
  <si>
    <t>Total</t>
  </si>
  <si>
    <t>Palm Beach</t>
  </si>
  <si>
    <t>Base Student Allocation</t>
  </si>
  <si>
    <t>Revenues flow to districts from state sources and from county tax collectors on various distribution schedules.</t>
  </si>
  <si>
    <t>=</t>
  </si>
  <si>
    <t>4-8</t>
  </si>
  <si>
    <t>9-12</t>
  </si>
  <si>
    <t>(Insert district number in cell A1, enter, then strike F9. Your district data then pulls from Calculation Detail Sheets)</t>
  </si>
  <si>
    <t>Total Class Size Reduction Funds</t>
  </si>
  <si>
    <t>PK - 3</t>
  </si>
  <si>
    <t xml:space="preserve"> Revenue Estimate Worksheet for___________Charter School </t>
  </si>
  <si>
    <t>Number of FTE</t>
  </si>
  <si>
    <t>101 Basic K-3</t>
  </si>
  <si>
    <t>111 Basic K-3 with ESE Services</t>
  </si>
  <si>
    <t>102 Basic 4-8</t>
  </si>
  <si>
    <t>112 Basic 4-8 with ESE Services</t>
  </si>
  <si>
    <t>103 Basic 9-12</t>
  </si>
  <si>
    <t>113 Basic 9-12 with ESE Services</t>
  </si>
  <si>
    <t>Letters Refer to Notes At Bottom:</t>
  </si>
  <si>
    <t>Base Funding</t>
  </si>
  <si>
    <t>Allocation</t>
  </si>
  <si>
    <t>Student</t>
  </si>
  <si>
    <t xml:space="preserve"> x</t>
  </si>
  <si>
    <t>Allocation factors</t>
  </si>
  <si>
    <t>(h)</t>
  </si>
  <si>
    <t>Total Funding for Calculating the Administrative fee of Charters with More Than 75% ESE Students.</t>
  </si>
  <si>
    <t>(j)</t>
  </si>
  <si>
    <t>Weighted FTE (not including Add-On)</t>
  </si>
  <si>
    <t>(1)</t>
  </si>
  <si>
    <t>(2)</t>
  </si>
  <si>
    <t>(3)</t>
  </si>
  <si>
    <t>(4)</t>
  </si>
  <si>
    <t>(5)</t>
  </si>
  <si>
    <t>Small District ESE Supplement</t>
  </si>
  <si>
    <t>Total Base Funding</t>
  </si>
  <si>
    <t>Total Additional FTE</t>
  </si>
  <si>
    <t xml:space="preserve">Total Funded Weighted FTE </t>
  </si>
  <si>
    <t>Advanced Placement</t>
  </si>
  <si>
    <t>International Baccalaureate</t>
  </si>
  <si>
    <t>Advanced International Certificate</t>
  </si>
  <si>
    <t>Industry Certified Career Education</t>
  </si>
  <si>
    <t>Early High School Graduation</t>
  </si>
  <si>
    <t>Additional FTE (a)</t>
  </si>
  <si>
    <t>Additional Base Funds</t>
  </si>
  <si>
    <t>Enter All Adjusted Fundable Riders</t>
  </si>
  <si>
    <t>Impact Aide Student Type</t>
  </si>
  <si>
    <t>Exempt Property Allocation</t>
  </si>
  <si>
    <t>Impact Aide Student Allocation</t>
  </si>
  <si>
    <t>Military and Indian Lands</t>
  </si>
  <si>
    <t>Civilians on Federal Lands</t>
  </si>
  <si>
    <t>Students with Disabilities</t>
  </si>
  <si>
    <t>(2) x (3)</t>
  </si>
  <si>
    <t>Weighted FTE</t>
  </si>
  <si>
    <t>2015-16</t>
  </si>
  <si>
    <t>(WFTE x BSA x DCD)</t>
  </si>
  <si>
    <t>Cost Factor</t>
  </si>
  <si>
    <t>Enter All Adjusted ESE Riders</t>
  </si>
  <si>
    <t>(*Total FTE should equal total in Section 1, column (4) and should not include any additional FTE from Section 1.)</t>
  </si>
  <si>
    <t>Number of Students</t>
  </si>
  <si>
    <t>Administrative fees:</t>
  </si>
  <si>
    <t>Other:</t>
  </si>
  <si>
    <t>Impact Aid Student Type</t>
  </si>
  <si>
    <t>If you have more than a 75% ESE student population, please place a 1 in the following box:</t>
  </si>
  <si>
    <t>5.   Discretionary Millage Compression Allocation</t>
  </si>
  <si>
    <t>Letters in Parentheses Refer to Notes at Bottom of Worksheet:</t>
  </si>
  <si>
    <t>Less Administrative Fee (5% for up to 250 students of Un-Weighted FTE)</t>
  </si>
  <si>
    <t>Total Estimated Revenue</t>
  </si>
  <si>
    <t>Previous Charter School Payments Made</t>
  </si>
  <si>
    <t>Current month's payment amount</t>
  </si>
  <si>
    <t>This tab of the worksheet is Set up to show estimated funding based on Unweighted FTE for charter schools with ESE populations of more</t>
  </si>
  <si>
    <t>than 75% so that the proper administrative fee can be estimated. It should not be necessary to enter data on this page.</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</si>
  <si>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</si>
  <si>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</si>
  <si>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</si>
  <si>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</si>
  <si>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</si>
  <si>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</si>
  <si>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</si>
  <si>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</si>
  <si>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</si>
  <si>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</si>
  <si>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r>
      <t xml:space="preserve">Total </t>
    </r>
    <r>
      <rPr>
        <b/>
        <sz val="12"/>
        <color indexed="30"/>
        <rFont val="Calibri"/>
        <family val="2"/>
      </rPr>
      <t>*</t>
    </r>
  </si>
  <si>
    <t>Excess of Administrative Fees to be Allocated to Capital Expenditures</t>
  </si>
  <si>
    <t xml:space="preserve">District Cost Differential:   </t>
  </si>
  <si>
    <t xml:space="preserve">Base Student Allocation:   </t>
  </si>
  <si>
    <t>Oct 2014</t>
  </si>
  <si>
    <t>Feb 2015</t>
  </si>
  <si>
    <t xml:space="preserve">Total Additional FTE   </t>
  </si>
  <si>
    <t xml:space="preserve">Total Funded Weighted FTE   </t>
  </si>
  <si>
    <t xml:space="preserve">Additional Base Funds  </t>
  </si>
  <si>
    <t xml:space="preserve">Total Base Funding  </t>
  </si>
  <si>
    <t xml:space="preserve">        .748 Mills (UFTE share)</t>
  </si>
  <si>
    <t xml:space="preserve">Total Class Size Reduction Funds  </t>
  </si>
  <si>
    <t>(not including Add-On)</t>
  </si>
  <si>
    <r>
      <t xml:space="preserve">Total </t>
    </r>
    <r>
      <rPr>
        <b/>
        <sz val="12"/>
        <color indexed="30"/>
        <rFont val="Calibri"/>
        <family val="2"/>
      </rPr>
      <t xml:space="preserve">*   </t>
    </r>
  </si>
  <si>
    <t xml:space="preserve">9-12       </t>
  </si>
  <si>
    <t xml:space="preserve">4-8       </t>
  </si>
  <si>
    <t xml:space="preserve">PK - 3      </t>
  </si>
  <si>
    <t>Factors</t>
  </si>
  <si>
    <t>Average</t>
  </si>
  <si>
    <t>Impact Aide</t>
  </si>
  <si>
    <t>Exempt Property</t>
  </si>
  <si>
    <t>Revenue Estimate Worksheet: South Tech Charter Academy - 1571</t>
  </si>
  <si>
    <t>Revenue Estimate Worksheet: Ed Venture Charter School - 2521</t>
  </si>
  <si>
    <t>Revenue Estimate Worksheet: Believers Academy - 3400</t>
  </si>
  <si>
    <t>Revenue Estimate Worksheet: Western Academy Charter School - 2911</t>
  </si>
  <si>
    <t>Revenue Estimate Worksheet: Palm Beach School for Autism - 2941</t>
  </si>
  <si>
    <t>Revenue Estimate Worksheet: Imagine Schools - Chancellor Campus - 3381</t>
  </si>
  <si>
    <t>Revenue Estimate Worksheet: Glades Academy - 3382</t>
  </si>
  <si>
    <t>Revenue Estimate Worksheet: Seagull Academy for Independent Living - 3391</t>
  </si>
  <si>
    <t>Revenue Estimate Worksheet: Montessori Academy of Early Enrichment - 3394</t>
  </si>
  <si>
    <t>Revenue Estimate Worksheet: G-Star School of the Arts for Motion Pictures &amp; Television - 3396</t>
  </si>
  <si>
    <t>Revenue Estimate Worksheet: Everglades Preparatory Academy - 3398</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</si>
  <si>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</si>
  <si>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</si>
  <si>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</si>
  <si>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</si>
  <si>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</si>
  <si>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Ben Gamla Charter School - 3941</t>
  </si>
  <si>
    <t>Revenue Estimate Worksheet: Gardens School of Technology Arts - 3961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</si>
  <si>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</si>
  <si>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</si>
  <si>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</si>
  <si>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</si>
  <si>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Somerset Academy Boca Middle School - 4041</t>
  </si>
  <si>
    <t>Revenue Estimate Worksheet: Renaissance Charter School at Cypress - 4050</t>
  </si>
  <si>
    <t>Revenue Estimate Worksheet: Renaissance Charter School at Central Palm - 4051</t>
  </si>
  <si>
    <t>School District:</t>
  </si>
  <si>
    <t>District Funding</t>
  </si>
  <si>
    <t>0.748 Discretionary Local Effort</t>
  </si>
  <si>
    <t>0.748 Mills Compression</t>
  </si>
  <si>
    <t>Reading Allocation</t>
  </si>
  <si>
    <t>Instructional Materials</t>
  </si>
  <si>
    <t>Funding Per FTE</t>
  </si>
  <si>
    <t>Virtual Education Contribution Per FTE</t>
  </si>
  <si>
    <t>Total Funding Per FTE</t>
  </si>
  <si>
    <t>Total FTE</t>
  </si>
  <si>
    <t>Total Virtual Funding</t>
  </si>
  <si>
    <t>Total Virtual Funding net of Completion Factor</t>
  </si>
  <si>
    <t>Less: Administrative Fee (5% for Virtual)</t>
  </si>
  <si>
    <t>Base FEFP Funding</t>
  </si>
  <si>
    <t>District Total Unweighted FTE</t>
  </si>
  <si>
    <t>(a)</t>
  </si>
  <si>
    <t>(a) / (b)</t>
  </si>
  <si>
    <t>Estimated Completion Factor - Based on K-12 state-wide average</t>
  </si>
  <si>
    <t>Totals non-virtual schools</t>
  </si>
  <si>
    <t>Virtual schools ($5,476.28/FTE)</t>
  </si>
  <si>
    <t>Totals all schools</t>
  </si>
  <si>
    <t>School #</t>
  </si>
  <si>
    <t>Description</t>
  </si>
  <si>
    <t>1461</t>
  </si>
  <si>
    <t>1571</t>
  </si>
  <si>
    <t>2521</t>
  </si>
  <si>
    <t>2531</t>
  </si>
  <si>
    <t>2791</t>
  </si>
  <si>
    <t>2801</t>
  </si>
  <si>
    <t>2911</t>
  </si>
  <si>
    <t>2941</t>
  </si>
  <si>
    <t>3083</t>
  </si>
  <si>
    <t>3345</t>
  </si>
  <si>
    <t>3381</t>
  </si>
  <si>
    <t>3382</t>
  </si>
  <si>
    <t>3391</t>
  </si>
  <si>
    <t>3394</t>
  </si>
  <si>
    <t>3395</t>
  </si>
  <si>
    <t>3396</t>
  </si>
  <si>
    <t>3398</t>
  </si>
  <si>
    <t>3400</t>
  </si>
  <si>
    <t>3401</t>
  </si>
  <si>
    <t>3413</t>
  </si>
  <si>
    <t>3421</t>
  </si>
  <si>
    <t>3431</t>
  </si>
  <si>
    <t>3941</t>
  </si>
  <si>
    <t>3961</t>
  </si>
  <si>
    <t>3971</t>
  </si>
  <si>
    <t>4001</t>
  </si>
  <si>
    <t>Net payments</t>
  </si>
  <si>
    <t>Palm Beach County Charter Schools</t>
  </si>
  <si>
    <t>Sorted by School Name</t>
  </si>
  <si>
    <t>Dept #</t>
  </si>
  <si>
    <t>Charter School Name</t>
  </si>
  <si>
    <t>Believers Academy</t>
  </si>
  <si>
    <t>Inlet Grove Community High School</t>
  </si>
  <si>
    <t>Ben Gamla Charter School</t>
  </si>
  <si>
    <t>South Tech Charter Academy</t>
  </si>
  <si>
    <t>Ed Venture</t>
  </si>
  <si>
    <t>Potentials Charter School</t>
  </si>
  <si>
    <t>Everglades Preparatory Academy</t>
  </si>
  <si>
    <t>Western Academy Charter School</t>
  </si>
  <si>
    <t>Palm Beach School for Autism</t>
  </si>
  <si>
    <t>4020</t>
  </si>
  <si>
    <t>4061</t>
  </si>
  <si>
    <t>Imagine Schools - Chancellor Campus</t>
  </si>
  <si>
    <t>Gardens School of Technology Arts</t>
  </si>
  <si>
    <t xml:space="preserve">Glades Academy </t>
  </si>
  <si>
    <t>G-Star School of the Arts for Motion Pictures and Television</t>
  </si>
  <si>
    <t>Seagull Academy for Independent Living</t>
  </si>
  <si>
    <t>Montessori Academy of Early Enrichment</t>
  </si>
  <si>
    <t>Quantum High School</t>
  </si>
  <si>
    <t>Somerset Academy Boca</t>
  </si>
  <si>
    <t>Worthington High School</t>
  </si>
  <si>
    <t>3924</t>
  </si>
  <si>
    <t>Renaissance Charter School at WPB</t>
  </si>
  <si>
    <t>3441</t>
  </si>
  <si>
    <t>South Tech Preparatory Academy (Middle School)</t>
  </si>
  <si>
    <t>4051</t>
  </si>
  <si>
    <t>Renaissance Charter School at Central Palm</t>
  </si>
  <si>
    <t>4050</t>
  </si>
  <si>
    <t>Renaissance Charter School at Cypress</t>
  </si>
  <si>
    <t>4002</t>
  </si>
  <si>
    <t xml:space="preserve">Renaissance Charter School at Summit </t>
  </si>
  <si>
    <t>Renaissance Charter School at Wellington</t>
  </si>
  <si>
    <t>4012</t>
  </si>
  <si>
    <t xml:space="preserve">Somerset Academy Canyons Middle School </t>
  </si>
  <si>
    <t>4013</t>
  </si>
  <si>
    <t xml:space="preserve">Somerset Academy Canyons High School </t>
  </si>
  <si>
    <t>4041</t>
  </si>
  <si>
    <t xml:space="preserve">Somerset Academy Boca Middle School </t>
  </si>
  <si>
    <t>School Name</t>
  </si>
  <si>
    <t xml:space="preserve">G-Star School of the Arts </t>
  </si>
  <si>
    <t>South Tech Preparatory Academy (MS)</t>
  </si>
  <si>
    <t>School Police</t>
  </si>
  <si>
    <t>AT&amp;T</t>
  </si>
  <si>
    <t>Net</t>
  </si>
  <si>
    <t>Charter schools should contact their school district sponsor regarding eligible FTE. Please note that “Number of FTE” is NOT equivalent to number of students enrolled in these courses or programs. Please refer to footnote (a) below.</t>
  </si>
  <si>
    <t>4081</t>
  </si>
  <si>
    <t>Florida Futures Academy - North Campus</t>
  </si>
  <si>
    <t>Revenue Estimate Worksheet: Florida Futures Academy - North Campus - 4081</t>
  </si>
  <si>
    <t>State Funded Discretionary Contribution</t>
  </si>
  <si>
    <t>University Preparatory Academy</t>
  </si>
  <si>
    <t>4080</t>
  </si>
  <si>
    <t>H</t>
  </si>
  <si>
    <t>Current month's payment amount - Additional</t>
  </si>
  <si>
    <t>Previous Charter School Payments Made (July-Oct 2015 before this revised Oct revenue calculation)</t>
  </si>
  <si>
    <t>University Prep Palm Beach</t>
  </si>
  <si>
    <t>Revenue Estimate Worksheet: University Prep Palm Beach - 4080</t>
  </si>
  <si>
    <t>October 2015 FTE</t>
  </si>
  <si>
    <t>February 2016 FTE</t>
  </si>
  <si>
    <t>Remaining Estimated Revenue</t>
  </si>
  <si>
    <t>Number of Remaining Months</t>
  </si>
  <si>
    <t>Number of remaining months</t>
  </si>
  <si>
    <t xml:space="preserve">Totals per payment approval sheet  </t>
  </si>
  <si>
    <t>Adjustments</t>
  </si>
  <si>
    <t>Letters in Parentheses Refer to Notes at Bottom of Worksheet</t>
  </si>
  <si>
    <t>Revenue Estimate Worksheet: Inlet Grove Community High School - 1461</t>
  </si>
  <si>
    <t>Revenue Estimate Worksheet: All Charter Schools (Consolidated Tab)</t>
  </si>
  <si>
    <t xml:space="preserve">Total current month's FTE payment amount per Consolidated tab  </t>
  </si>
  <si>
    <t>The Learning Center at The Els Center of Excellence</t>
  </si>
  <si>
    <t>Revenue Estimate Worksheet: The Learning Center at The Els Center of Excellence - 2791</t>
  </si>
  <si>
    <t>Class Size Cat.</t>
  </si>
  <si>
    <t>Based on the 2015-16 FEFP 4th Calculation</t>
  </si>
  <si>
    <t>(a) Additional FTE includes FTE earned through Advanced Placement, International Baccalaureate, Advanced International Certificate of Education, Industry Certified Career</t>
  </si>
  <si>
    <t>"All Adjusted ESE Riders" should include only ESE Riders.</t>
  </si>
  <si>
    <t xml:space="preserve">unweighted full-time equivalent students. </t>
  </si>
  <si>
    <t xml:space="preserve">Administrative fees charged by the school district pursuant to s. 1002.33(20)(a), F.S., shall be calculated based upon 5% of available funds from the FEFP and categorical </t>
  </si>
  <si>
    <t>FEFP and categorical funding are recalculated during the year to reflect the revised number of full-time equivalent students reported during the survey periods designated</t>
  </si>
  <si>
    <t>by the Commissioner of Education.</t>
  </si>
  <si>
    <t>Revenue Estimate Worksheet: Connections Education Center of the Palm Beaches - 4100</t>
  </si>
  <si>
    <t>Pg 41/52 - 1st Calc</t>
  </si>
  <si>
    <t>Connections Education Center of the Palm Beaches</t>
  </si>
  <si>
    <t>4100</t>
  </si>
  <si>
    <t>In a letter dated 08/01/16, the school's governing board elected to voluntarily terminate the</t>
  </si>
  <si>
    <t>school's Charter effective 08/01/16.</t>
  </si>
  <si>
    <t>Revenue Estimate Worksheet: Somerset Academy Lakes - 4091</t>
  </si>
  <si>
    <t>Revenue Estimate Worksheet: Sports Leadership &amp; Management Middle School (SLAM) - 4090</t>
  </si>
  <si>
    <t>Revenue Estimate Worksheet: Virtual - 4XXX</t>
  </si>
  <si>
    <t>Sports Leadership &amp; Management MS (SLAM)</t>
  </si>
  <si>
    <t>Somerset Academy Lakes</t>
  </si>
  <si>
    <t>Sports Leadership &amp; Management (SLAM) MS</t>
  </si>
  <si>
    <t>NOTES TO ALL CHARTER SCHOOLS</t>
  </si>
  <si>
    <t>PY Final FEFP</t>
  </si>
  <si>
    <t>PY Dig C/R A/R</t>
  </si>
  <si>
    <t>PY Digital C/R</t>
  </si>
  <si>
    <t>4102</t>
  </si>
  <si>
    <t>BridgePrep Academy of PB</t>
  </si>
  <si>
    <t>Revenue Estimate Worksheet: BridgePrep Academy of PB - 4102</t>
  </si>
  <si>
    <t xml:space="preserve">Transportation </t>
  </si>
  <si>
    <t>Revenue Estimate Worksheet: Somerset Academy JFK Charter School - 3395</t>
  </si>
  <si>
    <t>Somerset Academy JFK Charter School</t>
  </si>
  <si>
    <t xml:space="preserve">(j) Funding based on student eligibility and meals provided, if participating in the National School Lunch Program. </t>
  </si>
  <si>
    <t>PY Class Size Cat.</t>
  </si>
  <si>
    <t>Admin</t>
  </si>
  <si>
    <t>Annual</t>
  </si>
  <si>
    <t>Fee %</t>
  </si>
  <si>
    <t>Revenue</t>
  </si>
  <si>
    <t>Admin Fee</t>
  </si>
  <si>
    <t>Net Revenue</t>
  </si>
  <si>
    <t>The Learning Center @ The Els Center of Excl</t>
  </si>
  <si>
    <t>Somerset Academy Charter School</t>
  </si>
  <si>
    <t>Sports Leadership Academy (SLAM)</t>
  </si>
  <si>
    <t>Connections Education Center of the PBs</t>
  </si>
  <si>
    <t>BridgePrep Academy of Palm Beach</t>
  </si>
  <si>
    <t>Consolidated tab totals</t>
  </si>
  <si>
    <t>Difference</t>
  </si>
  <si>
    <t>MS Course Recovery</t>
  </si>
  <si>
    <t>ESE</t>
  </si>
  <si>
    <t>H/P</t>
  </si>
  <si>
    <t>Sec 1 FTE</t>
  </si>
  <si>
    <t>Rev</t>
  </si>
  <si>
    <t>Fee</t>
  </si>
  <si>
    <t>Net Rev</t>
  </si>
  <si>
    <t>75% ESE</t>
  </si>
  <si>
    <t>Net Rev Per Sec 1 FTE</t>
  </si>
  <si>
    <t>Other</t>
  </si>
  <si>
    <t>Current</t>
  </si>
  <si>
    <t>Mth's Pmt</t>
  </si>
  <si>
    <t>Feb 2018</t>
  </si>
  <si>
    <t>K-12 Initiative Grant</t>
  </si>
  <si>
    <t>(e)</t>
  </si>
  <si>
    <t>(i)</t>
  </si>
  <si>
    <t>funding for which charter students may be eligible.  To calculate the administrative fee to be withheld for schools with more than 250 students, divide the school</t>
  </si>
  <si>
    <t xml:space="preserve">For high performing charter schools, administrative fees charged by the school district shall be calculated based upon 2% of available funds from the FEFP and categorical </t>
  </si>
  <si>
    <t xml:space="preserve">population into 250. Multiply that fraction times the funds available, then times 2%.  </t>
  </si>
  <si>
    <t>2018-19</t>
  </si>
  <si>
    <t>Revenue Estimate Worksheet: Sports Leadership &amp; Management (SLAM) MHS (Boca) - 4103</t>
  </si>
  <si>
    <t>Sports Leadership Arts Management (SLAM) - Boca</t>
  </si>
  <si>
    <t>SLAM Boca</t>
  </si>
  <si>
    <t>Sec 1 Rev/Fee per FTE</t>
  </si>
  <si>
    <t>4103</t>
  </si>
  <si>
    <t>Sports Leadership Arts Management (SLAM) Acdemy MHS (Boca)</t>
  </si>
  <si>
    <t xml:space="preserve"> </t>
  </si>
  <si>
    <t>Oct 2018</t>
  </si>
  <si>
    <t>Please go to the bottom of the page.</t>
  </si>
  <si>
    <t>Sorted by School Number</t>
  </si>
  <si>
    <t>Revenue Estimate Worksheet: Olympus International Academy - 4030</t>
  </si>
  <si>
    <t>Revenue Estimate Worksheet: Sports Leadership &amp; Management (SLAM) Academy High School - 4111</t>
  </si>
  <si>
    <t>Projected</t>
  </si>
  <si>
    <t>Olympus International Academy</t>
  </si>
  <si>
    <t>The Learning Academy at The Els Center of Excellence</t>
  </si>
  <si>
    <t>LAN &amp; Internet</t>
  </si>
  <si>
    <t>4030</t>
  </si>
  <si>
    <t>Disallowed IDEA</t>
  </si>
  <si>
    <t>Palm Beach Preparatory Charter Academy</t>
  </si>
  <si>
    <t>Palm Beach Perparatory Charter Academy</t>
  </si>
  <si>
    <t>SLAM HS Palm Beach</t>
  </si>
  <si>
    <t>Revenue Estimate Worksheet: Palm Beach Preparatory Charter Academy - 3971</t>
  </si>
  <si>
    <t>FL AG - FY18</t>
  </si>
  <si>
    <t>WPB-</t>
  </si>
  <si>
    <t>Revenue Estimate Worksheet: The Learning Academy at The Els Center of Excellence - 3083</t>
  </si>
  <si>
    <t>Franklin Academy - Boynton Beach</t>
  </si>
  <si>
    <t>Revenue Estimate Worksheet: Franklin Academy - Boynton Beach - 4020</t>
  </si>
  <si>
    <t>Franklin Academy - Palm Beach Gardens</t>
  </si>
  <si>
    <t>Revenue Estimate Worksheet: Franklin Academy - Palm Beach Gardens - 4061</t>
  </si>
  <si>
    <t>(k)</t>
  </si>
  <si>
    <t>Somerset Academy Wellington</t>
  </si>
  <si>
    <t>Revenue Estimate Worksheet: Somerset Academy Wellington - 4031</t>
  </si>
  <si>
    <t>PY Safe Schl Alloc</t>
  </si>
  <si>
    <t>WPB-229862</t>
  </si>
  <si>
    <t>SWA Fees</t>
  </si>
  <si>
    <t>FL AG - FY20</t>
  </si>
  <si>
    <t>FY21 TSIA</t>
  </si>
  <si>
    <t>WPB-241201</t>
  </si>
  <si>
    <t>WPB-242343</t>
  </si>
  <si>
    <t>FY21 CSTAG Training</t>
  </si>
  <si>
    <t>TSIA deducted 07/21</t>
  </si>
  <si>
    <t>Unused FY21 TSIA Funds</t>
  </si>
  <si>
    <t>Unused FY21 TSIA add'l adj</t>
  </si>
  <si>
    <t>WPB-245095</t>
  </si>
  <si>
    <t>WPB-248085</t>
  </si>
  <si>
    <t>WPB-248086</t>
  </si>
  <si>
    <t>WPB-248087</t>
  </si>
  <si>
    <t>Ends June 2022</t>
  </si>
  <si>
    <t>WPB-249234</t>
  </si>
  <si>
    <t>TSIA deducted 02/22</t>
  </si>
  <si>
    <t>Revenue Estimate Worksheet: Somerset Academy Wellington HS - 4131</t>
  </si>
  <si>
    <t>4131</t>
  </si>
  <si>
    <t>Somerset Academy Wellington HS</t>
  </si>
  <si>
    <t>WPB-255421</t>
  </si>
  <si>
    <t>Palm Beach Maritime Academy Secondary</t>
  </si>
  <si>
    <t>Palm Beach Maritime Academy Elementary</t>
  </si>
  <si>
    <t>Rev - TSIA</t>
  </si>
  <si>
    <t>W/O TSIA</t>
  </si>
  <si>
    <t>Revenue Estimate Worksheet: Career Academy of the Palm Beaches - 3345</t>
  </si>
  <si>
    <t>Revenue Estimate Worksheet: Palm Beach Maritime Academy Secondary - 3924</t>
  </si>
  <si>
    <t>Revenue Estimate Worksheet: Palm Beach Maritime Academy Elementary - 2801</t>
  </si>
  <si>
    <t>Career Academy of the Palm Beaches</t>
  </si>
  <si>
    <t>The Learning Academy @ The Els Center of Excl</t>
  </si>
  <si>
    <t>WPB-260215</t>
  </si>
  <si>
    <t>WPB-264049</t>
  </si>
  <si>
    <t xml:space="preserve">Education (CAPE), Early High School Graduation and the small district ESE Supplement,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</si>
  <si>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</si>
  <si>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</si>
  <si>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</si>
  <si>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</si>
  <si>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</si>
  <si>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reconnended not to be recalculated with fluctuations in student enrollment later in the year. </t>
  </si>
  <si>
    <t>(g) This allocation will be frozen as of the 2023-24 FEFP Conference Calculation and will not be recalculated throughout the year. Charter school allocations are</t>
  </si>
  <si>
    <t>(h) Numbers entered here will be multiplied by the district level transportation funding per rider. "All Adjusted Fundable Riders" should include both basic and ESE Riders.</t>
  </si>
  <si>
    <t xml:space="preserve">All Adjusted Fundable Riders  </t>
  </si>
  <si>
    <t xml:space="preserve">All Adjusted ESE Riders (Member Cat L)  </t>
  </si>
  <si>
    <t xml:space="preserve">(i) The Federally Connected Student Supplement provides additional funding for students on federal lands that receive Section 8003 impact aide pursuant to s. 1011.62(13), F.S. </t>
  </si>
  <si>
    <t xml:space="preserve">allocated by the Legislature for teacher compensation. </t>
  </si>
  <si>
    <t xml:space="preserve">(k) Consistent with s. 1002.33(20)(a)3, F.S., a school's sponsor may not charge or withhold any administrative fee against a charter school for any funds specfically </t>
  </si>
  <si>
    <t>(l) Consistent with s. 1002.33(20)(a), F.S., for charter schools with a population of 75% or more ESE students, the administrative fee shall be calculated based on</t>
  </si>
  <si>
    <t xml:space="preserve">multiplied by the greater of $1,951.26 or the district's prior year ESE Guaranteed funds per-FTE student. </t>
  </si>
  <si>
    <t xml:space="preserve">(m) Consistent with s. 1011.62(8), F.S., the calculation of the ESE Guaranteed Allocation calculation is based on the school's basic ESE FTE, less program 113 gifted FTE, </t>
  </si>
  <si>
    <t xml:space="preserve">population into 250. Multiply that fraction times the funds available, then times 5%.  For charter schools within a charter school system that meets the requirements </t>
  </si>
  <si>
    <t>in s. 1002.33(20)(a)2.a.(II), F.S., do the same calculation based on up to and including 500 students.</t>
  </si>
  <si>
    <t xml:space="preserve">Small District Factor:   </t>
  </si>
  <si>
    <t>Small District Factor:</t>
  </si>
  <si>
    <t xml:space="preserve">Comparable Wage Factor:   </t>
  </si>
  <si>
    <t xml:space="preserve">Comparable Wage Factor: </t>
  </si>
  <si>
    <t>(WFTE x BSA x CWF x SDF)</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</si>
  <si>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</si>
  <si>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</si>
  <si>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</si>
  <si>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(g) (k)</t>
  </si>
  <si>
    <t>Total Salary Increase</t>
  </si>
  <si>
    <t xml:space="preserve">          UFTE share.                          CS UFTE: </t>
  </si>
  <si>
    <t xml:space="preserve">          WFTE share.                       CS WFTE: </t>
  </si>
  <si>
    <r>
      <t xml:space="preserve">         </t>
    </r>
    <r>
      <rPr>
        <b/>
        <sz val="11"/>
        <rFont val="Calibri"/>
        <family val="2"/>
        <scheme val="minor"/>
      </rPr>
      <t xml:space="preserve"> UFTE share. </t>
    </r>
    <r>
      <rPr>
        <b/>
        <sz val="12"/>
        <rFont val="Calibri"/>
        <family val="2"/>
        <scheme val="minor"/>
      </rPr>
      <t xml:space="preserve">                           CS UFTE: </t>
    </r>
  </si>
  <si>
    <r>
      <t xml:space="preserve">         </t>
    </r>
    <r>
      <rPr>
        <b/>
        <sz val="11"/>
        <rFont val="Calibri"/>
        <family val="2"/>
        <scheme val="minor"/>
      </rPr>
      <t xml:space="preserve"> school's UFTE share. </t>
    </r>
    <r>
      <rPr>
        <b/>
        <sz val="12"/>
        <rFont val="Calibri"/>
        <family val="2"/>
        <scheme val="minor"/>
      </rPr>
      <t xml:space="preserve">                    CS UFTE: </t>
    </r>
  </si>
  <si>
    <t xml:space="preserve">          school's UFTE share.                  CS UFTE: </t>
  </si>
  <si>
    <t xml:space="preserve">          school's WFTE share.               CS WFTE: </t>
  </si>
  <si>
    <t xml:space="preserve">     /        District's total UFTE:</t>
  </si>
  <si>
    <t xml:space="preserve">     /        District's total WFTE:</t>
  </si>
  <si>
    <t xml:space="preserve"> /  District's total non-scholarship UFTE:</t>
  </si>
  <si>
    <t>/ by district's total non-virtual UFTE:</t>
  </si>
  <si>
    <r>
      <t xml:space="preserve">         </t>
    </r>
    <r>
      <rPr>
        <b/>
        <sz val="11"/>
        <rFont val="Calibri"/>
        <family val="2"/>
        <scheme val="minor"/>
      </rPr>
      <t xml:space="preserve"> school's UFTE share. </t>
    </r>
    <r>
      <rPr>
        <b/>
        <sz val="12"/>
        <rFont val="Calibri"/>
        <family val="2"/>
        <scheme val="minor"/>
      </rPr>
      <t xml:space="preserve">             CS UFTE: </t>
    </r>
  </si>
  <si>
    <t xml:space="preserve">    ÷                    District's total UFTE</t>
  </si>
  <si>
    <t xml:space="preserve">    ÷                    District's total WFTE</t>
  </si>
  <si>
    <t xml:space="preserve">    ÷     District's total non-scholarship UFTE    </t>
  </si>
  <si>
    <t xml:space="preserve">               ÷                  District's total non-virtual UFTE  </t>
  </si>
  <si>
    <t xml:space="preserve">÷   Dististict's total non-scholarship/virtual UFTE  </t>
  </si>
  <si>
    <r>
      <t xml:space="preserve">         </t>
    </r>
    <r>
      <rPr>
        <b/>
        <sz val="11"/>
        <rFont val="Calibri"/>
        <family val="2"/>
        <scheme val="minor"/>
      </rPr>
      <t xml:space="preserve"> obtain school's UFTE share. </t>
    </r>
    <r>
      <rPr>
        <b/>
        <sz val="12"/>
        <rFont val="Calibri"/>
        <family val="2"/>
        <scheme val="minor"/>
      </rPr>
      <t xml:space="preserve">         CS UFTE: </t>
    </r>
  </si>
  <si>
    <t>/ Dist total non-scholarship/virtual UFTE:</t>
  </si>
  <si>
    <t>(f)</t>
  </si>
  <si>
    <t>8.   Discretionary Local Effort (WFTE share)</t>
  </si>
  <si>
    <t>9.   Proration to Funds Available (WFTE share)</t>
  </si>
  <si>
    <t>10.  Class Size Reduction Funds:</t>
  </si>
  <si>
    <r>
      <rPr>
        <b/>
        <sz val="12"/>
        <rFont val="Calibri"/>
        <family val="2"/>
      </rPr>
      <t xml:space="preserve">  X  </t>
    </r>
    <r>
      <rPr>
        <b/>
        <u/>
        <sz val="12"/>
        <rFont val="Calibri"/>
        <family val="2"/>
      </rPr>
      <t>CWF</t>
    </r>
    <r>
      <rPr>
        <b/>
        <sz val="12"/>
        <rFont val="Calibri"/>
        <family val="2"/>
      </rPr>
      <t xml:space="preserve">  X</t>
    </r>
  </si>
  <si>
    <r>
      <t xml:space="preserve">  X  </t>
    </r>
    <r>
      <rPr>
        <b/>
        <u/>
        <sz val="12"/>
        <rFont val="Calibri"/>
        <family val="2"/>
      </rPr>
      <t>CWF</t>
    </r>
    <r>
      <rPr>
        <b/>
        <sz val="12"/>
        <rFont val="Calibri"/>
        <family val="2"/>
      </rPr>
      <t xml:space="preserve">  X</t>
    </r>
  </si>
  <si>
    <r>
      <rPr>
        <b/>
        <sz val="12"/>
        <rFont val="Calibri"/>
        <family val="2"/>
      </rPr>
      <t>X             CWF</t>
    </r>
    <r>
      <rPr>
        <b/>
        <sz val="12"/>
        <rFont val="Calibri"/>
        <family val="2"/>
      </rPr>
      <t xml:space="preserve">            X</t>
    </r>
  </si>
  <si>
    <t>X             CWF            X</t>
  </si>
  <si>
    <t>11.  Student Transportation</t>
  </si>
  <si>
    <t>12.  Federally Connected Student Supplement</t>
  </si>
  <si>
    <t>12.  Federally Connected Student Supplement (i)</t>
  </si>
  <si>
    <t>13.  Food Service Allocation</t>
  </si>
  <si>
    <t>1A.   2023-24 FEFP State and Local Funding</t>
  </si>
  <si>
    <t>14. Total Less Total Salary Increase - Item 1B. (for administrative fee calculation)</t>
  </si>
  <si>
    <t>14A.  Funding for the purpose of calculating the administrative fee for ESE charter schools.</t>
  </si>
  <si>
    <t>Avaya Maintenance</t>
  </si>
  <si>
    <t>WPB-268356</t>
  </si>
  <si>
    <t>PK-3</t>
  </si>
  <si>
    <t>Grade</t>
  </si>
  <si>
    <t>Matrix</t>
  </si>
  <si>
    <t>Guarantee</t>
  </si>
  <si>
    <t>2.   ESE Guaranteed Allocation:</t>
  </si>
  <si>
    <t>Level</t>
  </si>
  <si>
    <t>Per Student</t>
  </si>
  <si>
    <t/>
  </si>
  <si>
    <t>Additional Funding from the ESE Guaranteed Allocation. Enter the FTE from 111,112 and 113 by grade and matrix level.  Students who do not have a matrix level should be considered 251.  This total should equal all FTE from programs 111, 112 and 113 above.</t>
  </si>
  <si>
    <t>Total ESE Guarantee</t>
  </si>
  <si>
    <t>Grade Level</t>
  </si>
  <si>
    <t>3A.   Divide school's Unweighted FTE (UFTE) total computed in Section 1, cell E30 above by the district's total UFTE to obtain school's</t>
  </si>
  <si>
    <t>3B.   Divide school's Weighted FTE (WFTE) total computed in Section 1, cell H30 above by the district's total WFTE to obtain school's</t>
  </si>
  <si>
    <t>3C.   Divide school's Unweighted FTE (UFTE) total computed in Section 1, cell E30 above by the District's total non-scholarship UFTE to obtain school's</t>
  </si>
  <si>
    <t>3D.   Divide school's Unweighted FTE (UFTE) total computed in Section 1, cell E30 above by the District's total non-virtual UFTE to obtain school's</t>
  </si>
  <si>
    <t xml:space="preserve">3E.   Divide school's Unweighted FTE (UFTE) total computed in Section 1, cell E30 above by the district's total non-scholarship/virtual UFTE to obtain </t>
  </si>
  <si>
    <t>4.   Educational Enrichment Share (Non-virtual UFTE share)</t>
  </si>
  <si>
    <t>6.   Safe Schools Allocation (Non-scholarship/virtual UFTE share)</t>
  </si>
  <si>
    <r>
      <t xml:space="preserve">7.   </t>
    </r>
    <r>
      <rPr>
        <b/>
        <sz val="11"/>
        <rFont val="Calibri"/>
        <family val="2"/>
        <scheme val="minor"/>
      </rPr>
      <t>Mental Health Assistance Allocation (Non-scholarship UFTE share)</t>
    </r>
  </si>
  <si>
    <t>3A.   Divide school's Unweighted FTE (UFTE) total computed in Section 1, cell E30 above by the District's total UFTE to obtain</t>
  </si>
  <si>
    <t>3B.   Divide school's Weighted FTE (WFTE) total computed in Section 1, cell H30 above by the District's total WFTE to obtain</t>
  </si>
  <si>
    <t>3C.   Divide school's Unweighted FTE (UFTE) total computed in Section 1, cell E30 above by the District's total non-scholarship UFTE to obtain</t>
  </si>
  <si>
    <t>3D.   Divide school's Unweighted FTE (UFTE) total computed in Section 1, cell E30 above by the District's total non-virtual UFTE to obtain</t>
  </si>
  <si>
    <t>3E.   Divide school's Unweighted FTE (UFTE) total computed in Section 1, cell E30 above by the District's total non-scholarship/virtual UFTE to</t>
  </si>
  <si>
    <t>5.   Discretionary Millage Compression Allocation (UFTE share)</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</si>
  <si>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</si>
  <si>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</si>
  <si>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</si>
  <si>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</si>
  <si>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(h)  Numbers entered here will be multiplied by the district level transportation funding per rider. "All Adjusted Fundable Riders" should include both basic and ESE Riders. "All Adjusted ESE Riders" should include only ESE Riders.</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</si>
  <si>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</si>
  <si>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</si>
  <si>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</si>
  <si>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</si>
  <si>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FEFP and categorical funding are recalculated during the year to reflect the revised number of full-time equivalent students reported during the survey periods designated by the Commissioner of Education.</t>
  </si>
  <si>
    <t>WPB-271562</t>
  </si>
  <si>
    <t>Sep Teacher Supplies Retract</t>
  </si>
  <si>
    <t>WPB- 274470</t>
  </si>
  <si>
    <t>July</t>
  </si>
  <si>
    <t>August</t>
  </si>
  <si>
    <t>Sept</t>
  </si>
  <si>
    <t>Oct</t>
  </si>
  <si>
    <t>Nov</t>
  </si>
  <si>
    <t>Dec</t>
  </si>
  <si>
    <t>Jan</t>
  </si>
  <si>
    <t>Feb</t>
  </si>
  <si>
    <t>March</t>
  </si>
  <si>
    <t>April</t>
  </si>
  <si>
    <t>May</t>
  </si>
  <si>
    <t>June</t>
  </si>
  <si>
    <t>rounding diff</t>
  </si>
  <si>
    <t>Payments excluding current month</t>
  </si>
  <si>
    <t>Net Revenue - Previous Pmts</t>
  </si>
  <si>
    <t>Calculated Current Payment</t>
  </si>
  <si>
    <t>Actual Current Payment</t>
  </si>
  <si>
    <t>Cumulative Payments</t>
  </si>
  <si>
    <t>10.  Educational Enrollment Stabilization Program (UFTE Share)</t>
  </si>
  <si>
    <t>11.  Class Size Reduction Funds:</t>
  </si>
  <si>
    <t>12.  Student Transportation</t>
  </si>
  <si>
    <t>13.  Federally Connected Student Supplement</t>
  </si>
  <si>
    <t>13.  Federally Connected Student Supplement (i)</t>
  </si>
  <si>
    <t>15.  Funding for the purpose of calculating the administrative fee for ESE charter schools.</t>
  </si>
  <si>
    <t>15. Total Funding for Calculating the Administrative fee of Charters with More Than 75% ESE Students.</t>
  </si>
  <si>
    <t>15  Funding for the purpose of calculating the administrative fee for ESE charter schools.</t>
  </si>
  <si>
    <t>12.  Food Service Allocation</t>
  </si>
  <si>
    <t>WPB-XXX</t>
  </si>
  <si>
    <t>*Use this for each tab in worksheet, current month is excluded for  calc.</t>
  </si>
  <si>
    <t>Maintenance Portion (5.59% of Base Funding)</t>
  </si>
  <si>
    <t>Maintenance Portion (5.59% of Conference Funding)</t>
  </si>
  <si>
    <t>FEFP Adj</t>
  </si>
  <si>
    <t>Growth Portion (1.07% of Base Funding)</t>
  </si>
  <si>
    <t>Growth Portion (1.07% of Conference Funding)</t>
  </si>
  <si>
    <t>Oct 2024</t>
  </si>
  <si>
    <t>Feb 2025</t>
  </si>
  <si>
    <t>Revenue Estimate Worksheet: The Learning Center Highschool</t>
  </si>
  <si>
    <t>0040</t>
  </si>
  <si>
    <t>0100</t>
  </si>
  <si>
    <t>Revenue Estimate Worksheet: Palm Beach Preparatory Middle School 0040</t>
  </si>
  <si>
    <t>Palm Beach Preparatory Middle School</t>
  </si>
  <si>
    <t>The Learning Center Highschool</t>
  </si>
  <si>
    <t>PALM BEACH PREPARATORY ACADEMY MS</t>
  </si>
  <si>
    <t>THE LEARNING CENTER HS</t>
  </si>
  <si>
    <t>The Learning Center High School</t>
  </si>
  <si>
    <t>Amounts are split out here for informative purposes and for the purposes of providing a total that may be used for calculating the administrative fee.</t>
  </si>
  <si>
    <t>Revenue Estimate Worksheet: Bodwell Academy - 2531</t>
  </si>
  <si>
    <t>Bodwell Academy</t>
  </si>
  <si>
    <t xml:space="preserve">PY Final FEFP </t>
  </si>
  <si>
    <t>WPB-292889</t>
  </si>
  <si>
    <t>WPB-292383</t>
  </si>
  <si>
    <t>WPB-292475</t>
  </si>
  <si>
    <t>f</t>
  </si>
  <si>
    <t>WPB-295674</t>
  </si>
  <si>
    <t>WPB- 297231</t>
  </si>
  <si>
    <t>WPB-297918</t>
  </si>
  <si>
    <t>payment calculation.</t>
  </si>
  <si>
    <t>payment calculations. This report has been uploaded to the District's Charter School Fiscal Oversight web page.</t>
  </si>
  <si>
    <t>NOT PAYING FY 26</t>
  </si>
  <si>
    <t>SIS Fee Reduction</t>
  </si>
  <si>
    <t>Based on Estimates of July 2025 enrollment</t>
  </si>
  <si>
    <t>No payment for August- School closed</t>
  </si>
  <si>
    <r>
      <t xml:space="preserve">August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</si>
  <si>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FTE August 2025</t>
  </si>
  <si>
    <t>Revenue Estimate Worksheet: Imagine Schools -Somerset Academy Avenir</t>
  </si>
  <si>
    <t>August 2025</t>
  </si>
  <si>
    <t>2025-26</t>
  </si>
  <si>
    <t>Maintenance Portion (6.67% of Conference Funding)</t>
  </si>
  <si>
    <t>WPB-303998</t>
  </si>
  <si>
    <t>WPB-303999</t>
  </si>
  <si>
    <t>Related to first payment (July 2025) to 4080 University Prep</t>
  </si>
  <si>
    <t>Growth Portion (0.54% of Conference Funding)</t>
  </si>
  <si>
    <t>Based on the FLDOE 2025-26 FEFP Calculation</t>
  </si>
  <si>
    <t>7.   Mental Health Assistance Allocation (Non-scholarship UFTE share)</t>
  </si>
  <si>
    <t>(d)</t>
  </si>
  <si>
    <t>Additional Funding from the ESE Guaranteed Allocation. Enter the FTE from 111,112 and 113 by grade and matrix level.  Students who do not have a matrix level should be considered 251.  This total should equal all FTE from programs 111, 112 and 113 above, less any 113 gifted FTE.</t>
  </si>
  <si>
    <t>3961 Garden School of Technology is closing for FY 26.</t>
  </si>
  <si>
    <t>4080 University Prep is closed for FY 26</t>
  </si>
  <si>
    <t>3391 Seagull Academy for Independent Living and 2531 Potentials Charter School merged in FY 25 and changed their name to Bodwell Academy</t>
  </si>
  <si>
    <t>Bodwell Academy (formerly - Potentials Charter School)</t>
  </si>
  <si>
    <t>Closed</t>
  </si>
  <si>
    <t xml:space="preserve"> calculation, FY 26.</t>
  </si>
  <si>
    <t>2. The FDOE has issued the 2025-26 second Calc Revenue Worksheet for Charter Schools,  which was used for the August 2025</t>
  </si>
  <si>
    <t>3. The FDOE released the updated May 2025 Survey 3 Transportation information, which was used for the August 2025</t>
  </si>
  <si>
    <t>1. The FLDOE released the October 2024 FTE Survey 2 report on 11/06/24. FTE counts from this report are used for the August 2025</t>
  </si>
  <si>
    <t>University Prep 1st payment - closed after that.</t>
  </si>
  <si>
    <t>Total above</t>
  </si>
  <si>
    <t>Ties to Cumulative Payment Tabs- Column D</t>
  </si>
  <si>
    <t>Somerset Avenir</t>
  </si>
  <si>
    <t>3362 Somerset Avenir opened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</si>
</sst>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7" formatCode="&quot;$&quot;#,##0.00_);\(&quot;$&quot;#,##0.00\)"/>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000"/>
    <numFmt numFmtId="168" formatCode="0.000"/>
    <numFmt numFmtId="169" formatCode="0.0000"/>
    <numFmt numFmtId="170" formatCode="_-&quot;$&quot;* #,##0_-;\-&quot;$&quot;* #,##0_-;_-&quot;$&quot;* &quot;-&quot;??_-;_-@_-"/>
    <numFmt numFmtId="171" formatCode="0."/>
    <numFmt numFmtId="172" formatCode="#,##0.0000\ \ \ _);\(#,##0.0000\)"/>
    <numFmt numFmtId="173" formatCode="_(* #,##0.0000_);_(* \(#,##0.0000\);_(* &quot;-&quot;????_);_(@_)"/>
    <numFmt numFmtId="174" formatCode="#,##0.0000\ \ \ \ \ \ \ \ \ \ _);\(#,##0.0000\ \ \ \ \ \ \ \ \ \ \)"/>
    <numFmt numFmtId="175" formatCode="#,##0.00\ \ \ \ _);\(#,##0.00\)"/>
    <numFmt numFmtId="176" formatCode="#,##0._);\(#,##0.\)"/>
    <numFmt numFmtId="177" formatCode="#,##0;[Red]\(#,##0\)"/>
  </numFmts>
  <fonts count="7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Calibri"/>
      <family val="2"/>
    </font>
    <font>
      <b/>
      <i/>
      <sz val="12"/>
      <name val="Calibri"/>
      <family val="2"/>
    </font>
    <font>
      <b/>
      <u/>
      <sz val="12"/>
      <name val="Calibri"/>
      <family val="2"/>
    </font>
    <font>
      <b/>
      <sz val="12"/>
      <color indexed="30"/>
      <name val="Calibri"/>
      <family val="2"/>
    </font>
    <font>
      <b/>
      <sz val="10"/>
      <name val="Calibri"/>
      <family val="2"/>
    </font>
    <font>
      <b/>
      <sz val="8"/>
      <name val="Arial"/>
      <family val="2"/>
    </font>
    <font>
      <b/>
      <sz val="10"/>
      <color indexed="12"/>
      <name val="Calibri"/>
      <family val="2"/>
    </font>
    <font>
      <sz val="11"/>
      <color theme="1"/>
      <name val="Calibri"/>
      <family val="2"/>
      <scheme val="minor"/>
    </font>
    <font>
      <b/>
      <sz val="16"/>
      <name val="Calibri"/>
      <family val="2"/>
      <scheme val="minor"/>
    </font>
    <font>
      <b/>
      <sz val="12"/>
      <name val="Calibri"/>
      <family val="2"/>
      <scheme val="minor"/>
    </font>
    <font>
      <b/>
      <sz val="12"/>
      <color indexed="12"/>
      <name val="Calibri"/>
      <family val="2"/>
      <scheme val="minor"/>
    </font>
    <font>
      <sz val="12"/>
      <name val="Calibri"/>
      <family val="2"/>
      <scheme val="minor"/>
    </font>
    <font>
      <sz val="10"/>
      <name val="Calibri"/>
      <family val="2"/>
      <scheme val="minor"/>
    </font>
    <font>
      <b/>
      <sz val="10"/>
      <name val="Calibri"/>
      <family val="2"/>
      <scheme val="minor"/>
    </font>
    <font>
      <b/>
      <sz val="12"/>
      <color rgb="FF00B050"/>
      <name val="Calibri"/>
      <family val="2"/>
      <scheme val="minor"/>
    </font>
    <font>
      <b/>
      <sz val="12"/>
      <color rgb="FFFF0000"/>
      <name val="Calibri"/>
      <family val="2"/>
      <scheme val="minor"/>
    </font>
    <font>
      <b/>
      <sz val="12"/>
      <color indexed="10"/>
      <name val="Calibri"/>
      <family val="2"/>
      <scheme val="minor"/>
    </font>
    <font>
      <b/>
      <sz val="12"/>
      <color rgb="FF0000FF"/>
      <name val="Calibri"/>
      <family val="2"/>
      <scheme val="minor"/>
    </font>
    <font>
      <b/>
      <u/>
      <sz val="12"/>
      <name val="Calibri"/>
      <family val="2"/>
      <scheme val="minor"/>
    </font>
    <font>
      <i/>
      <sz val="12"/>
      <name val="Calibri"/>
      <family val="2"/>
      <scheme val="minor"/>
    </font>
    <font>
      <b/>
      <sz val="12"/>
      <color theme="0"/>
      <name val="Calibri"/>
      <family val="2"/>
      <scheme val="minor"/>
    </font>
    <font>
      <sz val="12"/>
      <color rgb="FF0000FF"/>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rgb="FF0000FF"/>
      <name val="Calibri"/>
      <family val="2"/>
      <scheme val="minor"/>
    </font>
    <font>
      <sz val="10"/>
      <color rgb="FF0000FF"/>
      <name val="Calibri"/>
      <family val="2"/>
      <scheme val="minor"/>
    </font>
    <font>
      <b/>
      <i/>
      <sz val="10"/>
      <name val="Calibri"/>
      <family val="2"/>
      <scheme val="minor"/>
    </font>
    <font>
      <b/>
      <sz val="10"/>
      <color rgb="FFFF0000"/>
      <name val="Calibri"/>
      <family val="2"/>
      <scheme val="minor"/>
    </font>
    <font>
      <b/>
      <sz val="8"/>
      <color rgb="FFFFFF00"/>
      <name val="Arial"/>
      <family val="2"/>
    </font>
    <font>
      <b/>
      <u/>
      <sz val="10"/>
      <name val="Calibri"/>
      <family val="2"/>
      <scheme val="minor"/>
    </font>
    <font>
      <sz val="10"/>
      <color rgb="FFFFFF00"/>
      <name val="Calibri"/>
      <family val="2"/>
      <scheme val="minor"/>
    </font>
    <font>
      <b/>
      <sz val="11"/>
      <name val="Calibri"/>
      <family val="2"/>
      <scheme val="minor"/>
    </font>
    <font>
      <b/>
      <sz val="11"/>
      <color indexed="12"/>
      <name val="Calibri"/>
      <family val="2"/>
      <scheme val="minor"/>
    </font>
    <font>
      <i/>
      <sz val="10"/>
      <name val="Calibri"/>
      <family val="2"/>
      <scheme val="minor"/>
    </font>
    <font>
      <sz val="8"/>
      <color rgb="FFFF0000"/>
      <name val="Calibri"/>
      <family val="2"/>
      <scheme val="minor"/>
    </font>
    <font>
      <sz val="8"/>
      <color indexed="10"/>
      <name val="Calibri"/>
      <family val="2"/>
      <scheme val="minor"/>
    </font>
    <font>
      <b/>
      <sz val="8"/>
      <name val="Calibri"/>
      <family val="2"/>
      <scheme val="minor"/>
    </font>
    <font>
      <b/>
      <sz val="9"/>
      <name val="Calibri"/>
      <family val="2"/>
      <scheme val="minor"/>
    </font>
    <font>
      <sz val="12"/>
      <color rgb="FFFF0000"/>
      <name val="Calibri"/>
      <family val="2"/>
      <scheme val="minor"/>
    </font>
    <font>
      <sz val="12"/>
      <color indexed="8"/>
      <name val="Calibri"/>
      <family val="2"/>
      <scheme val="minor"/>
    </font>
    <font>
      <b/>
      <sz val="12"/>
      <color indexed="8"/>
      <name val="Calibri"/>
      <family val="2"/>
      <scheme val="minor"/>
    </font>
    <font>
      <b/>
      <sz val="8"/>
      <color rgb="FFFF0000"/>
      <name val="Calibri"/>
      <family val="2"/>
      <scheme val="minor"/>
    </font>
    <font>
      <b/>
      <sz val="10"/>
      <name val="Times New Roman"/>
      <family val="1"/>
    </font>
    <font>
      <b/>
      <u/>
      <sz val="10"/>
      <name val="Times New Roman"/>
      <family val="1"/>
    </font>
    <font>
      <b/>
      <i/>
      <sz val="10"/>
      <name val="Times New Roman"/>
      <family val="1"/>
    </font>
    <font>
      <b/>
      <sz val="11"/>
      <color theme="1"/>
      <name val="Calibri"/>
      <family val="2"/>
      <scheme val="minor"/>
    </font>
    <font>
      <sz val="10"/>
      <color theme="1"/>
      <name val="Arial"/>
      <family val="2"/>
    </font>
    <font>
      <b/>
      <sz val="10"/>
      <name val="Arial"/>
      <family val="2"/>
    </font>
    <font>
      <b/>
      <sz val="10"/>
      <color theme="1"/>
      <name val="Arial"/>
      <family val="2"/>
    </font>
    <font>
      <sz val="10"/>
      <color rgb="FFFF0000"/>
      <name val="Arial"/>
      <family val="2"/>
    </font>
    <font>
      <b/>
      <sz val="11"/>
      <color rgb="FFFF0000"/>
      <name val="Calibri"/>
      <family val="2"/>
      <scheme val="minor"/>
    </font>
    <font>
      <sz val="11"/>
      <color rgb="FFFF0000"/>
      <name val="Calibri"/>
      <family val="2"/>
      <scheme val="minor"/>
    </font>
    <font>
      <sz val="10"/>
      <color rgb="FFFF0000"/>
      <name val="Arial"/>
      <family val="2"/>
    </font>
    <font>
      <b/>
      <sz val="10"/>
      <color rgb="FFFF0000"/>
      <name val="Arial"/>
      <family val="2"/>
    </font>
    <font>
      <sz val="10"/>
      <color rgb="FFFF0000"/>
      <name val="Calibri"/>
      <family val="2"/>
      <scheme val="minor"/>
    </font>
    <font>
      <sz val="11"/>
      <name val="Calibri"/>
      <family val="2"/>
      <scheme val="minor"/>
    </font>
  </fonts>
  <fills count="14">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66"/>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1"/>
        <bgColor indexed="64"/>
      </patternFill>
    </fill>
    <fill>
      <patternFill patternType="solid">
        <fgColor rgb="FFFFC000"/>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top/>
      <bottom style="double">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14">
    <xf numFmtId="0" fontId="0" fillId="0" borderId="0"/>
    <xf numFmtId="43" fontId="13" fillId="0" borderId="0" applyFont="0" applyFill="0" applyBorder="0" applyAlignment="0" applyProtection="0"/>
    <xf numFmtId="43" fontId="13" fillId="0" borderId="0" applyFont="0" applyFill="0" applyBorder="0" applyAlignment="0" applyProtection="0"/>
    <xf numFmtId="43" fontId="22" fillId="0" borderId="0" applyFont="0" applyFill="0" applyBorder="0" applyAlignment="0" applyProtection="0"/>
    <xf numFmtId="165" fontId="13" fillId="0" borderId="0" applyFont="0" applyFill="0" applyBorder="0" applyAlignment="0" applyProtection="0"/>
    <xf numFmtId="44" fontId="22" fillId="0" borderId="0" applyFont="0" applyFill="0" applyBorder="0" applyAlignment="0" applyProtection="0"/>
    <xf numFmtId="164" fontId="13" fillId="0" borderId="0" applyFont="0" applyFill="0" applyBorder="0" applyAlignment="0" applyProtection="0"/>
    <xf numFmtId="0" fontId="13" fillId="0" borderId="0"/>
    <xf numFmtId="0" fontId="13" fillId="0" borderId="0"/>
    <xf numFmtId="0" fontId="22" fillId="0" borderId="0"/>
    <xf numFmtId="9" fontId="13" fillId="0" borderId="0" applyFont="0" applyFill="0" applyBorder="0" applyAlignment="0" applyProtection="0"/>
    <xf numFmtId="9" fontId="22" fillId="0" borderId="0" applyFont="0" applyFill="0" applyBorder="0" applyAlignment="0" applyProtection="0"/>
    <xf numFmtId="0" fontId="12" fillId="0" borderId="0"/>
    <xf numFmtId="43" fontId="12" fillId="0" borderId="0" applyFont="0" applyFill="0" applyBorder="0" applyAlignment="0" applyProtection="0"/>
  </cellStyleXfs>
  <cellXfs count="903">
    <xf numFmtId="0" fontId="0" fillId="0" borderId="0" xfId="0"/>
    <xf numFmtId="0" fontId="23" fillId="0" borderId="0" xfId="0" quotePrefix="1" applyFont="1" applyAlignment="1">
      <alignment horizontal="left"/>
    </xf>
    <xf numFmtId="0" fontId="23" fillId="0" borderId="0" xfId="0" applyFont="1"/>
    <xf numFmtId="0" fontId="24" fillId="0" borderId="0" xfId="0" applyFont="1"/>
    <xf numFmtId="4" fontId="25" fillId="0" borderId="0" xfId="0" applyNumberFormat="1" applyFont="1"/>
    <xf numFmtId="4" fontId="25" fillId="2" borderId="0" xfId="0" applyNumberFormat="1" applyFont="1" applyFill="1"/>
    <xf numFmtId="4" fontId="25" fillId="2" borderId="0" xfId="0" applyNumberFormat="1" applyFont="1" applyFill="1" applyAlignment="1">
      <alignment horizontal="left"/>
    </xf>
    <xf numFmtId="0" fontId="26" fillId="0" borderId="0" xfId="0" applyFont="1" applyAlignment="1">
      <alignment horizontal="center"/>
    </xf>
    <xf numFmtId="7" fontId="27" fillId="0" borderId="0" xfId="0" applyNumberFormat="1" applyFont="1" applyAlignment="1">
      <alignment horizontal="center"/>
    </xf>
    <xf numFmtId="168" fontId="24" fillId="0" borderId="0" xfId="0" applyNumberFormat="1" applyFont="1" applyAlignment="1">
      <alignment wrapText="1"/>
    </xf>
    <xf numFmtId="4" fontId="24" fillId="0" borderId="0" xfId="0" applyNumberFormat="1" applyFont="1" applyAlignment="1">
      <alignment horizontal="center" wrapText="1"/>
    </xf>
    <xf numFmtId="164" fontId="24" fillId="0" borderId="0" xfId="6" applyFont="1" applyBorder="1" applyAlignment="1">
      <alignment horizontal="center" wrapText="1"/>
    </xf>
    <xf numFmtId="0" fontId="26" fillId="2" borderId="0" xfId="0" applyFont="1" applyFill="1" applyAlignment="1">
      <alignment horizontal="center"/>
    </xf>
    <xf numFmtId="7" fontId="27" fillId="2" borderId="0" xfId="0" applyNumberFormat="1" applyFont="1" applyFill="1" applyAlignment="1">
      <alignment horizontal="center"/>
    </xf>
    <xf numFmtId="168" fontId="24" fillId="2" borderId="0" xfId="0" applyNumberFormat="1" applyFont="1" applyFill="1" applyAlignment="1">
      <alignment wrapText="1"/>
    </xf>
    <xf numFmtId="4" fontId="24" fillId="2" borderId="0" xfId="0" applyNumberFormat="1" applyFont="1" applyFill="1" applyAlignment="1">
      <alignment horizontal="center" wrapText="1"/>
    </xf>
    <xf numFmtId="164" fontId="24" fillId="2" borderId="0" xfId="6" applyFont="1" applyFill="1" applyBorder="1" applyAlignment="1">
      <alignment horizontal="center" wrapText="1"/>
    </xf>
    <xf numFmtId="4" fontId="24" fillId="0" borderId="1" xfId="0" applyNumberFormat="1" applyFont="1" applyBorder="1" applyAlignment="1">
      <alignment horizontal="center" wrapText="1"/>
    </xf>
    <xf numFmtId="4" fontId="24" fillId="2" borderId="1" xfId="0" applyNumberFormat="1" applyFont="1" applyFill="1" applyBorder="1" applyAlignment="1">
      <alignment horizontal="center" wrapText="1"/>
    </xf>
    <xf numFmtId="164" fontId="28" fillId="2" borderId="1" xfId="6" applyFont="1" applyFill="1" applyBorder="1" applyAlignment="1">
      <alignment horizontal="center" wrapText="1"/>
    </xf>
    <xf numFmtId="4" fontId="24" fillId="0" borderId="1" xfId="0" quotePrefix="1" applyNumberFormat="1" applyFont="1" applyBorder="1" applyAlignment="1">
      <alignment horizontal="center"/>
    </xf>
    <xf numFmtId="164" fontId="24" fillId="0" borderId="1" xfId="6" quotePrefix="1" applyFont="1" applyBorder="1" applyAlignment="1">
      <alignment horizontal="center"/>
    </xf>
    <xf numFmtId="4" fontId="24" fillId="2" borderId="1" xfId="0" quotePrefix="1" applyNumberFormat="1" applyFont="1" applyFill="1" applyBorder="1" applyAlignment="1">
      <alignment horizontal="center"/>
    </xf>
    <xf numFmtId="164" fontId="24" fillId="2" borderId="1" xfId="6" quotePrefix="1" applyFont="1" applyFill="1" applyBorder="1" applyAlignment="1">
      <alignment horizontal="center"/>
    </xf>
    <xf numFmtId="170" fontId="24" fillId="0" borderId="0" xfId="6" applyNumberFormat="1" applyFont="1" applyBorder="1" applyAlignment="1">
      <alignment horizontal="center"/>
    </xf>
    <xf numFmtId="170" fontId="24" fillId="2" borderId="0" xfId="6" applyNumberFormat="1" applyFont="1" applyFill="1" applyBorder="1" applyAlignment="1">
      <alignment horizontal="center"/>
    </xf>
    <xf numFmtId="0" fontId="24" fillId="0" borderId="0" xfId="0" applyFont="1" applyAlignment="1">
      <alignment horizontal="right"/>
    </xf>
    <xf numFmtId="2" fontId="24" fillId="0" borderId="0" xfId="0" applyNumberFormat="1" applyFont="1" applyAlignment="1">
      <alignment horizontal="center"/>
    </xf>
    <xf numFmtId="0" fontId="24" fillId="2" borderId="0" xfId="0" applyFont="1" applyFill="1" applyAlignment="1">
      <alignment horizontal="right"/>
    </xf>
    <xf numFmtId="2" fontId="29" fillId="2" borderId="0" xfId="0" applyNumberFormat="1" applyFont="1" applyFill="1" applyAlignment="1">
      <alignment horizontal="center"/>
    </xf>
    <xf numFmtId="2" fontId="24" fillId="2" borderId="0" xfId="0" applyNumberFormat="1" applyFont="1" applyFill="1" applyAlignment="1">
      <alignment horizontal="center"/>
    </xf>
    <xf numFmtId="164" fontId="28" fillId="0" borderId="1" xfId="6" applyFont="1" applyBorder="1" applyAlignment="1">
      <alignment horizontal="center" wrapText="1"/>
    </xf>
    <xf numFmtId="169" fontId="24" fillId="0" borderId="0" xfId="0" applyNumberFormat="1" applyFont="1" applyAlignment="1">
      <alignment horizontal="right"/>
    </xf>
    <xf numFmtId="169" fontId="24" fillId="2" borderId="0" xfId="0" applyNumberFormat="1" applyFont="1" applyFill="1" applyAlignment="1">
      <alignment horizontal="right"/>
    </xf>
    <xf numFmtId="169" fontId="29" fillId="0" borderId="0" xfId="0" applyNumberFormat="1" applyFont="1" applyAlignment="1">
      <alignment horizontal="right"/>
    </xf>
    <xf numFmtId="169" fontId="29" fillId="2" borderId="0" xfId="0" applyNumberFormat="1" applyFont="1" applyFill="1" applyAlignment="1">
      <alignment horizontal="right"/>
    </xf>
    <xf numFmtId="0" fontId="24" fillId="0" borderId="1" xfId="0" applyFont="1" applyBorder="1"/>
    <xf numFmtId="0" fontId="24" fillId="0" borderId="0" xfId="0" applyFont="1" applyAlignment="1">
      <alignment horizontal="center"/>
    </xf>
    <xf numFmtId="0" fontId="24" fillId="2" borderId="0" xfId="0" applyFont="1" applyFill="1" applyAlignment="1">
      <alignment horizontal="center"/>
    </xf>
    <xf numFmtId="0" fontId="24" fillId="0" borderId="0" xfId="0" quotePrefix="1" applyFont="1" applyAlignment="1">
      <alignment horizontal="center"/>
    </xf>
    <xf numFmtId="0" fontId="24" fillId="2" borderId="0" xfId="0" quotePrefix="1" applyFont="1" applyFill="1" applyAlignment="1">
      <alignment horizontal="center"/>
    </xf>
    <xf numFmtId="4" fontId="29" fillId="2" borderId="1" xfId="0" applyNumberFormat="1" applyFont="1" applyFill="1" applyBorder="1" applyAlignment="1">
      <alignment horizontal="center"/>
    </xf>
    <xf numFmtId="0" fontId="26" fillId="0" borderId="0" xfId="0" quotePrefix="1" applyFont="1" applyAlignment="1">
      <alignment horizontal="center"/>
    </xf>
    <xf numFmtId="4" fontId="24" fillId="0" borderId="0" xfId="0" quotePrefix="1" applyNumberFormat="1" applyFont="1" applyAlignment="1">
      <alignment horizontal="center"/>
    </xf>
    <xf numFmtId="4" fontId="24" fillId="2" borderId="0" xfId="0" quotePrefix="1" applyNumberFormat="1" applyFont="1" applyFill="1" applyAlignment="1">
      <alignment horizontal="center"/>
    </xf>
    <xf numFmtId="0" fontId="24" fillId="2" borderId="0" xfId="0" applyFont="1" applyFill="1" applyAlignment="1">
      <alignment horizontal="left"/>
    </xf>
    <xf numFmtId="169" fontId="24" fillId="0" borderId="0" xfId="0" applyNumberFormat="1" applyFont="1" applyAlignment="1">
      <alignment horizontal="center"/>
    </xf>
    <xf numFmtId="169" fontId="24" fillId="2" borderId="0" xfId="0" applyNumberFormat="1" applyFont="1" applyFill="1" applyAlignment="1">
      <alignment horizontal="center"/>
    </xf>
    <xf numFmtId="4" fontId="24" fillId="2" borderId="0" xfId="0" applyNumberFormat="1" applyFont="1" applyFill="1" applyAlignment="1">
      <alignment horizontal="center"/>
    </xf>
    <xf numFmtId="16" fontId="24" fillId="0" borderId="0" xfId="0" quotePrefix="1" applyNumberFormat="1" applyFont="1" applyAlignment="1">
      <alignment horizontal="right"/>
    </xf>
    <xf numFmtId="16" fontId="24" fillId="2" borderId="0" xfId="0" quotePrefix="1" applyNumberFormat="1" applyFont="1" applyFill="1" applyAlignment="1">
      <alignment horizontal="right"/>
    </xf>
    <xf numFmtId="0" fontId="24" fillId="2" borderId="0" xfId="0" applyFont="1" applyFill="1"/>
    <xf numFmtId="0" fontId="24" fillId="0" borderId="0" xfId="0" quotePrefix="1" applyFont="1" applyAlignment="1">
      <alignment horizontal="right"/>
    </xf>
    <xf numFmtId="0" fontId="24" fillId="2" borderId="0" xfId="0" quotePrefix="1" applyFont="1" applyFill="1" applyAlignment="1">
      <alignment horizontal="right"/>
    </xf>
    <xf numFmtId="169" fontId="24" fillId="2" borderId="2" xfId="0" applyNumberFormat="1" applyFont="1" applyFill="1" applyBorder="1" applyAlignment="1">
      <alignment horizontal="center"/>
    </xf>
    <xf numFmtId="165" fontId="24" fillId="0" borderId="0" xfId="4" applyFont="1" applyBorder="1" applyAlignment="1">
      <alignment horizontal="right"/>
    </xf>
    <xf numFmtId="165" fontId="24" fillId="2" borderId="0" xfId="4" applyFont="1" applyFill="1" applyBorder="1" applyAlignment="1">
      <alignment horizontal="right"/>
    </xf>
    <xf numFmtId="169" fontId="24" fillId="2" borderId="3" xfId="0" applyNumberFormat="1" applyFont="1" applyFill="1" applyBorder="1" applyAlignment="1">
      <alignment horizontal="center"/>
    </xf>
    <xf numFmtId="38" fontId="24" fillId="2" borderId="0" xfId="0" quotePrefix="1" applyNumberFormat="1" applyFont="1" applyFill="1"/>
    <xf numFmtId="0" fontId="24" fillId="0" borderId="1" xfId="0" applyFont="1" applyBorder="1" applyAlignment="1">
      <alignment horizontal="center"/>
    </xf>
    <xf numFmtId="0" fontId="24" fillId="2" borderId="1" xfId="0" applyFont="1" applyFill="1" applyBorder="1" applyAlignment="1">
      <alignment horizontal="center"/>
    </xf>
    <xf numFmtId="7" fontId="24" fillId="3" borderId="0" xfId="0" applyNumberFormat="1" applyFont="1" applyFill="1"/>
    <xf numFmtId="7" fontId="24" fillId="2" borderId="0" xfId="0" applyNumberFormat="1" applyFont="1" applyFill="1"/>
    <xf numFmtId="7" fontId="24" fillId="3" borderId="1" xfId="0" applyNumberFormat="1" applyFont="1" applyFill="1" applyBorder="1"/>
    <xf numFmtId="7" fontId="24" fillId="2" borderId="1" xfId="0" applyNumberFormat="1" applyFont="1" applyFill="1" applyBorder="1"/>
    <xf numFmtId="0" fontId="30" fillId="0" borderId="0" xfId="0" applyFont="1"/>
    <xf numFmtId="0" fontId="30" fillId="2" borderId="0" xfId="0" applyFont="1" applyFill="1"/>
    <xf numFmtId="170" fontId="24" fillId="2" borderId="3" xfId="0" applyNumberFormat="1" applyFont="1" applyFill="1" applyBorder="1"/>
    <xf numFmtId="3" fontId="24" fillId="0" borderId="0" xfId="0" quotePrefix="1" applyNumberFormat="1" applyFont="1" applyAlignment="1">
      <alignment horizontal="center"/>
    </xf>
    <xf numFmtId="0" fontId="24" fillId="0" borderId="0" xfId="0" applyFont="1" applyAlignment="1">
      <alignment horizontal="left"/>
    </xf>
    <xf numFmtId="0" fontId="30" fillId="4" borderId="4" xfId="0" applyFont="1" applyFill="1" applyBorder="1" applyAlignment="1">
      <alignment horizontal="center"/>
    </xf>
    <xf numFmtId="0" fontId="28" fillId="2" borderId="0" xfId="0" applyFont="1" applyFill="1"/>
    <xf numFmtId="0" fontId="28" fillId="2" borderId="0" xfId="0" quotePrefix="1" applyFont="1" applyFill="1" applyAlignment="1">
      <alignment horizontal="left"/>
    </xf>
    <xf numFmtId="0" fontId="28" fillId="0" borderId="0" xfId="0" applyFont="1" applyAlignment="1">
      <alignment horizontal="left"/>
    </xf>
    <xf numFmtId="171" fontId="24" fillId="0" borderId="0" xfId="0" applyNumberFormat="1" applyFont="1" applyAlignment="1">
      <alignment horizontal="left"/>
    </xf>
    <xf numFmtId="169" fontId="26" fillId="0" borderId="0" xfId="0" applyNumberFormat="1" applyFont="1"/>
    <xf numFmtId="0" fontId="24" fillId="0" borderId="0" xfId="0" applyFont="1" applyAlignment="1">
      <alignment vertical="center"/>
    </xf>
    <xf numFmtId="170" fontId="24" fillId="0" borderId="0" xfId="0" applyNumberFormat="1" applyFont="1" applyAlignment="1">
      <alignment vertical="center"/>
    </xf>
    <xf numFmtId="171" fontId="24" fillId="0" borderId="0" xfId="0" applyNumberFormat="1" applyFont="1" applyAlignment="1">
      <alignment horizontal="left" vertical="center"/>
    </xf>
    <xf numFmtId="0" fontId="26" fillId="0" borderId="0" xfId="0" applyFont="1" applyAlignment="1">
      <alignment vertical="center"/>
    </xf>
    <xf numFmtId="172" fontId="24" fillId="0" borderId="0" xfId="0" applyNumberFormat="1" applyFont="1"/>
    <xf numFmtId="0" fontId="24" fillId="0" borderId="0" xfId="0" quotePrefix="1" applyFont="1" applyAlignment="1">
      <alignment horizontal="left"/>
    </xf>
    <xf numFmtId="0" fontId="31" fillId="0" borderId="3" xfId="0" applyFont="1" applyBorder="1"/>
    <xf numFmtId="4" fontId="24" fillId="2" borderId="0" xfId="0" applyNumberFormat="1" applyFont="1" applyFill="1" applyAlignment="1">
      <alignment horizontal="left"/>
    </xf>
    <xf numFmtId="0" fontId="26" fillId="0" borderId="0" xfId="0" quotePrefix="1" applyFont="1"/>
    <xf numFmtId="0" fontId="26" fillId="0" borderId="0" xfId="0" quotePrefix="1" applyFont="1" applyAlignment="1">
      <alignment horizontal="right"/>
    </xf>
    <xf numFmtId="49" fontId="26" fillId="0" borderId="0" xfId="0" applyNumberFormat="1" applyFont="1"/>
    <xf numFmtId="49" fontId="26" fillId="0" borderId="0" xfId="0" applyNumberFormat="1" applyFont="1" applyProtection="1">
      <protection locked="0"/>
    </xf>
    <xf numFmtId="7" fontId="30" fillId="0" borderId="0" xfId="0" quotePrefix="1" applyNumberFormat="1" applyFont="1" applyAlignment="1">
      <alignment horizontal="center"/>
    </xf>
    <xf numFmtId="7" fontId="30" fillId="0" borderId="0" xfId="0" applyNumberFormat="1" applyFont="1" applyAlignment="1">
      <alignment horizontal="center"/>
    </xf>
    <xf numFmtId="0" fontId="30" fillId="0" borderId="1" xfId="0" applyFont="1" applyBorder="1" applyAlignment="1">
      <alignment horizontal="center"/>
    </xf>
    <xf numFmtId="0" fontId="31" fillId="0" borderId="1" xfId="0" quotePrefix="1" applyFont="1" applyBorder="1"/>
    <xf numFmtId="0" fontId="24" fillId="0" borderId="1" xfId="0" quotePrefix="1" applyFont="1" applyBorder="1" applyAlignment="1">
      <alignment horizontal="center"/>
    </xf>
    <xf numFmtId="172" fontId="24" fillId="0" borderId="1" xfId="0" applyNumberFormat="1" applyFont="1" applyBorder="1"/>
    <xf numFmtId="43" fontId="24" fillId="0" borderId="1" xfId="1" applyFont="1" applyBorder="1" applyAlignment="1"/>
    <xf numFmtId="167" fontId="24" fillId="2" borderId="1" xfId="0" applyNumberFormat="1" applyFont="1" applyFill="1" applyBorder="1"/>
    <xf numFmtId="170" fontId="24" fillId="2" borderId="1" xfId="6" applyNumberFormat="1" applyFont="1" applyFill="1" applyBorder="1" applyAlignment="1"/>
    <xf numFmtId="43" fontId="24" fillId="0" borderId="5" xfId="1" applyFont="1" applyBorder="1" applyAlignment="1"/>
    <xf numFmtId="170" fontId="24" fillId="2" borderId="5" xfId="6" applyNumberFormat="1" applyFont="1" applyFill="1" applyBorder="1" applyAlignment="1"/>
    <xf numFmtId="172" fontId="24" fillId="0" borderId="5" xfId="0" applyNumberFormat="1" applyFont="1" applyBorder="1"/>
    <xf numFmtId="169" fontId="24" fillId="2" borderId="5" xfId="0" applyNumberFormat="1" applyFont="1" applyFill="1" applyBorder="1"/>
    <xf numFmtId="43" fontId="24" fillId="0" borderId="0" xfId="1" applyFont="1" applyBorder="1" applyAlignment="1"/>
    <xf numFmtId="169" fontId="24" fillId="2" borderId="0" xfId="0" applyNumberFormat="1" applyFont="1" applyFill="1"/>
    <xf numFmtId="170" fontId="24" fillId="2" borderId="0" xfId="6" applyNumberFormat="1" applyFont="1" applyFill="1" applyBorder="1" applyAlignment="1"/>
    <xf numFmtId="169" fontId="24" fillId="0" borderId="0" xfId="0" applyNumberFormat="1" applyFont="1"/>
    <xf numFmtId="2" fontId="30" fillId="0" borderId="1" xfId="0" applyNumberFormat="1" applyFont="1" applyBorder="1"/>
    <xf numFmtId="2" fontId="24" fillId="0" borderId="0" xfId="0" applyNumberFormat="1" applyFont="1"/>
    <xf numFmtId="2" fontId="24" fillId="0" borderId="0" xfId="0" quotePrefix="1" applyNumberFormat="1" applyFont="1" applyAlignment="1">
      <alignment horizontal="right"/>
    </xf>
    <xf numFmtId="170" fontId="24" fillId="2" borderId="3" xfId="6" applyNumberFormat="1" applyFont="1" applyFill="1" applyBorder="1" applyAlignment="1"/>
    <xf numFmtId="2" fontId="24" fillId="0" borderId="0" xfId="0" quotePrefix="1" applyNumberFormat="1" applyFont="1" applyAlignment="1">
      <alignment horizontal="center"/>
    </xf>
    <xf numFmtId="43" fontId="32" fillId="4" borderId="1" xfId="1" applyFont="1" applyFill="1" applyBorder="1" applyAlignment="1"/>
    <xf numFmtId="43" fontId="24" fillId="0" borderId="6" xfId="1" applyFont="1" applyBorder="1" applyAlignment="1"/>
    <xf numFmtId="43" fontId="29" fillId="0" borderId="1" xfId="1" applyFont="1" applyBorder="1" applyAlignment="1">
      <alignment horizontal="center"/>
    </xf>
    <xf numFmtId="4" fontId="33" fillId="0" borderId="0" xfId="0" applyNumberFormat="1" applyFont="1"/>
    <xf numFmtId="166" fontId="29" fillId="0" borderId="0" xfId="0" applyNumberFormat="1" applyFont="1" applyAlignment="1">
      <alignment horizontal="center"/>
    </xf>
    <xf numFmtId="166" fontId="29" fillId="0" borderId="0" xfId="0" applyNumberFormat="1" applyFont="1"/>
    <xf numFmtId="43" fontId="24" fillId="0" borderId="0" xfId="1" applyFont="1" applyFill="1" applyBorder="1" applyAlignment="1"/>
    <xf numFmtId="41" fontId="24" fillId="0" borderId="0" xfId="1" applyNumberFormat="1" applyFont="1" applyFill="1" applyBorder="1" applyAlignment="1"/>
    <xf numFmtId="0" fontId="33" fillId="0" borderId="0" xfId="0" applyFont="1"/>
    <xf numFmtId="0" fontId="33" fillId="0" borderId="0" xfId="0" quotePrefix="1" applyFont="1" applyAlignment="1">
      <alignment horizontal="left"/>
    </xf>
    <xf numFmtId="4" fontId="24" fillId="0" borderId="1" xfId="0" applyNumberFormat="1" applyFont="1" applyBorder="1" applyAlignment="1">
      <alignment horizontal="center"/>
    </xf>
    <xf numFmtId="4" fontId="24" fillId="0" borderId="0" xfId="0" applyNumberFormat="1" applyFont="1"/>
    <xf numFmtId="165" fontId="24" fillId="0" borderId="0" xfId="4" quotePrefix="1" applyFont="1" applyBorder="1" applyAlignment="1">
      <alignment horizontal="right"/>
    </xf>
    <xf numFmtId="165" fontId="24" fillId="0" borderId="0" xfId="4" applyFont="1" applyBorder="1" applyAlignment="1"/>
    <xf numFmtId="165" fontId="24" fillId="0" borderId="7" xfId="4" quotePrefix="1" applyFont="1" applyBorder="1" applyAlignment="1">
      <alignment horizontal="right"/>
    </xf>
    <xf numFmtId="4" fontId="24" fillId="2" borderId="0" xfId="0" quotePrefix="1" applyNumberFormat="1" applyFont="1" applyFill="1" applyAlignment="1">
      <alignment horizontal="left"/>
    </xf>
    <xf numFmtId="4" fontId="24" fillId="0" borderId="0" xfId="0" applyNumberFormat="1" applyFont="1" applyAlignment="1">
      <alignment horizontal="center"/>
    </xf>
    <xf numFmtId="0" fontId="30" fillId="0" borderId="0" xfId="0" applyFont="1" applyAlignment="1">
      <alignment horizontal="right"/>
    </xf>
    <xf numFmtId="4" fontId="24" fillId="0" borderId="0" xfId="0" applyNumberFormat="1" applyFont="1" applyAlignment="1">
      <alignment horizontal="left"/>
    </xf>
    <xf numFmtId="38" fontId="24" fillId="0" borderId="0" xfId="0" quotePrefix="1" applyNumberFormat="1" applyFont="1"/>
    <xf numFmtId="0" fontId="30" fillId="2" borderId="0" xfId="0" applyFont="1" applyFill="1" applyAlignment="1">
      <alignment horizontal="right"/>
    </xf>
    <xf numFmtId="0" fontId="30" fillId="2" borderId="0" xfId="0" applyFont="1" applyFill="1" applyAlignment="1">
      <alignment horizontal="center"/>
    </xf>
    <xf numFmtId="170" fontId="24" fillId="2" borderId="8" xfId="0" applyNumberFormat="1" applyFont="1" applyFill="1" applyBorder="1"/>
    <xf numFmtId="43" fontId="24" fillId="0" borderId="8" xfId="1" applyFont="1" applyBorder="1" applyAlignment="1"/>
    <xf numFmtId="170" fontId="24" fillId="0" borderId="0" xfId="0" applyNumberFormat="1" applyFont="1"/>
    <xf numFmtId="0" fontId="26" fillId="0" borderId="0" xfId="0" applyFont="1"/>
    <xf numFmtId="43" fontId="24" fillId="4" borderId="1" xfId="1" applyFont="1" applyFill="1" applyBorder="1" applyAlignment="1"/>
    <xf numFmtId="7" fontId="24" fillId="0" borderId="0" xfId="0" applyNumberFormat="1" applyFont="1" applyAlignment="1">
      <alignment horizontal="center"/>
    </xf>
    <xf numFmtId="170" fontId="24" fillId="2" borderId="0" xfId="0" applyNumberFormat="1" applyFont="1" applyFill="1"/>
    <xf numFmtId="0" fontId="35" fillId="0" borderId="0" xfId="0" applyFont="1"/>
    <xf numFmtId="0" fontId="32" fillId="0" borderId="0" xfId="0" applyFont="1" applyAlignment="1">
      <alignment horizontal="center"/>
    </xf>
    <xf numFmtId="43" fontId="32" fillId="4" borderId="6" xfId="1" applyFont="1" applyFill="1" applyBorder="1" applyAlignment="1"/>
    <xf numFmtId="43" fontId="24" fillId="4" borderId="6" xfId="1" applyFont="1" applyFill="1" applyBorder="1" applyAlignment="1"/>
    <xf numFmtId="43" fontId="32" fillId="4" borderId="0" xfId="1" applyFont="1" applyFill="1" applyBorder="1" applyAlignment="1"/>
    <xf numFmtId="43" fontId="24" fillId="4" borderId="0" xfId="1" applyFont="1" applyFill="1" applyBorder="1" applyAlignment="1"/>
    <xf numFmtId="172" fontId="24" fillId="0" borderId="6" xfId="0" applyNumberFormat="1" applyFont="1" applyBorder="1"/>
    <xf numFmtId="0" fontId="24" fillId="0" borderId="0" xfId="0" applyFont="1" applyAlignment="1">
      <alignment horizontal="left" indent="1"/>
    </xf>
    <xf numFmtId="43" fontId="36" fillId="4" borderId="6" xfId="1" applyFont="1" applyFill="1" applyBorder="1" applyAlignment="1"/>
    <xf numFmtId="4" fontId="30" fillId="0" borderId="6" xfId="0" applyNumberFormat="1" applyFont="1" applyBorder="1"/>
    <xf numFmtId="43" fontId="36" fillId="4" borderId="1" xfId="1" applyFont="1" applyFill="1" applyBorder="1" applyAlignment="1"/>
    <xf numFmtId="43" fontId="36" fillId="4" borderId="0" xfId="1" applyFont="1" applyFill="1" applyBorder="1" applyAlignment="1"/>
    <xf numFmtId="4" fontId="30" fillId="0" borderId="0" xfId="0" applyNumberFormat="1" applyFont="1"/>
    <xf numFmtId="173" fontId="24" fillId="0" borderId="9" xfId="1" applyNumberFormat="1" applyFont="1" applyBorder="1" applyAlignment="1"/>
    <xf numFmtId="41" fontId="24" fillId="0" borderId="0" xfId="1" applyNumberFormat="1" applyFont="1" applyBorder="1" applyAlignment="1"/>
    <xf numFmtId="43" fontId="24" fillId="0" borderId="1" xfId="1" applyFont="1" applyFill="1" applyBorder="1" applyAlignment="1"/>
    <xf numFmtId="43" fontId="24" fillId="5" borderId="8" xfId="1" applyFont="1" applyFill="1" applyBorder="1" applyAlignment="1"/>
    <xf numFmtId="0" fontId="24" fillId="0" borderId="0" xfId="0" applyFont="1" applyAlignment="1">
      <alignment horizontal="left" indent="2"/>
    </xf>
    <xf numFmtId="0" fontId="24" fillId="0" borderId="0" xfId="7" applyFont="1"/>
    <xf numFmtId="0" fontId="37" fillId="0" borderId="0" xfId="9" applyFont="1"/>
    <xf numFmtId="0" fontId="32" fillId="0" borderId="10" xfId="9" applyFont="1" applyBorder="1" applyAlignment="1">
      <alignment horizontal="right"/>
    </xf>
    <xf numFmtId="0" fontId="30" fillId="0" borderId="11" xfId="9" applyFont="1" applyBorder="1"/>
    <xf numFmtId="0" fontId="24" fillId="0" borderId="0" xfId="9" applyFont="1"/>
    <xf numFmtId="0" fontId="38" fillId="0" borderId="0" xfId="9" applyFont="1"/>
    <xf numFmtId="0" fontId="30" fillId="0" borderId="1" xfId="9" applyFont="1" applyBorder="1" applyAlignment="1">
      <alignment horizontal="center"/>
    </xf>
    <xf numFmtId="0" fontId="38" fillId="0" borderId="10" xfId="9" applyFont="1" applyBorder="1"/>
    <xf numFmtId="0" fontId="38" fillId="0" borderId="11" xfId="9" applyFont="1" applyBorder="1" applyAlignment="1">
      <alignment horizontal="center"/>
    </xf>
    <xf numFmtId="44" fontId="37" fillId="0" borderId="0" xfId="9" applyNumberFormat="1" applyFont="1"/>
    <xf numFmtId="0" fontId="38" fillId="0" borderId="0" xfId="9" applyFont="1" applyAlignment="1">
      <alignment horizontal="right"/>
    </xf>
    <xf numFmtId="43" fontId="30" fillId="0" borderId="1" xfId="3" applyFont="1" applyBorder="1"/>
    <xf numFmtId="9" fontId="26" fillId="0" borderId="1" xfId="11" applyFont="1" applyBorder="1"/>
    <xf numFmtId="43" fontId="26" fillId="0" borderId="1" xfId="3" applyFont="1" applyBorder="1"/>
    <xf numFmtId="49" fontId="23" fillId="0" borderId="0" xfId="9" quotePrefix="1" applyNumberFormat="1" applyFont="1" applyAlignment="1">
      <alignment horizontal="left"/>
    </xf>
    <xf numFmtId="0" fontId="24" fillId="0" borderId="0" xfId="7" quotePrefix="1" applyFont="1" applyAlignment="1">
      <alignment horizontal="left"/>
    </xf>
    <xf numFmtId="0" fontId="38" fillId="0" borderId="0" xfId="9" quotePrefix="1" applyFont="1" applyAlignment="1">
      <alignment horizontal="left"/>
    </xf>
    <xf numFmtId="43" fontId="38" fillId="0" borderId="5" xfId="1" applyFont="1" applyBorder="1"/>
    <xf numFmtId="43" fontId="24" fillId="0" borderId="0" xfId="1" quotePrefix="1" applyFont="1" applyBorder="1" applyAlignment="1"/>
    <xf numFmtId="43" fontId="38" fillId="0" borderId="0" xfId="1" applyFont="1" applyBorder="1"/>
    <xf numFmtId="41" fontId="38" fillId="0" borderId="5" xfId="1" applyNumberFormat="1" applyFont="1" applyBorder="1"/>
    <xf numFmtId="41" fontId="38" fillId="0" borderId="0" xfId="1" applyNumberFormat="1" applyFont="1" applyBorder="1"/>
    <xf numFmtId="41" fontId="38" fillId="0" borderId="1" xfId="1" applyNumberFormat="1" applyFont="1" applyBorder="1"/>
    <xf numFmtId="0" fontId="32" fillId="0" borderId="5" xfId="9" applyFont="1" applyBorder="1" applyAlignment="1">
      <alignment horizontal="right"/>
    </xf>
    <xf numFmtId="0" fontId="38" fillId="0" borderId="5" xfId="9" applyFont="1" applyBorder="1"/>
    <xf numFmtId="43" fontId="30" fillId="0" borderId="0" xfId="3" applyFont="1" applyBorder="1"/>
    <xf numFmtId="43" fontId="37" fillId="0" borderId="0" xfId="1" applyFont="1"/>
    <xf numFmtId="0" fontId="38" fillId="0" borderId="0" xfId="9" quotePrefix="1" applyFont="1" applyAlignment="1">
      <alignment horizontal="left" indent="1"/>
    </xf>
    <xf numFmtId="0" fontId="37" fillId="0" borderId="0" xfId="9" quotePrefix="1" applyFont="1" applyAlignment="1">
      <alignment horizontal="left"/>
    </xf>
    <xf numFmtId="43" fontId="37" fillId="0" borderId="0" xfId="1" applyFont="1" applyBorder="1"/>
    <xf numFmtId="43" fontId="24" fillId="0" borderId="6" xfId="1" applyFont="1" applyFill="1" applyBorder="1" applyAlignment="1"/>
    <xf numFmtId="0" fontId="27" fillId="0" borderId="0" xfId="0" applyFont="1"/>
    <xf numFmtId="0" fontId="27" fillId="0" borderId="0" xfId="0" applyFont="1" applyAlignment="1">
      <alignment horizontal="left"/>
    </xf>
    <xf numFmtId="1" fontId="27" fillId="0" borderId="0" xfId="0" applyNumberFormat="1" applyFont="1" applyAlignment="1">
      <alignment horizontal="center"/>
    </xf>
    <xf numFmtId="0" fontId="27" fillId="0" borderId="0" xfId="0" applyFont="1" applyAlignment="1">
      <alignment horizontal="center"/>
    </xf>
    <xf numFmtId="1" fontId="28" fillId="0" borderId="4" xfId="0" applyNumberFormat="1" applyFont="1" applyBorder="1" applyAlignment="1">
      <alignment horizontal="center"/>
    </xf>
    <xf numFmtId="0" fontId="28" fillId="0" borderId="10" xfId="0" applyFont="1" applyBorder="1" applyAlignment="1">
      <alignment horizontal="center"/>
    </xf>
    <xf numFmtId="0" fontId="28" fillId="0" borderId="0" xfId="0" applyFont="1" applyAlignment="1">
      <alignment horizontal="center"/>
    </xf>
    <xf numFmtId="1" fontId="27" fillId="0" borderId="0" xfId="7" applyNumberFormat="1" applyFont="1" applyAlignment="1">
      <alignment horizontal="center"/>
    </xf>
    <xf numFmtId="0" fontId="27" fillId="0" borderId="0" xfId="0" quotePrefix="1" applyFont="1"/>
    <xf numFmtId="43" fontId="27" fillId="0" borderId="0" xfId="7" applyNumberFormat="1" applyFont="1"/>
    <xf numFmtId="0" fontId="28" fillId="4" borderId="0" xfId="0" applyFont="1" applyFill="1" applyAlignment="1">
      <alignment horizontal="center"/>
    </xf>
    <xf numFmtId="1" fontId="27" fillId="4" borderId="0" xfId="7" applyNumberFormat="1" applyFont="1" applyFill="1" applyAlignment="1">
      <alignment horizontal="center"/>
    </xf>
    <xf numFmtId="43" fontId="27" fillId="4" borderId="0" xfId="7" applyNumberFormat="1" applyFont="1" applyFill="1"/>
    <xf numFmtId="43" fontId="27" fillId="0" borderId="0" xfId="0" applyNumberFormat="1" applyFont="1"/>
    <xf numFmtId="43" fontId="27" fillId="0" borderId="9" xfId="0" applyNumberFormat="1" applyFont="1" applyBorder="1"/>
    <xf numFmtId="49" fontId="28" fillId="0" borderId="0" xfId="2" quotePrefix="1" applyNumberFormat="1" applyFont="1" applyAlignment="1">
      <alignment horizontal="left"/>
    </xf>
    <xf numFmtId="0" fontId="28" fillId="0" borderId="0" xfId="7" applyFont="1"/>
    <xf numFmtId="49" fontId="28" fillId="0" borderId="0" xfId="7" applyNumberFormat="1" applyFont="1" applyAlignment="1">
      <alignment horizontal="left"/>
    </xf>
    <xf numFmtId="49" fontId="28" fillId="0" borderId="0" xfId="2" applyNumberFormat="1" applyFont="1" applyAlignment="1">
      <alignment horizontal="left"/>
    </xf>
    <xf numFmtId="49" fontId="28" fillId="0" borderId="4" xfId="7" quotePrefix="1" applyNumberFormat="1" applyFont="1" applyBorder="1" applyAlignment="1">
      <alignment horizontal="center"/>
    </xf>
    <xf numFmtId="0" fontId="28" fillId="0" borderId="4" xfId="7" quotePrefix="1" applyFont="1" applyBorder="1" applyAlignment="1">
      <alignment horizontal="center"/>
    </xf>
    <xf numFmtId="49" fontId="39" fillId="0" borderId="0" xfId="7" quotePrefix="1" applyNumberFormat="1" applyFont="1" applyAlignment="1">
      <alignment horizontal="center" vertical="center"/>
    </xf>
    <xf numFmtId="177" fontId="39" fillId="0" borderId="0" xfId="7" quotePrefix="1" applyNumberFormat="1" applyFont="1" applyAlignment="1">
      <alignment horizontal="left"/>
    </xf>
    <xf numFmtId="177" fontId="39" fillId="0" borderId="0" xfId="7" applyNumberFormat="1" applyFont="1"/>
    <xf numFmtId="0" fontId="27" fillId="0" borderId="0" xfId="7" applyFont="1"/>
    <xf numFmtId="49" fontId="39" fillId="0" borderId="0" xfId="7" applyNumberFormat="1" applyFont="1" applyAlignment="1">
      <alignment horizontal="center" vertical="center"/>
    </xf>
    <xf numFmtId="0" fontId="27" fillId="0" borderId="0" xfId="7" quotePrefix="1" applyFont="1" applyAlignment="1">
      <alignment horizontal="left"/>
    </xf>
    <xf numFmtId="176" fontId="27" fillId="0" borderId="0" xfId="0" applyNumberFormat="1" applyFont="1"/>
    <xf numFmtId="1" fontId="28" fillId="0" borderId="0" xfId="0" quotePrefix="1" applyNumberFormat="1" applyFont="1"/>
    <xf numFmtId="1" fontId="27" fillId="0" borderId="0" xfId="0" applyNumberFormat="1" applyFont="1"/>
    <xf numFmtId="1" fontId="27" fillId="0" borderId="0" xfId="7" applyNumberFormat="1" applyFont="1"/>
    <xf numFmtId="1" fontId="27" fillId="4" borderId="0" xfId="7" applyNumberFormat="1" applyFont="1" applyFill="1"/>
    <xf numFmtId="1" fontId="28" fillId="0" borderId="10" xfId="0" applyNumberFormat="1" applyFont="1" applyBorder="1" applyAlignment="1">
      <alignment horizontal="center"/>
    </xf>
    <xf numFmtId="7" fontId="26" fillId="0" borderId="0" xfId="0" applyNumberFormat="1" applyFont="1" applyAlignment="1">
      <alignment horizontal="left"/>
    </xf>
    <xf numFmtId="169" fontId="26" fillId="0" borderId="0" xfId="0" applyNumberFormat="1" applyFont="1" applyAlignment="1">
      <alignment horizontal="center"/>
    </xf>
    <xf numFmtId="7" fontId="24" fillId="0" borderId="0" xfId="0" applyNumberFormat="1" applyFont="1"/>
    <xf numFmtId="7" fontId="24" fillId="0" borderId="1" xfId="0" applyNumberFormat="1" applyFont="1" applyBorder="1"/>
    <xf numFmtId="4" fontId="24" fillId="0" borderId="2" xfId="0" applyNumberFormat="1" applyFont="1" applyBorder="1"/>
    <xf numFmtId="4" fontId="25" fillId="0" borderId="2" xfId="0" applyNumberFormat="1" applyFont="1" applyBorder="1" applyAlignment="1">
      <alignment horizontal="left"/>
    </xf>
    <xf numFmtId="4" fontId="25" fillId="0" borderId="2" xfId="0" applyNumberFormat="1" applyFont="1" applyBorder="1"/>
    <xf numFmtId="1" fontId="27" fillId="4" borderId="0" xfId="7" applyNumberFormat="1" applyFont="1" applyFill="1" applyAlignment="1">
      <alignment horizontal="left" indent="1"/>
    </xf>
    <xf numFmtId="0" fontId="28" fillId="0" borderId="0" xfId="0" quotePrefix="1" applyFont="1" applyAlignment="1">
      <alignment horizontal="center"/>
    </xf>
    <xf numFmtId="1" fontId="27" fillId="0" borderId="0" xfId="7" applyNumberFormat="1" applyFont="1" applyAlignment="1">
      <alignment horizontal="left" indent="1"/>
    </xf>
    <xf numFmtId="0" fontId="27" fillId="0" borderId="0" xfId="0" quotePrefix="1" applyFont="1" applyAlignment="1">
      <alignment horizontal="left" indent="1"/>
    </xf>
    <xf numFmtId="0" fontId="27" fillId="4" borderId="0" xfId="0" quotePrefix="1" applyFont="1" applyFill="1" applyAlignment="1">
      <alignment horizontal="left" indent="1"/>
    </xf>
    <xf numFmtId="0" fontId="28" fillId="0" borderId="4" xfId="0" applyFont="1" applyBorder="1" applyAlignment="1">
      <alignment horizontal="center"/>
    </xf>
    <xf numFmtId="4" fontId="25" fillId="0" borderId="0" xfId="0" applyNumberFormat="1" applyFont="1" applyAlignment="1">
      <alignment horizontal="left"/>
    </xf>
    <xf numFmtId="4" fontId="24" fillId="0" borderId="2" xfId="0" applyNumberFormat="1" applyFont="1" applyBorder="1" applyAlignment="1">
      <alignment horizontal="left"/>
    </xf>
    <xf numFmtId="43" fontId="24" fillId="0" borderId="0" xfId="0" applyNumberFormat="1" applyFont="1"/>
    <xf numFmtId="1" fontId="40" fillId="0" borderId="0" xfId="0" quotePrefix="1" applyNumberFormat="1" applyFont="1" applyAlignment="1">
      <alignment horizontal="left"/>
    </xf>
    <xf numFmtId="43" fontId="27" fillId="0" borderId="0" xfId="1" applyFont="1"/>
    <xf numFmtId="43" fontId="28" fillId="0" borderId="0" xfId="1" quotePrefix="1" applyFont="1" applyFill="1" applyBorder="1" applyAlignment="1">
      <alignment horizontal="center"/>
    </xf>
    <xf numFmtId="43" fontId="27" fillId="0" borderId="0" xfId="1" applyFont="1" applyFill="1" applyBorder="1" applyAlignment="1"/>
    <xf numFmtId="0" fontId="27" fillId="0" borderId="0" xfId="0" quotePrefix="1" applyFont="1" applyAlignment="1">
      <alignment horizontal="left"/>
    </xf>
    <xf numFmtId="0" fontId="27" fillId="0" borderId="0" xfId="0" quotePrefix="1" applyFont="1" applyAlignment="1">
      <alignment horizontal="center"/>
    </xf>
    <xf numFmtId="0" fontId="28" fillId="0" borderId="0" xfId="0" quotePrefix="1" applyFont="1" applyAlignment="1">
      <alignment vertical="center"/>
    </xf>
    <xf numFmtId="41" fontId="32" fillId="0" borderId="0" xfId="1" applyNumberFormat="1" applyFont="1" applyFill="1" applyBorder="1"/>
    <xf numFmtId="43" fontId="32" fillId="0" borderId="1" xfId="1" quotePrefix="1" applyFont="1" applyBorder="1" applyAlignment="1"/>
    <xf numFmtId="43" fontId="36" fillId="0" borderId="0" xfId="9" applyNumberFormat="1" applyFont="1"/>
    <xf numFmtId="43" fontId="36" fillId="0" borderId="1" xfId="9" applyNumberFormat="1" applyFont="1" applyBorder="1"/>
    <xf numFmtId="0" fontId="26" fillId="0" borderId="0" xfId="0" quotePrefix="1" applyFont="1" applyAlignment="1">
      <alignment horizontal="left"/>
    </xf>
    <xf numFmtId="43" fontId="32" fillId="0" borderId="1" xfId="1" applyFont="1" applyBorder="1"/>
    <xf numFmtId="16" fontId="24" fillId="0" borderId="0" xfId="0" applyNumberFormat="1" applyFont="1"/>
    <xf numFmtId="0" fontId="28" fillId="0" borderId="0" xfId="0" applyFont="1"/>
    <xf numFmtId="0" fontId="28" fillId="0" borderId="0" xfId="0" quotePrefix="1" applyFont="1" applyAlignment="1">
      <alignment horizontal="left" indent="4"/>
    </xf>
    <xf numFmtId="0" fontId="32" fillId="0" borderId="0" xfId="0" quotePrefix="1" applyFont="1" applyAlignment="1">
      <alignment horizontal="left"/>
    </xf>
    <xf numFmtId="0" fontId="32" fillId="0" borderId="0" xfId="0" applyFont="1"/>
    <xf numFmtId="0" fontId="32" fillId="0" borderId="0" xfId="0" quotePrefix="1" applyFont="1" applyAlignment="1">
      <alignment horizontal="left" indent="4"/>
    </xf>
    <xf numFmtId="0" fontId="24" fillId="4" borderId="4" xfId="0" applyFont="1" applyFill="1" applyBorder="1" applyAlignment="1">
      <alignment horizontal="left"/>
    </xf>
    <xf numFmtId="0" fontId="24" fillId="4" borderId="4" xfId="0" applyFont="1" applyFill="1" applyBorder="1" applyAlignment="1">
      <alignment horizontal="center"/>
    </xf>
    <xf numFmtId="0" fontId="38" fillId="0" borderId="0" xfId="9" quotePrefix="1" applyFont="1" applyAlignment="1">
      <alignment horizontal="right"/>
    </xf>
    <xf numFmtId="43" fontId="41" fillId="0" borderId="0" xfId="1" applyFont="1"/>
    <xf numFmtId="0" fontId="41" fillId="0" borderId="0" xfId="0" applyFont="1"/>
    <xf numFmtId="1" fontId="27" fillId="0" borderId="0" xfId="7" quotePrefix="1" applyNumberFormat="1" applyFont="1" applyAlignment="1">
      <alignment horizontal="left"/>
    </xf>
    <xf numFmtId="1" fontId="27" fillId="4" borderId="0" xfId="7" quotePrefix="1" applyNumberFormat="1" applyFont="1" applyFill="1" applyAlignment="1">
      <alignment horizontal="left"/>
    </xf>
    <xf numFmtId="1" fontId="27" fillId="0" borderId="0" xfId="2" applyNumberFormat="1" applyFont="1" applyFill="1" applyBorder="1" applyAlignment="1">
      <alignment horizontal="center"/>
    </xf>
    <xf numFmtId="1" fontId="27" fillId="0" borderId="0" xfId="2" applyNumberFormat="1" applyFont="1" applyFill="1" applyBorder="1" applyAlignment="1"/>
    <xf numFmtId="1" fontId="27" fillId="0" borderId="0" xfId="2" quotePrefix="1" applyNumberFormat="1" applyFont="1" applyFill="1" applyBorder="1" applyAlignment="1">
      <alignment horizontal="left"/>
    </xf>
    <xf numFmtId="43" fontId="24" fillId="0" borderId="0" xfId="1" applyFont="1" applyBorder="1" applyAlignment="1">
      <alignment horizontal="center"/>
    </xf>
    <xf numFmtId="43" fontId="32" fillId="0" borderId="0" xfId="1" applyFont="1" applyBorder="1"/>
    <xf numFmtId="43" fontId="24" fillId="5" borderId="9" xfId="1" applyFont="1" applyFill="1" applyBorder="1" applyAlignment="1"/>
    <xf numFmtId="0" fontId="27" fillId="0" borderId="0" xfId="0" quotePrefix="1" applyFont="1" applyAlignment="1">
      <alignment horizontal="right"/>
    </xf>
    <xf numFmtId="43" fontId="28" fillId="0" borderId="4" xfId="1" quotePrefix="1" applyFont="1" applyFill="1" applyBorder="1" applyAlignment="1">
      <alignment horizontal="center"/>
    </xf>
    <xf numFmtId="43" fontId="32" fillId="0" borderId="1" xfId="1" applyFont="1" applyBorder="1" applyAlignment="1"/>
    <xf numFmtId="37" fontId="32" fillId="0" borderId="1" xfId="1" applyNumberFormat="1" applyFont="1" applyBorder="1" applyAlignment="1"/>
    <xf numFmtId="37" fontId="32" fillId="0" borderId="1" xfId="1" applyNumberFormat="1" applyFont="1" applyBorder="1" applyAlignment="1">
      <alignment horizontal="center"/>
    </xf>
    <xf numFmtId="37" fontId="32" fillId="0" borderId="0" xfId="1" applyNumberFormat="1" applyFont="1"/>
    <xf numFmtId="41" fontId="32" fillId="0" borderId="0" xfId="1" applyNumberFormat="1" applyFont="1" applyFill="1" applyBorder="1" applyAlignment="1"/>
    <xf numFmtId="49" fontId="27" fillId="0" borderId="0" xfId="0" quotePrefix="1" applyNumberFormat="1" applyFont="1" applyAlignment="1">
      <alignment horizontal="left" indent="1"/>
    </xf>
    <xf numFmtId="49" fontId="27" fillId="4" borderId="0" xfId="0" quotePrefix="1" applyNumberFormat="1" applyFont="1" applyFill="1"/>
    <xf numFmtId="49" fontId="27" fillId="4" borderId="0" xfId="0" quotePrefix="1" applyNumberFormat="1" applyFont="1" applyFill="1" applyAlignment="1">
      <alignment horizontal="left" indent="1"/>
    </xf>
    <xf numFmtId="49" fontId="27" fillId="4" borderId="0" xfId="7" applyNumberFormat="1" applyFont="1" applyFill="1" applyAlignment="1">
      <alignment horizontal="left" indent="1"/>
    </xf>
    <xf numFmtId="49" fontId="27" fillId="0" borderId="0" xfId="0" applyNumberFormat="1" applyFont="1"/>
    <xf numFmtId="0" fontId="24" fillId="0" borderId="0" xfId="0" quotePrefix="1" applyFont="1" applyAlignment="1">
      <alignment horizontal="left" indent="1"/>
    </xf>
    <xf numFmtId="49" fontId="32" fillId="0" borderId="0" xfId="7" applyNumberFormat="1" applyFont="1"/>
    <xf numFmtId="0" fontId="27" fillId="0" borderId="0" xfId="0" applyFont="1" applyAlignment="1">
      <alignment horizontal="right"/>
    </xf>
    <xf numFmtId="0" fontId="28" fillId="0" borderId="0" xfId="0" quotePrefix="1" applyFont="1" applyAlignment="1">
      <alignment horizontal="left" vertical="top"/>
    </xf>
    <xf numFmtId="0" fontId="23" fillId="0" borderId="0" xfId="0" quotePrefix="1" applyFont="1"/>
    <xf numFmtId="169" fontId="26" fillId="6" borderId="0" xfId="0" applyNumberFormat="1" applyFont="1" applyFill="1" applyAlignment="1">
      <alignment horizontal="center"/>
    </xf>
    <xf numFmtId="4" fontId="32" fillId="6" borderId="1" xfId="0" applyNumberFormat="1" applyFont="1" applyFill="1" applyBorder="1" applyAlignment="1">
      <alignment horizontal="center"/>
    </xf>
    <xf numFmtId="43" fontId="32" fillId="6" borderId="1" xfId="1" applyFont="1" applyFill="1" applyBorder="1" applyAlignment="1"/>
    <xf numFmtId="41" fontId="32" fillId="6" borderId="0" xfId="1" applyNumberFormat="1" applyFont="1" applyFill="1" applyBorder="1" applyAlignment="1"/>
    <xf numFmtId="175" fontId="32" fillId="6" borderId="0" xfId="0" applyNumberFormat="1" applyFont="1" applyFill="1"/>
    <xf numFmtId="38" fontId="32" fillId="6" borderId="0" xfId="0" quotePrefix="1" applyNumberFormat="1" applyFont="1" applyFill="1"/>
    <xf numFmtId="0" fontId="42" fillId="0" borderId="0" xfId="0" applyFont="1"/>
    <xf numFmtId="0" fontId="32" fillId="3" borderId="0" xfId="0" quotePrefix="1" applyFont="1" applyFill="1" applyAlignment="1">
      <alignment horizontal="left"/>
    </xf>
    <xf numFmtId="0" fontId="32" fillId="3" borderId="0" xfId="0" applyFont="1" applyFill="1"/>
    <xf numFmtId="16" fontId="27" fillId="0" borderId="0" xfId="0" applyNumberFormat="1" applyFont="1"/>
    <xf numFmtId="43" fontId="41" fillId="0" borderId="0" xfId="1" applyFont="1" applyFill="1"/>
    <xf numFmtId="43" fontId="27" fillId="0" borderId="0" xfId="1" applyFont="1" applyFill="1"/>
    <xf numFmtId="7" fontId="26" fillId="6" borderId="0" xfId="0" applyNumberFormat="1" applyFont="1" applyFill="1" applyAlignment="1">
      <alignment horizontal="left"/>
    </xf>
    <xf numFmtId="4" fontId="24" fillId="6" borderId="1" xfId="0" applyNumberFormat="1" applyFont="1" applyFill="1" applyBorder="1" applyAlignment="1">
      <alignment horizontal="center"/>
    </xf>
    <xf numFmtId="43" fontId="24" fillId="6" borderId="1" xfId="1" applyFont="1" applyFill="1" applyBorder="1" applyAlignment="1"/>
    <xf numFmtId="41" fontId="24" fillId="6" borderId="0" xfId="1" applyNumberFormat="1" applyFont="1" applyFill="1" applyBorder="1" applyAlignment="1"/>
    <xf numFmtId="4" fontId="24" fillId="6" borderId="0" xfId="0" applyNumberFormat="1" applyFont="1" applyFill="1" applyAlignment="1">
      <alignment horizontal="center"/>
    </xf>
    <xf numFmtId="38" fontId="24" fillId="6" borderId="0" xfId="0" quotePrefix="1" applyNumberFormat="1" applyFont="1" applyFill="1"/>
    <xf numFmtId="164" fontId="24" fillId="0" borderId="0" xfId="6" quotePrefix="1" applyFont="1" applyBorder="1" applyAlignment="1">
      <alignment horizontal="center" wrapText="1"/>
    </xf>
    <xf numFmtId="3" fontId="24" fillId="2" borderId="0" xfId="0" quotePrefix="1" applyNumberFormat="1" applyFont="1" applyFill="1"/>
    <xf numFmtId="0" fontId="20" fillId="0" borderId="0" xfId="0" quotePrefix="1" applyFont="1" applyAlignment="1">
      <alignment horizontal="left"/>
    </xf>
    <xf numFmtId="0" fontId="43" fillId="0" borderId="0" xfId="0" applyFont="1"/>
    <xf numFmtId="0" fontId="24" fillId="7" borderId="0" xfId="0" applyFont="1" applyFill="1"/>
    <xf numFmtId="0" fontId="24" fillId="7" borderId="0" xfId="0" applyFont="1" applyFill="1" applyAlignment="1">
      <alignment horizontal="left"/>
    </xf>
    <xf numFmtId="0" fontId="30" fillId="7" borderId="0" xfId="0" applyFont="1" applyFill="1"/>
    <xf numFmtId="43" fontId="24" fillId="7" borderId="0" xfId="1" applyFont="1" applyFill="1" applyBorder="1" applyAlignment="1"/>
    <xf numFmtId="1" fontId="27" fillId="0" borderId="0" xfId="2" quotePrefix="1" applyNumberFormat="1" applyFont="1" applyFill="1" applyBorder="1" applyAlignment="1">
      <alignment horizontal="center"/>
    </xf>
    <xf numFmtId="1" fontId="27" fillId="0" borderId="0" xfId="2" quotePrefix="1" applyNumberFormat="1" applyFont="1" applyFill="1" applyBorder="1" applyAlignment="1"/>
    <xf numFmtId="49" fontId="27" fillId="0" borderId="0" xfId="7" applyNumberFormat="1" applyFont="1"/>
    <xf numFmtId="49" fontId="27" fillId="4" borderId="0" xfId="7" quotePrefix="1" applyNumberFormat="1" applyFont="1" applyFill="1" applyAlignment="1">
      <alignment horizontal="left" indent="1"/>
    </xf>
    <xf numFmtId="0" fontId="28" fillId="0" borderId="12" xfId="0" applyFont="1" applyBorder="1" applyAlignment="1">
      <alignment horizontal="center"/>
    </xf>
    <xf numFmtId="0" fontId="28" fillId="0" borderId="13" xfId="0" applyFont="1" applyBorder="1" applyAlignment="1">
      <alignment horizontal="center"/>
    </xf>
    <xf numFmtId="0" fontId="28" fillId="0" borderId="14" xfId="0" applyFont="1" applyBorder="1" applyAlignment="1">
      <alignment horizontal="center"/>
    </xf>
    <xf numFmtId="0" fontId="28" fillId="0" borderId="4" xfId="0" quotePrefix="1" applyFont="1" applyBorder="1" applyAlignment="1">
      <alignment horizontal="center"/>
    </xf>
    <xf numFmtId="1" fontId="27" fillId="0" borderId="0" xfId="8" applyNumberFormat="1" applyFont="1" applyAlignment="1">
      <alignment horizontal="center"/>
    </xf>
    <xf numFmtId="1" fontId="27" fillId="0" borderId="0" xfId="8" applyNumberFormat="1" applyFont="1"/>
    <xf numFmtId="10" fontId="27" fillId="0" borderId="0" xfId="10" applyNumberFormat="1" applyFont="1"/>
    <xf numFmtId="1" fontId="27" fillId="0" borderId="0" xfId="8" quotePrefix="1" applyNumberFormat="1" applyFont="1" applyAlignment="1">
      <alignment horizontal="left"/>
    </xf>
    <xf numFmtId="9" fontId="25" fillId="0" borderId="0" xfId="11" quotePrefix="1" applyFont="1" applyAlignment="1">
      <alignment horizontal="left"/>
    </xf>
    <xf numFmtId="9" fontId="28" fillId="0" borderId="12" xfId="0" applyNumberFormat="1" applyFont="1" applyBorder="1" applyAlignment="1">
      <alignment horizontal="center"/>
    </xf>
    <xf numFmtId="43" fontId="27" fillId="0" borderId="1" xfId="0" applyNumberFormat="1" applyFont="1" applyBorder="1"/>
    <xf numFmtId="43" fontId="27" fillId="0" borderId="8" xfId="0" applyNumberFormat="1" applyFont="1" applyBorder="1"/>
    <xf numFmtId="43" fontId="27" fillId="0" borderId="4" xfId="1" applyFont="1" applyBorder="1" applyAlignment="1">
      <alignment horizontal="center"/>
    </xf>
    <xf numFmtId="10" fontId="27" fillId="0" borderId="15" xfId="10" applyNumberFormat="1" applyFont="1" applyBorder="1"/>
    <xf numFmtId="43" fontId="27" fillId="0" borderId="15" xfId="0" applyNumberFormat="1" applyFont="1" applyBorder="1"/>
    <xf numFmtId="43" fontId="27" fillId="0" borderId="15" xfId="1" applyFont="1" applyBorder="1"/>
    <xf numFmtId="0" fontId="43" fillId="0" borderId="3" xfId="0" quotePrefix="1" applyFont="1" applyBorder="1" applyAlignment="1">
      <alignment horizontal="center"/>
    </xf>
    <xf numFmtId="0" fontId="44" fillId="0" borderId="0" xfId="0" quotePrefix="1" applyFont="1" applyAlignment="1">
      <alignment horizontal="left"/>
    </xf>
    <xf numFmtId="16" fontId="41" fillId="0" borderId="0" xfId="0" applyNumberFormat="1" applyFont="1"/>
    <xf numFmtId="0" fontId="20" fillId="0" borderId="0" xfId="0" quotePrefix="1" applyFont="1" applyAlignment="1">
      <alignment horizontal="left" indent="1"/>
    </xf>
    <xf numFmtId="0" fontId="28" fillId="0" borderId="0" xfId="0" quotePrefix="1" applyFont="1" applyAlignment="1" applyProtection="1">
      <alignment horizontal="left"/>
      <protection locked="0"/>
    </xf>
    <xf numFmtId="170" fontId="24" fillId="0" borderId="0" xfId="6" quotePrefix="1" applyNumberFormat="1" applyFont="1" applyBorder="1" applyAlignment="1">
      <alignment horizontal="center"/>
    </xf>
    <xf numFmtId="0" fontId="44" fillId="0" borderId="0" xfId="0" quotePrefix="1" applyFont="1" applyAlignment="1">
      <alignment horizontal="left" indent="2"/>
    </xf>
    <xf numFmtId="16" fontId="24" fillId="0" borderId="0" xfId="0" applyNumberFormat="1" applyFont="1" applyAlignment="1">
      <alignment vertical="center"/>
    </xf>
    <xf numFmtId="0" fontId="30" fillId="0" borderId="1" xfId="0" quotePrefix="1" applyFont="1" applyBorder="1" applyAlignment="1">
      <alignment horizontal="center"/>
    </xf>
    <xf numFmtId="164" fontId="32" fillId="0" borderId="0" xfId="6" quotePrefix="1" applyFont="1" applyBorder="1" applyAlignment="1">
      <alignment horizontal="center" wrapText="1"/>
    </xf>
    <xf numFmtId="14" fontId="30" fillId="0" borderId="1" xfId="0" quotePrefix="1" applyNumberFormat="1" applyFont="1" applyBorder="1" applyAlignment="1">
      <alignment horizontal="center"/>
    </xf>
    <xf numFmtId="43" fontId="41" fillId="4" borderId="0" xfId="1" applyFont="1" applyFill="1" applyBorder="1" applyAlignment="1"/>
    <xf numFmtId="43" fontId="41" fillId="0" borderId="0" xfId="1" applyFont="1" applyFill="1" applyBorder="1" applyAlignment="1"/>
    <xf numFmtId="43" fontId="41" fillId="0" borderId="0" xfId="1" applyFont="1" applyFill="1" applyAlignment="1"/>
    <xf numFmtId="43" fontId="41" fillId="0" borderId="0" xfId="1" applyFont="1" applyFill="1" applyBorder="1"/>
    <xf numFmtId="0" fontId="27" fillId="4" borderId="0" xfId="0" applyFont="1" applyFill="1" applyAlignment="1">
      <alignment horizontal="center"/>
    </xf>
    <xf numFmtId="0" fontId="27" fillId="0" borderId="0" xfId="0" quotePrefix="1" applyFont="1" applyAlignment="1">
      <alignment horizontal="left" vertical="top"/>
    </xf>
    <xf numFmtId="17" fontId="30" fillId="0" borderId="0" xfId="0" quotePrefix="1" applyNumberFormat="1" applyFont="1" applyAlignment="1">
      <alignment horizontal="center"/>
    </xf>
    <xf numFmtId="7" fontId="27" fillId="0" borderId="0" xfId="0" quotePrefix="1" applyNumberFormat="1" applyFont="1" applyAlignment="1">
      <alignment horizontal="center"/>
    </xf>
    <xf numFmtId="0" fontId="44" fillId="2" borderId="16" xfId="0" quotePrefix="1" applyFont="1" applyFill="1" applyBorder="1" applyAlignment="1">
      <alignment horizontal="left" indent="1"/>
    </xf>
    <xf numFmtId="0" fontId="20" fillId="2" borderId="16" xfId="0" quotePrefix="1" applyFont="1" applyFill="1" applyBorder="1" applyAlignment="1">
      <alignment horizontal="left" indent="1"/>
    </xf>
    <xf numFmtId="0" fontId="44" fillId="2" borderId="16" xfId="0" quotePrefix="1" applyFont="1" applyFill="1" applyBorder="1" applyAlignment="1">
      <alignment horizontal="left"/>
    </xf>
    <xf numFmtId="0" fontId="27" fillId="0" borderId="0" xfId="0" quotePrefix="1" applyFont="1" applyAlignment="1">
      <alignment horizontal="left" vertical="center" indent="1"/>
    </xf>
    <xf numFmtId="49" fontId="27" fillId="0" borderId="0" xfId="7" quotePrefix="1" applyNumberFormat="1" applyFont="1" applyAlignment="1">
      <alignment horizontal="left" indent="1"/>
    </xf>
    <xf numFmtId="0" fontId="42" fillId="0" borderId="0" xfId="0" applyFont="1" applyAlignment="1">
      <alignment horizontal="left"/>
    </xf>
    <xf numFmtId="0" fontId="28" fillId="0" borderId="0" xfId="0" applyFont="1" applyAlignment="1">
      <alignment vertical="center" wrapText="1"/>
    </xf>
    <xf numFmtId="0" fontId="28" fillId="0" borderId="0" xfId="0" quotePrefix="1" applyFont="1" applyAlignment="1" applyProtection="1">
      <alignment horizontal="left" vertical="center"/>
      <protection locked="0"/>
    </xf>
    <xf numFmtId="0" fontId="28" fillId="0" borderId="0" xfId="0" applyFont="1" applyAlignment="1" applyProtection="1">
      <alignment vertical="center"/>
      <protection locked="0"/>
    </xf>
    <xf numFmtId="0" fontId="28" fillId="0" borderId="0" xfId="0" applyFont="1" applyAlignment="1">
      <alignment vertical="center"/>
    </xf>
    <xf numFmtId="0" fontId="28" fillId="0" borderId="0" xfId="0" quotePrefix="1" applyFont="1" applyAlignment="1">
      <alignment horizontal="left" vertical="center"/>
    </xf>
    <xf numFmtId="0" fontId="42" fillId="0" borderId="0" xfId="0" quotePrefix="1" applyFont="1" applyAlignment="1">
      <alignment horizontal="left" vertical="center"/>
    </xf>
    <xf numFmtId="0" fontId="42" fillId="0" borderId="0" xfId="0" applyFont="1" applyAlignment="1">
      <alignment vertical="center"/>
    </xf>
    <xf numFmtId="0" fontId="28" fillId="0" borderId="0" xfId="0" quotePrefix="1" applyFont="1" applyAlignment="1" applyProtection="1">
      <alignment horizontal="left" vertical="center" indent="2"/>
      <protection locked="0"/>
    </xf>
    <xf numFmtId="0" fontId="28" fillId="0" borderId="0" xfId="0" applyFont="1" applyAlignment="1">
      <alignment horizontal="left" vertical="center" indent="2"/>
    </xf>
    <xf numFmtId="0" fontId="28" fillId="0" borderId="0" xfId="0" quotePrefix="1" applyFont="1" applyAlignment="1">
      <alignment horizontal="left" vertical="center" indent="2"/>
    </xf>
    <xf numFmtId="0" fontId="42" fillId="0" borderId="0" xfId="0" quotePrefix="1" applyFont="1" applyAlignment="1">
      <alignment horizontal="left" vertical="center" indent="1"/>
    </xf>
    <xf numFmtId="0" fontId="45" fillId="0" borderId="0" xfId="0" applyFont="1"/>
    <xf numFmtId="0" fontId="45" fillId="0" borderId="0" xfId="0" applyFont="1" applyAlignment="1">
      <alignment vertical="center"/>
    </xf>
    <xf numFmtId="0" fontId="42" fillId="0" borderId="0" xfId="0" applyFont="1" applyAlignment="1">
      <alignment horizontal="left" vertical="center"/>
    </xf>
    <xf numFmtId="0" fontId="45" fillId="0" borderId="0" xfId="0" quotePrefix="1" applyFont="1" applyAlignment="1" applyProtection="1">
      <alignment horizontal="left" vertical="center"/>
      <protection locked="0"/>
    </xf>
    <xf numFmtId="0" fontId="45" fillId="0" borderId="0" xfId="0" quotePrefix="1" applyFont="1" applyAlignment="1" applyProtection="1">
      <alignment horizontal="left"/>
      <protection locked="0"/>
    </xf>
    <xf numFmtId="0" fontId="42" fillId="0" borderId="0" xfId="0" quotePrefix="1" applyFont="1" applyAlignment="1" applyProtection="1">
      <alignment horizontal="left"/>
      <protection locked="0"/>
    </xf>
    <xf numFmtId="0" fontId="42" fillId="0" borderId="0" xfId="0" quotePrefix="1" applyFont="1" applyAlignment="1" applyProtection="1">
      <alignment horizontal="left" indent="1"/>
      <protection locked="0"/>
    </xf>
    <xf numFmtId="0" fontId="42" fillId="0" borderId="0" xfId="0" quotePrefix="1" applyFont="1" applyAlignment="1" applyProtection="1">
      <alignment horizontal="left" vertical="center"/>
      <protection locked="0"/>
    </xf>
    <xf numFmtId="0" fontId="42" fillId="0" borderId="0" xfId="0" quotePrefix="1" applyFont="1" applyAlignment="1" applyProtection="1">
      <alignment horizontal="left" vertical="center" indent="1"/>
      <protection locked="0"/>
    </xf>
    <xf numFmtId="41" fontId="40" fillId="0" borderId="15" xfId="8" applyNumberFormat="1" applyFont="1" applyBorder="1" applyAlignment="1">
      <alignment horizontal="center"/>
    </xf>
    <xf numFmtId="41" fontId="40" fillId="0" borderId="15" xfId="8" quotePrefix="1" applyNumberFormat="1" applyFont="1" applyBorder="1" applyAlignment="1">
      <alignment horizontal="center"/>
    </xf>
    <xf numFmtId="41" fontId="40" fillId="0" borderId="15" xfId="2" quotePrefix="1" applyNumberFormat="1" applyFont="1" applyFill="1" applyBorder="1" applyAlignment="1">
      <alignment horizontal="center"/>
    </xf>
    <xf numFmtId="41" fontId="40" fillId="0" borderId="15" xfId="2" applyNumberFormat="1" applyFont="1" applyFill="1" applyBorder="1" applyAlignment="1">
      <alignment horizontal="center"/>
    </xf>
    <xf numFmtId="41" fontId="27" fillId="0" borderId="0" xfId="0" applyNumberFormat="1" applyFont="1" applyAlignment="1">
      <alignment horizontal="center"/>
    </xf>
    <xf numFmtId="1" fontId="27" fillId="0" borderId="0" xfId="7" quotePrefix="1" applyNumberFormat="1" applyFont="1" applyAlignment="1">
      <alignment horizontal="right"/>
    </xf>
    <xf numFmtId="43" fontId="27" fillId="0" borderId="0" xfId="7" applyNumberFormat="1" applyFont="1" applyAlignment="1">
      <alignment vertical="center"/>
    </xf>
    <xf numFmtId="164" fontId="24" fillId="2" borderId="0" xfId="6" quotePrefix="1" applyFont="1" applyFill="1" applyBorder="1" applyAlignment="1">
      <alignment horizontal="center" wrapText="1"/>
    </xf>
    <xf numFmtId="164" fontId="24" fillId="0" borderId="0" xfId="6" quotePrefix="1" applyFont="1" applyBorder="1" applyAlignment="1">
      <alignment horizontal="center"/>
    </xf>
    <xf numFmtId="16" fontId="28" fillId="0" borderId="0" xfId="0" applyNumberFormat="1" applyFont="1" applyAlignment="1">
      <alignment horizontal="left"/>
    </xf>
    <xf numFmtId="49" fontId="28" fillId="2" borderId="7" xfId="0" quotePrefix="1" applyNumberFormat="1" applyFont="1" applyFill="1" applyBorder="1" applyAlignment="1">
      <alignment horizontal="left"/>
    </xf>
    <xf numFmtId="49" fontId="43" fillId="2" borderId="0" xfId="0" quotePrefix="1" applyNumberFormat="1" applyFont="1" applyFill="1" applyAlignment="1">
      <alignment horizontal="center"/>
    </xf>
    <xf numFmtId="49" fontId="28" fillId="2" borderId="2" xfId="0" applyNumberFormat="1" applyFont="1" applyFill="1" applyBorder="1"/>
    <xf numFmtId="0" fontId="27" fillId="0" borderId="0" xfId="0" quotePrefix="1" applyFont="1" applyAlignment="1">
      <alignment vertical="center"/>
    </xf>
    <xf numFmtId="0" fontId="27" fillId="4" borderId="0" xfId="0" quotePrefix="1" applyFont="1" applyFill="1" applyAlignment="1">
      <alignment horizontal="left" vertical="center" indent="1"/>
    </xf>
    <xf numFmtId="0" fontId="46" fillId="2" borderId="16" xfId="0" applyFont="1" applyFill="1" applyBorder="1"/>
    <xf numFmtId="1" fontId="27" fillId="4" borderId="0" xfId="7" applyNumberFormat="1" applyFont="1" applyFill="1" applyAlignment="1">
      <alignment horizontal="right" indent="1"/>
    </xf>
    <xf numFmtId="1" fontId="27" fillId="0" borderId="0" xfId="7" quotePrefix="1" applyNumberFormat="1" applyFont="1" applyAlignment="1">
      <alignment horizontal="right" indent="1"/>
    </xf>
    <xf numFmtId="0" fontId="32" fillId="4" borderId="4" xfId="0" applyFont="1" applyFill="1" applyBorder="1" applyAlignment="1">
      <alignment horizontal="center"/>
    </xf>
    <xf numFmtId="1" fontId="27" fillId="4" borderId="0" xfId="2" applyNumberFormat="1" applyFont="1" applyFill="1" applyBorder="1" applyAlignment="1">
      <alignment horizontal="center"/>
    </xf>
    <xf numFmtId="1" fontId="27" fillId="4" borderId="0" xfId="2" quotePrefix="1" applyNumberFormat="1" applyFont="1" applyFill="1" applyBorder="1" applyAlignment="1">
      <alignment horizontal="left"/>
    </xf>
    <xf numFmtId="49" fontId="28" fillId="2" borderId="20" xfId="0" quotePrefix="1" applyNumberFormat="1" applyFont="1" applyFill="1" applyBorder="1" applyAlignment="1">
      <alignment horizontal="left" indent="1"/>
    </xf>
    <xf numFmtId="10" fontId="27" fillId="0" borderId="0" xfId="10" applyNumberFormat="1" applyFont="1" applyBorder="1"/>
    <xf numFmtId="0" fontId="28" fillId="0" borderId="14" xfId="0" quotePrefix="1" applyFont="1" applyBorder="1" applyAlignment="1">
      <alignment horizontal="center"/>
    </xf>
    <xf numFmtId="0" fontId="28" fillId="2" borderId="7" xfId="0" quotePrefix="1" applyFont="1" applyFill="1" applyBorder="1" applyAlignment="1">
      <alignment horizontal="left" indent="1"/>
    </xf>
    <xf numFmtId="0" fontId="24" fillId="2" borderId="0" xfId="0" quotePrefix="1" applyFont="1" applyFill="1" applyAlignment="1">
      <alignment horizontal="left"/>
    </xf>
    <xf numFmtId="0" fontId="26" fillId="2" borderId="0" xfId="0" applyFont="1" applyFill="1" applyAlignment="1">
      <alignment horizontal="left"/>
    </xf>
    <xf numFmtId="0" fontId="28" fillId="0" borderId="0" xfId="0" quotePrefix="1" applyFont="1" applyAlignment="1" applyProtection="1">
      <alignment horizontal="left" indent="2"/>
      <protection locked="0"/>
    </xf>
    <xf numFmtId="0" fontId="28" fillId="0" borderId="0" xfId="0" applyFont="1" applyProtection="1">
      <protection locked="0"/>
    </xf>
    <xf numFmtId="0" fontId="26" fillId="2" borderId="0" xfId="0" quotePrefix="1" applyFont="1" applyFill="1" applyAlignment="1">
      <alignment horizontal="left"/>
    </xf>
    <xf numFmtId="164" fontId="47" fillId="0" borderId="1" xfId="6" quotePrefix="1" applyFont="1" applyBorder="1" applyAlignment="1">
      <alignment horizontal="center"/>
    </xf>
    <xf numFmtId="0" fontId="52" fillId="0" borderId="0" xfId="0" applyFont="1" applyAlignment="1">
      <alignment horizontal="left" indent="2"/>
    </xf>
    <xf numFmtId="0" fontId="52" fillId="0" borderId="0" xfId="0" quotePrefix="1" applyFont="1" applyAlignment="1">
      <alignment horizontal="left" vertical="center" indent="2"/>
    </xf>
    <xf numFmtId="0" fontId="24" fillId="0" borderId="0" xfId="0" applyFont="1" applyAlignment="1">
      <alignment horizontal="left" vertical="center" indent="2"/>
    </xf>
    <xf numFmtId="169" fontId="29" fillId="0" borderId="0" xfId="0" applyNumberFormat="1" applyFont="1" applyAlignment="1">
      <alignment horizontal="left" vertical="center" indent="2"/>
    </xf>
    <xf numFmtId="2" fontId="24" fillId="0" borderId="0" xfId="0" applyNumberFormat="1" applyFont="1" applyAlignment="1">
      <alignment horizontal="left" vertical="center" indent="2"/>
    </xf>
    <xf numFmtId="43" fontId="24" fillId="0" borderId="0" xfId="1" applyFont="1" applyBorder="1" applyAlignment="1">
      <alignment horizontal="left" vertical="center" indent="2"/>
    </xf>
    <xf numFmtId="0" fontId="24" fillId="2" borderId="0" xfId="0" applyFont="1" applyFill="1" applyAlignment="1">
      <alignment horizontal="left" vertical="center" indent="2"/>
    </xf>
    <xf numFmtId="169" fontId="29" fillId="2" borderId="0" xfId="0" applyNumberFormat="1" applyFont="1" applyFill="1" applyAlignment="1">
      <alignment horizontal="left" vertical="center" indent="2"/>
    </xf>
    <xf numFmtId="2" fontId="24" fillId="2" borderId="0" xfId="0" applyNumberFormat="1" applyFont="1" applyFill="1" applyAlignment="1">
      <alignment horizontal="left" vertical="center" indent="2"/>
    </xf>
    <xf numFmtId="0" fontId="52" fillId="0" borderId="0" xfId="0" applyFont="1" applyAlignment="1">
      <alignment horizontal="left" vertical="top" indent="2"/>
    </xf>
    <xf numFmtId="0" fontId="24" fillId="0" borderId="0" xfId="0" quotePrefix="1" applyFont="1"/>
    <xf numFmtId="44" fontId="24" fillId="0" borderId="0" xfId="1" applyNumberFormat="1" applyFont="1" applyAlignment="1">
      <alignment horizontal="right"/>
    </xf>
    <xf numFmtId="10" fontId="24" fillId="0" borderId="0" xfId="10" applyNumberFormat="1" applyFont="1" applyAlignment="1">
      <alignment horizontal="center"/>
    </xf>
    <xf numFmtId="43" fontId="24" fillId="2" borderId="0" xfId="1" applyFont="1" applyFill="1" applyBorder="1" applyAlignment="1"/>
    <xf numFmtId="0" fontId="52" fillId="2" borderId="0" xfId="0" quotePrefix="1" applyFont="1" applyFill="1" applyAlignment="1">
      <alignment horizontal="left" vertical="center" indent="2"/>
    </xf>
    <xf numFmtId="43" fontId="24" fillId="2" borderId="0" xfId="1" applyFont="1" applyFill="1" applyBorder="1" applyAlignment="1">
      <alignment horizontal="left" vertical="center" indent="2"/>
    </xf>
    <xf numFmtId="0" fontId="52" fillId="2" borderId="0" xfId="0" quotePrefix="1" applyFont="1" applyFill="1" applyAlignment="1">
      <alignment horizontal="left" vertical="top" indent="2"/>
    </xf>
    <xf numFmtId="0" fontId="52" fillId="2" borderId="0" xfId="0" applyFont="1" applyFill="1" applyAlignment="1">
      <alignment horizontal="left" indent="2"/>
    </xf>
    <xf numFmtId="0" fontId="24" fillId="2" borderId="0" xfId="0" quotePrefix="1" applyFont="1" applyFill="1"/>
    <xf numFmtId="44" fontId="24" fillId="2" borderId="0" xfId="1" applyNumberFormat="1" applyFont="1" applyFill="1" applyAlignment="1">
      <alignment horizontal="right"/>
    </xf>
    <xf numFmtId="2" fontId="24" fillId="2" borderId="0" xfId="0" quotePrefix="1" applyNumberFormat="1" applyFont="1" applyFill="1" applyAlignment="1">
      <alignment horizontal="center"/>
    </xf>
    <xf numFmtId="10" fontId="24" fillId="2" borderId="0" xfId="10" applyNumberFormat="1" applyFont="1" applyFill="1" applyAlignment="1">
      <alignment horizontal="center"/>
    </xf>
    <xf numFmtId="43" fontId="24" fillId="2" borderId="5" xfId="1" applyFont="1" applyFill="1" applyBorder="1" applyAlignment="1"/>
    <xf numFmtId="0" fontId="52" fillId="2" borderId="0" xfId="0" applyFont="1" applyFill="1" applyAlignment="1">
      <alignment horizontal="left" vertical="top" indent="2"/>
    </xf>
    <xf numFmtId="0" fontId="47" fillId="0" borderId="0" xfId="0" applyFont="1"/>
    <xf numFmtId="0" fontId="47" fillId="2" borderId="0" xfId="0" applyFont="1" applyFill="1"/>
    <xf numFmtId="0" fontId="47" fillId="2" borderId="0" xfId="0" quotePrefix="1" applyFont="1" applyFill="1" applyAlignment="1">
      <alignment horizontal="left"/>
    </xf>
    <xf numFmtId="0" fontId="47" fillId="0" borderId="0" xfId="0" quotePrefix="1" applyFont="1" applyAlignment="1">
      <alignment horizontal="left"/>
    </xf>
    <xf numFmtId="43" fontId="24" fillId="0" borderId="0" xfId="1" applyFont="1"/>
    <xf numFmtId="41" fontId="24" fillId="2" borderId="1" xfId="0" applyNumberFormat="1" applyFont="1" applyFill="1" applyBorder="1"/>
    <xf numFmtId="41" fontId="24" fillId="2" borderId="0" xfId="0" applyNumberFormat="1" applyFont="1" applyFill="1"/>
    <xf numFmtId="166" fontId="24" fillId="2" borderId="0" xfId="0" applyNumberFormat="1" applyFont="1" applyFill="1" applyAlignment="1">
      <alignment horizontal="center"/>
    </xf>
    <xf numFmtId="166" fontId="24" fillId="0" borderId="0" xfId="0" applyNumberFormat="1" applyFont="1" applyAlignment="1">
      <alignment horizontal="center"/>
    </xf>
    <xf numFmtId="0" fontId="15" fillId="0" borderId="0" xfId="0" quotePrefix="1" applyFont="1" applyAlignment="1">
      <alignment horizontal="left"/>
    </xf>
    <xf numFmtId="43" fontId="26" fillId="0" borderId="0" xfId="1" applyFont="1" applyFill="1" applyBorder="1" applyAlignment="1"/>
    <xf numFmtId="0" fontId="26" fillId="0" borderId="0" xfId="0" applyFont="1" applyAlignment="1">
      <alignment horizontal="right"/>
    </xf>
    <xf numFmtId="7" fontId="54" fillId="0" borderId="0" xfId="0" quotePrefix="1" applyNumberFormat="1" applyFont="1" applyAlignment="1">
      <alignment horizontal="center"/>
    </xf>
    <xf numFmtId="17" fontId="54" fillId="0" borderId="0" xfId="0" quotePrefix="1" applyNumberFormat="1" applyFont="1" applyAlignment="1">
      <alignment horizontal="center"/>
    </xf>
    <xf numFmtId="7" fontId="54" fillId="0" borderId="0" xfId="0" applyNumberFormat="1" applyFont="1" applyAlignment="1">
      <alignment horizontal="center"/>
    </xf>
    <xf numFmtId="2" fontId="26" fillId="0" borderId="0" xfId="0" quotePrefix="1" applyNumberFormat="1" applyFont="1" applyAlignment="1">
      <alignment horizontal="center"/>
    </xf>
    <xf numFmtId="0" fontId="55" fillId="0" borderId="0" xfId="0" quotePrefix="1" applyFont="1" applyAlignment="1">
      <alignment horizontal="center"/>
    </xf>
    <xf numFmtId="0" fontId="24" fillId="0" borderId="0" xfId="0" quotePrefix="1" applyFont="1" applyAlignment="1">
      <alignment horizontal="left" wrapText="1"/>
    </xf>
    <xf numFmtId="2" fontId="49" fillId="0" borderId="0" xfId="0" applyNumberFormat="1" applyFont="1" applyAlignment="1">
      <alignment horizontal="left" indent="3"/>
    </xf>
    <xf numFmtId="2" fontId="34" fillId="2" borderId="0" xfId="0" applyNumberFormat="1" applyFont="1" applyFill="1" applyAlignment="1">
      <alignment horizontal="left"/>
    </xf>
    <xf numFmtId="0" fontId="24" fillId="2" borderId="0" xfId="0" quotePrefix="1" applyFont="1" applyFill="1" applyAlignment="1">
      <alignment horizontal="left" wrapText="1"/>
    </xf>
    <xf numFmtId="7" fontId="30" fillId="0" borderId="1" xfId="0" quotePrefix="1" applyNumberFormat="1" applyFont="1" applyBorder="1" applyAlignment="1">
      <alignment horizontal="center"/>
    </xf>
    <xf numFmtId="43" fontId="41" fillId="0" borderId="0" xfId="7" applyNumberFormat="1" applyFont="1"/>
    <xf numFmtId="49" fontId="27" fillId="0" borderId="0" xfId="0" quotePrefix="1" applyNumberFormat="1" applyFont="1" applyFill="1" applyAlignment="1">
      <alignment horizontal="left" indent="1"/>
    </xf>
    <xf numFmtId="0" fontId="28" fillId="2" borderId="7" xfId="0" quotePrefix="1" applyFont="1" applyFill="1" applyBorder="1" applyAlignment="1">
      <alignment horizontal="left"/>
    </xf>
    <xf numFmtId="0" fontId="24" fillId="0" borderId="1" xfId="0" quotePrefix="1" applyFont="1" applyBorder="1" applyAlignment="1">
      <alignment horizontal="center"/>
    </xf>
    <xf numFmtId="0" fontId="24" fillId="0" borderId="0" xfId="0" applyFont="1" applyAlignment="1">
      <alignment horizontal="left"/>
    </xf>
    <xf numFmtId="0" fontId="24" fillId="0" borderId="1" xfId="0" applyFont="1" applyBorder="1" applyAlignment="1">
      <alignment horizontal="center"/>
    </xf>
    <xf numFmtId="0" fontId="24" fillId="0" borderId="0" xfId="0" quotePrefix="1" applyFont="1" applyAlignment="1">
      <alignment horizontal="left"/>
    </xf>
    <xf numFmtId="0" fontId="24" fillId="0" borderId="0" xfId="0" applyFont="1" applyAlignment="1">
      <alignment horizontal="center"/>
    </xf>
    <xf numFmtId="0" fontId="24" fillId="0" borderId="0" xfId="0" quotePrefix="1" applyFont="1" applyAlignment="1">
      <alignment horizontal="center"/>
    </xf>
    <xf numFmtId="0" fontId="24" fillId="0" borderId="0" xfId="0" applyFont="1" applyAlignment="1">
      <alignment horizontal="right"/>
    </xf>
    <xf numFmtId="0" fontId="24" fillId="2" borderId="0" xfId="0" applyFont="1" applyFill="1" applyAlignment="1">
      <alignment horizontal="left"/>
    </xf>
    <xf numFmtId="166" fontId="29" fillId="2" borderId="0" xfId="0" applyNumberFormat="1" applyFont="1" applyFill="1" applyAlignment="1">
      <alignment horizontal="left"/>
    </xf>
    <xf numFmtId="0" fontId="24" fillId="2" borderId="0" xfId="0" applyFont="1" applyFill="1" applyAlignment="1">
      <alignment horizontal="right"/>
    </xf>
    <xf numFmtId="0" fontId="24" fillId="2" borderId="0" xfId="0" applyFont="1" applyFill="1" applyAlignment="1">
      <alignment horizontal="center"/>
    </xf>
    <xf numFmtId="0" fontId="24" fillId="2" borderId="1" xfId="0" quotePrefix="1" applyFont="1" applyFill="1" applyBorder="1" applyAlignment="1">
      <alignment horizontal="center"/>
    </xf>
    <xf numFmtId="0" fontId="24" fillId="0" borderId="0" xfId="0" quotePrefix="1" applyFont="1" applyAlignment="1">
      <alignment horizontal="left"/>
    </xf>
    <xf numFmtId="0" fontId="24" fillId="2" borderId="0" xfId="0" applyFont="1" applyFill="1" applyAlignment="1">
      <alignment horizontal="left"/>
    </xf>
    <xf numFmtId="0" fontId="24" fillId="2" borderId="0" xfId="0" quotePrefix="1" applyFont="1" applyFill="1" applyAlignment="1">
      <alignment horizontal="left"/>
    </xf>
    <xf numFmtId="0" fontId="56" fillId="0" borderId="0" xfId="0" quotePrefix="1" applyFont="1" applyAlignment="1">
      <alignment horizontal="center"/>
    </xf>
    <xf numFmtId="0" fontId="56" fillId="0" borderId="1" xfId="0" quotePrefix="1" applyFont="1" applyBorder="1" applyAlignment="1">
      <alignment horizontal="center"/>
    </xf>
    <xf numFmtId="7" fontId="24" fillId="0" borderId="0" xfId="0" quotePrefix="1" applyNumberFormat="1" applyFont="1" applyAlignment="1">
      <alignment horizontal="center"/>
    </xf>
    <xf numFmtId="170" fontId="56" fillId="6" borderId="0" xfId="6" applyNumberFormat="1" applyFont="1" applyFill="1" applyBorder="1" applyAlignment="1"/>
    <xf numFmtId="0" fontId="26" fillId="0" borderId="0" xfId="0" applyFont="1" applyFill="1" applyBorder="1"/>
    <xf numFmtId="0" fontId="24" fillId="2" borderId="1" xfId="0" applyFont="1" applyFill="1" applyBorder="1"/>
    <xf numFmtId="170" fontId="56" fillId="2" borderId="1" xfId="6" applyNumberFormat="1" applyFont="1" applyFill="1" applyBorder="1" applyAlignment="1"/>
    <xf numFmtId="0" fontId="27" fillId="2" borderId="0" xfId="0" quotePrefix="1" applyFont="1" applyFill="1" applyAlignment="1">
      <alignment horizontal="left"/>
    </xf>
    <xf numFmtId="0" fontId="26" fillId="2" borderId="0" xfId="0" quotePrefix="1" applyFont="1" applyFill="1" applyAlignment="1">
      <alignment horizontal="center"/>
    </xf>
    <xf numFmtId="166" fontId="29" fillId="2" borderId="0" xfId="0" applyNumberFormat="1" applyFont="1" applyFill="1" applyAlignment="1">
      <alignment horizontal="center"/>
    </xf>
    <xf numFmtId="7" fontId="26" fillId="2" borderId="0" xfId="0" quotePrefix="1" applyNumberFormat="1" applyFont="1" applyFill="1" applyBorder="1" applyAlignment="1">
      <alignment horizontal="center"/>
    </xf>
    <xf numFmtId="17" fontId="26" fillId="2" borderId="0" xfId="0" quotePrefix="1" applyNumberFormat="1" applyFont="1" applyFill="1" applyBorder="1" applyAlignment="1">
      <alignment horizontal="center"/>
    </xf>
    <xf numFmtId="7" fontId="26" fillId="2" borderId="0" xfId="0" applyNumberFormat="1" applyFont="1" applyFill="1" applyBorder="1" applyAlignment="1">
      <alignment horizontal="center"/>
    </xf>
    <xf numFmtId="0" fontId="26" fillId="2" borderId="0" xfId="0" quotePrefix="1" applyFont="1" applyFill="1" applyBorder="1" applyAlignment="1">
      <alignment horizontal="center"/>
    </xf>
    <xf numFmtId="169" fontId="24" fillId="2" borderId="0" xfId="0" quotePrefix="1" applyNumberFormat="1" applyFont="1" applyFill="1" applyBorder="1" applyAlignment="1">
      <alignment horizontal="center"/>
    </xf>
    <xf numFmtId="2" fontId="24" fillId="2" borderId="0" xfId="0" quotePrefix="1" applyNumberFormat="1" applyFont="1" applyFill="1" applyBorder="1" applyAlignment="1">
      <alignment horizontal="center"/>
    </xf>
    <xf numFmtId="0" fontId="56" fillId="2" borderId="1" xfId="0" quotePrefix="1" applyFont="1" applyFill="1" applyBorder="1" applyAlignment="1">
      <alignment horizontal="center"/>
    </xf>
    <xf numFmtId="44" fontId="24" fillId="2" borderId="8" xfId="0" applyNumberFormat="1" applyFont="1" applyFill="1" applyBorder="1"/>
    <xf numFmtId="164" fontId="24" fillId="2" borderId="5" xfId="6" applyNumberFormat="1" applyFont="1" applyFill="1" applyBorder="1" applyAlignment="1"/>
    <xf numFmtId="164" fontId="24" fillId="2" borderId="1" xfId="6" applyNumberFormat="1" applyFont="1" applyFill="1" applyBorder="1" applyAlignment="1"/>
    <xf numFmtId="164" fontId="24" fillId="2" borderId="1" xfId="0" applyNumberFormat="1" applyFont="1" applyFill="1" applyBorder="1"/>
    <xf numFmtId="164" fontId="24" fillId="2" borderId="6" xfId="6" applyNumberFormat="1" applyFont="1" applyFill="1" applyBorder="1" applyAlignment="1"/>
    <xf numFmtId="164" fontId="24" fillId="2" borderId="3" xfId="6" applyNumberFormat="1" applyFont="1" applyFill="1" applyBorder="1" applyAlignment="1"/>
    <xf numFmtId="164" fontId="24" fillId="2" borderId="0" xfId="6" applyNumberFormat="1" applyFont="1" applyFill="1" applyBorder="1" applyAlignment="1"/>
    <xf numFmtId="164" fontId="24" fillId="2" borderId="0" xfId="0" applyNumberFormat="1" applyFont="1" applyFill="1"/>
    <xf numFmtId="4" fontId="24" fillId="2" borderId="1" xfId="0" applyNumberFormat="1" applyFont="1" applyFill="1" applyBorder="1"/>
    <xf numFmtId="164" fontId="24" fillId="2" borderId="8" xfId="0" applyNumberFormat="1" applyFont="1" applyFill="1" applyBorder="1"/>
    <xf numFmtId="0" fontId="57" fillId="0" borderId="0" xfId="0" quotePrefix="1" applyFont="1" applyAlignment="1">
      <alignment horizontal="left" vertical="center" indent="2"/>
    </xf>
    <xf numFmtId="0" fontId="57" fillId="0" borderId="0" xfId="0" applyFont="1" applyAlignment="1">
      <alignment horizontal="left" vertical="top" indent="2"/>
    </xf>
    <xf numFmtId="0" fontId="57" fillId="0" borderId="0" xfId="0" quotePrefix="1" applyFont="1" applyAlignment="1">
      <alignment horizontal="left" vertical="top" indent="2"/>
    </xf>
    <xf numFmtId="0" fontId="24" fillId="0" borderId="1" xfId="0" quotePrefix="1" applyFont="1" applyBorder="1" applyAlignment="1">
      <alignment horizontal="center"/>
    </xf>
    <xf numFmtId="0" fontId="24" fillId="0" borderId="0" xfId="0" applyFont="1" applyAlignment="1">
      <alignment horizontal="left"/>
    </xf>
    <xf numFmtId="2" fontId="24" fillId="0" borderId="0" xfId="0" applyNumberFormat="1" applyFont="1" applyAlignment="1">
      <alignment horizontal="center"/>
    </xf>
    <xf numFmtId="0" fontId="24" fillId="0" borderId="1" xfId="0" applyFont="1" applyBorder="1" applyAlignment="1">
      <alignment horizontal="center"/>
    </xf>
    <xf numFmtId="0" fontId="24" fillId="0" borderId="0" xfId="0" quotePrefix="1" applyFont="1" applyAlignment="1">
      <alignment horizontal="left"/>
    </xf>
    <xf numFmtId="0" fontId="24" fillId="0" borderId="0" xfId="0" applyFont="1" applyAlignment="1">
      <alignment horizontal="center"/>
    </xf>
    <xf numFmtId="0" fontId="24" fillId="0" borderId="0" xfId="0" quotePrefix="1" applyFont="1" applyAlignment="1">
      <alignment horizontal="center"/>
    </xf>
    <xf numFmtId="0" fontId="24" fillId="0" borderId="0" xfId="0" applyFont="1" applyAlignment="1">
      <alignment horizontal="right"/>
    </xf>
    <xf numFmtId="0" fontId="58" fillId="0" borderId="0" xfId="0" applyFont="1" applyAlignment="1">
      <alignment horizontal="left" vertical="center"/>
    </xf>
    <xf numFmtId="0" fontId="60" fillId="0" borderId="0" xfId="0" applyFont="1" applyAlignment="1">
      <alignment horizontal="left" vertical="center" wrapText="1"/>
    </xf>
    <xf numFmtId="49" fontId="27" fillId="0" borderId="0" xfId="0" quotePrefix="1" applyNumberFormat="1" applyFont="1" applyFill="1"/>
    <xf numFmtId="49" fontId="43" fillId="2" borderId="0" xfId="0" quotePrefix="1" applyNumberFormat="1" applyFont="1" applyFill="1" applyBorder="1" applyAlignment="1">
      <alignment horizontal="center"/>
    </xf>
    <xf numFmtId="0" fontId="43" fillId="2" borderId="26" xfId="0" applyFont="1" applyFill="1" applyBorder="1"/>
    <xf numFmtId="0" fontId="43" fillId="2" borderId="18" xfId="0" applyFont="1" applyFill="1" applyBorder="1"/>
    <xf numFmtId="0" fontId="28" fillId="2" borderId="19" xfId="0" applyFont="1" applyFill="1" applyBorder="1"/>
    <xf numFmtId="0" fontId="44" fillId="2" borderId="17" xfId="0" quotePrefix="1" applyFont="1" applyFill="1" applyBorder="1" applyAlignment="1">
      <alignment horizontal="left" indent="2"/>
    </xf>
    <xf numFmtId="0" fontId="27" fillId="0" borderId="0" xfId="0" quotePrefix="1" applyFont="1" applyFill="1" applyAlignment="1">
      <alignment horizontal="left" vertical="center" indent="1"/>
    </xf>
    <xf numFmtId="43" fontId="27" fillId="0" borderId="0" xfId="0" applyNumberFormat="1" applyFont="1" applyBorder="1"/>
    <xf numFmtId="0" fontId="28" fillId="2" borderId="0" xfId="0" quotePrefix="1" applyFont="1" applyFill="1" applyBorder="1" applyAlignment="1">
      <alignment vertical="top" wrapText="1"/>
    </xf>
    <xf numFmtId="0" fontId="28" fillId="2" borderId="18" xfId="0" quotePrefix="1" applyFont="1" applyFill="1" applyBorder="1" applyAlignment="1">
      <alignment vertical="top" wrapText="1"/>
    </xf>
    <xf numFmtId="43" fontId="44" fillId="0" borderId="0" xfId="0" quotePrefix="1" applyNumberFormat="1" applyFont="1" applyAlignment="1">
      <alignment horizontal="left"/>
    </xf>
    <xf numFmtId="0" fontId="12" fillId="0" borderId="0" xfId="12"/>
    <xf numFmtId="0" fontId="12" fillId="0" borderId="0" xfId="12" applyAlignment="1">
      <alignment horizontal="center"/>
    </xf>
    <xf numFmtId="43" fontId="0" fillId="0" borderId="0" xfId="13" applyFont="1"/>
    <xf numFmtId="43" fontId="12" fillId="0" borderId="0" xfId="12" applyNumberFormat="1"/>
    <xf numFmtId="43" fontId="13" fillId="0" borderId="0" xfId="13" applyFont="1"/>
    <xf numFmtId="0" fontId="62" fillId="0" borderId="0" xfId="12" applyFont="1"/>
    <xf numFmtId="43" fontId="62" fillId="0" borderId="0" xfId="12" applyNumberFormat="1" applyFont="1"/>
    <xf numFmtId="43" fontId="62" fillId="0" borderId="1" xfId="12" applyNumberFormat="1" applyFont="1" applyBorder="1"/>
    <xf numFmtId="0" fontId="61" fillId="0" borderId="0" xfId="12" applyFont="1"/>
    <xf numFmtId="0" fontId="61" fillId="0" borderId="0" xfId="12" applyFont="1" applyAlignment="1">
      <alignment horizontal="center"/>
    </xf>
    <xf numFmtId="0" fontId="61" fillId="0" borderId="0" xfId="12" applyFont="1" applyAlignment="1">
      <alignment horizontal="center" wrapText="1"/>
    </xf>
    <xf numFmtId="0" fontId="62" fillId="0" borderId="0" xfId="12" applyFont="1" applyAlignment="1">
      <alignment horizontal="right"/>
    </xf>
    <xf numFmtId="49" fontId="28" fillId="2" borderId="0" xfId="0" quotePrefix="1" applyNumberFormat="1" applyFont="1" applyFill="1" applyAlignment="1">
      <alignment horizontal="center"/>
    </xf>
    <xf numFmtId="43" fontId="62" fillId="0" borderId="0" xfId="1" applyFont="1"/>
    <xf numFmtId="43" fontId="12" fillId="0" borderId="0" xfId="12" applyNumberFormat="1" applyFill="1"/>
    <xf numFmtId="43" fontId="13" fillId="0" borderId="0" xfId="1" applyFont="1"/>
    <xf numFmtId="43" fontId="65" fillId="0" borderId="0" xfId="1" applyFont="1"/>
    <xf numFmtId="43" fontId="65" fillId="0" borderId="0" xfId="13" applyFont="1"/>
    <xf numFmtId="0" fontId="62" fillId="0" borderId="0" xfId="12" applyFont="1" applyAlignment="1">
      <alignment horizontal="left"/>
    </xf>
    <xf numFmtId="43" fontId="63" fillId="0" borderId="0" xfId="13" applyFont="1" applyAlignment="1">
      <alignment horizontal="center"/>
    </xf>
    <xf numFmtId="43" fontId="64" fillId="0" borderId="0" xfId="1" applyFont="1" applyAlignment="1">
      <alignment horizontal="center"/>
    </xf>
    <xf numFmtId="4" fontId="24" fillId="0" borderId="0" xfId="0" quotePrefix="1" applyNumberFormat="1" applyFont="1" applyAlignment="1">
      <alignment horizontal="center"/>
    </xf>
    <xf numFmtId="0" fontId="24" fillId="0" borderId="0" xfId="0" applyFont="1" applyAlignment="1">
      <alignment horizontal="center"/>
    </xf>
    <xf numFmtId="0" fontId="24" fillId="0" borderId="0" xfId="0" applyFont="1" applyAlignment="1">
      <alignment horizontal="left"/>
    </xf>
    <xf numFmtId="0" fontId="24" fillId="0" borderId="0" xfId="0" quotePrefix="1" applyFont="1" applyAlignment="1">
      <alignment horizontal="left"/>
    </xf>
    <xf numFmtId="0" fontId="24" fillId="2" borderId="0" xfId="0" applyFont="1" applyFill="1" applyAlignment="1">
      <alignment horizontal="right"/>
    </xf>
    <xf numFmtId="0" fontId="24" fillId="2" borderId="0" xfId="0" applyFont="1" applyFill="1" applyAlignment="1">
      <alignment horizontal="left"/>
    </xf>
    <xf numFmtId="0" fontId="24" fillId="2" borderId="0" xfId="0" quotePrefix="1" applyFont="1" applyFill="1" applyAlignment="1">
      <alignment horizontal="left"/>
    </xf>
    <xf numFmtId="0" fontId="24" fillId="2" borderId="0" xfId="0" applyFont="1" applyFill="1" applyAlignment="1">
      <alignment horizontal="center"/>
    </xf>
    <xf numFmtId="41" fontId="24" fillId="2" borderId="0" xfId="0" applyNumberFormat="1" applyFont="1" applyFill="1" applyBorder="1"/>
    <xf numFmtId="41" fontId="24" fillId="2" borderId="5" xfId="0" applyNumberFormat="1" applyFont="1" applyFill="1" applyBorder="1"/>
    <xf numFmtId="43" fontId="41" fillId="4" borderId="0" xfId="7" applyNumberFormat="1" applyFont="1" applyFill="1"/>
    <xf numFmtId="43" fontId="12" fillId="0" borderId="0" xfId="1" applyFont="1"/>
    <xf numFmtId="0" fontId="66" fillId="0" borderId="0" xfId="12" applyFont="1"/>
    <xf numFmtId="43" fontId="0" fillId="0" borderId="0" xfId="13" applyFont="1" applyFill="1"/>
    <xf numFmtId="43" fontId="62" fillId="0" borderId="0" xfId="1" applyFont="1" applyFill="1"/>
    <xf numFmtId="43" fontId="12" fillId="0" borderId="0" xfId="1" applyFont="1" applyFill="1"/>
    <xf numFmtId="43" fontId="24" fillId="0" borderId="0" xfId="0" applyNumberFormat="1" applyFont="1" applyAlignment="1">
      <alignment horizontal="right"/>
    </xf>
    <xf numFmtId="49" fontId="25" fillId="0" borderId="0" xfId="0" applyNumberFormat="1" applyFont="1"/>
    <xf numFmtId="43" fontId="0" fillId="3" borderId="0" xfId="13" applyFont="1" applyFill="1"/>
    <xf numFmtId="0" fontId="12" fillId="3" borderId="0" xfId="12" applyFill="1"/>
    <xf numFmtId="0" fontId="12" fillId="3" borderId="0" xfId="12" applyFill="1" applyAlignment="1">
      <alignment horizontal="center"/>
    </xf>
    <xf numFmtId="0" fontId="43" fillId="0" borderId="0" xfId="0" applyFont="1" applyAlignment="1">
      <alignment horizontal="center"/>
    </xf>
    <xf numFmtId="49" fontId="27" fillId="0" borderId="0" xfId="7" quotePrefix="1" applyNumberFormat="1" applyFont="1" applyFill="1" applyAlignment="1">
      <alignment horizontal="left" indent="1"/>
    </xf>
    <xf numFmtId="0" fontId="11" fillId="0" borderId="0" xfId="12" applyFont="1" applyFill="1"/>
    <xf numFmtId="0" fontId="12" fillId="0" borderId="0" xfId="12" applyFill="1"/>
    <xf numFmtId="0" fontId="67" fillId="0" borderId="0" xfId="12" applyFont="1"/>
    <xf numFmtId="0" fontId="67" fillId="0" borderId="0" xfId="12" applyFont="1" applyAlignment="1">
      <alignment horizontal="center"/>
    </xf>
    <xf numFmtId="43" fontId="68" fillId="0" borderId="0" xfId="13" applyFont="1"/>
    <xf numFmtId="43" fontId="69" fillId="0" borderId="0" xfId="13" applyFont="1"/>
    <xf numFmtId="1" fontId="19" fillId="0" borderId="0" xfId="0" quotePrefix="1" applyNumberFormat="1" applyFont="1" applyAlignment="1">
      <alignment horizontal="left"/>
    </xf>
    <xf numFmtId="43" fontId="65" fillId="0" borderId="0" xfId="13" applyFont="1" applyFill="1"/>
    <xf numFmtId="0" fontId="24" fillId="0" borderId="0" xfId="0" quotePrefix="1" applyFont="1" applyAlignment="1">
      <alignment horizontal="left"/>
    </xf>
    <xf numFmtId="49" fontId="28" fillId="2" borderId="0" xfId="0" quotePrefix="1" applyNumberFormat="1" applyFont="1" applyFill="1" applyBorder="1" applyAlignment="1">
      <alignment wrapText="1"/>
    </xf>
    <xf numFmtId="49" fontId="28" fillId="2" borderId="18" xfId="0" quotePrefix="1" applyNumberFormat="1" applyFont="1" applyFill="1" applyBorder="1" applyAlignment="1">
      <alignment wrapText="1"/>
    </xf>
    <xf numFmtId="49" fontId="28" fillId="2" borderId="7" xfId="0" quotePrefix="1" applyNumberFormat="1" applyFont="1" applyFill="1" applyBorder="1" applyAlignment="1"/>
    <xf numFmtId="2" fontId="49" fillId="0" borderId="0" xfId="0" applyNumberFormat="1" applyFont="1" applyAlignment="1">
      <alignment horizontal="left" indent="3"/>
    </xf>
    <xf numFmtId="4" fontId="24" fillId="0" borderId="0" xfId="0" quotePrefix="1" applyNumberFormat="1" applyFont="1" applyAlignment="1">
      <alignment horizontal="center"/>
    </xf>
    <xf numFmtId="0" fontId="24" fillId="0" borderId="0" xfId="0" applyFont="1" applyAlignment="1">
      <alignment horizontal="center"/>
    </xf>
    <xf numFmtId="0" fontId="24" fillId="0" borderId="1" xfId="0" applyFont="1" applyBorder="1" applyAlignment="1">
      <alignment horizontal="center"/>
    </xf>
    <xf numFmtId="0" fontId="24" fillId="0" borderId="0" xfId="0" quotePrefix="1" applyFont="1" applyAlignment="1">
      <alignment horizontal="center"/>
    </xf>
    <xf numFmtId="4" fontId="24" fillId="0" borderId="0" xfId="0" applyNumberFormat="1" applyFont="1"/>
    <xf numFmtId="4" fontId="25" fillId="0" borderId="0" xfId="0" applyNumberFormat="1" applyFont="1" applyAlignment="1">
      <alignment horizontal="left"/>
    </xf>
    <xf numFmtId="0" fontId="24" fillId="0" borderId="1" xfId="0" quotePrefix="1" applyFont="1" applyBorder="1" applyAlignment="1">
      <alignment horizontal="center"/>
    </xf>
    <xf numFmtId="0" fontId="24" fillId="0" borderId="0" xfId="0" applyFont="1" applyAlignment="1">
      <alignment horizontal="left"/>
    </xf>
    <xf numFmtId="2" fontId="24" fillId="0" borderId="0" xfId="0" applyNumberFormat="1" applyFont="1" applyAlignment="1">
      <alignment horizontal="center"/>
    </xf>
    <xf numFmtId="0" fontId="24" fillId="0" borderId="0" xfId="0" quotePrefix="1" applyFont="1" applyAlignment="1">
      <alignment horizontal="left"/>
    </xf>
    <xf numFmtId="0" fontId="24" fillId="0" borderId="0" xfId="0" quotePrefix="1" applyFont="1" applyAlignment="1">
      <alignment horizontal="left" wrapText="1"/>
    </xf>
    <xf numFmtId="0" fontId="24" fillId="0" borderId="0" xfId="0" applyFont="1" applyAlignment="1">
      <alignment horizontal="right"/>
    </xf>
    <xf numFmtId="3" fontId="24" fillId="0" borderId="0" xfId="0" quotePrefix="1" applyNumberFormat="1" applyFont="1" applyAlignment="1">
      <alignment horizontal="center"/>
    </xf>
    <xf numFmtId="0" fontId="24" fillId="2" borderId="0" xfId="0" quotePrefix="1" applyFont="1" applyFill="1" applyAlignment="1">
      <alignment horizontal="left"/>
    </xf>
    <xf numFmtId="0" fontId="24" fillId="2" borderId="0" xfId="0" applyFont="1" applyFill="1" applyAlignment="1">
      <alignment horizontal="left"/>
    </xf>
    <xf numFmtId="0" fontId="24" fillId="2" borderId="0" xfId="0" applyFont="1" applyFill="1" applyAlignment="1">
      <alignment horizontal="right"/>
    </xf>
    <xf numFmtId="166" fontId="29" fillId="2" borderId="0" xfId="0" applyNumberFormat="1" applyFont="1" applyFill="1" applyAlignment="1">
      <alignment horizontal="left"/>
    </xf>
    <xf numFmtId="0" fontId="24" fillId="2" borderId="1" xfId="0" applyFont="1" applyFill="1" applyBorder="1" applyAlignment="1">
      <alignment horizontal="center"/>
    </xf>
    <xf numFmtId="165" fontId="24" fillId="2" borderId="0" xfId="4" applyFont="1" applyFill="1" applyBorder="1" applyAlignment="1">
      <alignment horizontal="right"/>
    </xf>
    <xf numFmtId="2" fontId="34" fillId="2" borderId="0" xfId="0" applyNumberFormat="1" applyFont="1" applyFill="1" applyAlignment="1">
      <alignment horizontal="left"/>
    </xf>
    <xf numFmtId="4" fontId="24" fillId="2" borderId="0" xfId="0" quotePrefix="1" applyNumberFormat="1" applyFont="1" applyFill="1" applyAlignment="1">
      <alignment horizontal="left"/>
    </xf>
    <xf numFmtId="2" fontId="24" fillId="2" borderId="0" xfId="0" applyNumberFormat="1" applyFont="1" applyFill="1" applyAlignment="1">
      <alignment horizontal="center"/>
    </xf>
    <xf numFmtId="0" fontId="28" fillId="0" borderId="0" xfId="0" applyFont="1" applyAlignment="1">
      <alignment horizontal="left"/>
    </xf>
    <xf numFmtId="0" fontId="24" fillId="2" borderId="0" xfId="0" applyFont="1" applyFill="1" applyAlignment="1">
      <alignment horizontal="center"/>
    </xf>
    <xf numFmtId="0" fontId="30" fillId="2" borderId="0" xfId="0" applyFont="1" applyFill="1" applyAlignment="1">
      <alignment horizontal="right"/>
    </xf>
    <xf numFmtId="0" fontId="24" fillId="2" borderId="0" xfId="0" quotePrefix="1" applyFont="1" applyFill="1" applyAlignment="1">
      <alignment horizontal="left" wrapText="1"/>
    </xf>
    <xf numFmtId="0" fontId="26" fillId="2" borderId="0" xfId="0" applyFont="1" applyFill="1" applyAlignment="1">
      <alignment horizontal="left"/>
    </xf>
    <xf numFmtId="0" fontId="24" fillId="2" borderId="1" xfId="0" quotePrefix="1" applyFont="1" applyFill="1" applyBorder="1" applyAlignment="1">
      <alignment horizontal="center"/>
    </xf>
    <xf numFmtId="4" fontId="24" fillId="2" borderId="0" xfId="0" applyNumberFormat="1" applyFont="1" applyFill="1" applyAlignment="1">
      <alignment horizontal="left"/>
    </xf>
    <xf numFmtId="4" fontId="25" fillId="2" borderId="0" xfId="0" applyNumberFormat="1" applyFont="1" applyFill="1" applyAlignment="1">
      <alignment horizontal="left"/>
    </xf>
    <xf numFmtId="4" fontId="24" fillId="0" borderId="0" xfId="0" applyNumberFormat="1" applyFont="1" applyAlignment="1">
      <alignment horizontal="left"/>
    </xf>
    <xf numFmtId="0" fontId="26" fillId="2" borderId="0" xfId="0" applyFont="1" applyFill="1" applyAlignment="1">
      <alignment horizontal="center"/>
    </xf>
    <xf numFmtId="7" fontId="27" fillId="2" borderId="0" xfId="0" applyNumberFormat="1" applyFont="1" applyFill="1" applyAlignment="1">
      <alignment horizontal="center"/>
    </xf>
    <xf numFmtId="0" fontId="24" fillId="0" borderId="0" xfId="0" quotePrefix="1" applyFont="1" applyAlignment="1">
      <alignment horizontal="left"/>
    </xf>
    <xf numFmtId="0" fontId="24" fillId="0" borderId="0" xfId="0" applyFont="1" applyAlignment="1">
      <alignment horizontal="left"/>
    </xf>
    <xf numFmtId="3" fontId="24" fillId="0" borderId="0" xfId="0" quotePrefix="1" applyNumberFormat="1" applyFont="1" applyAlignment="1">
      <alignment horizontal="center"/>
    </xf>
    <xf numFmtId="0" fontId="24" fillId="0" borderId="0" xfId="0" applyFont="1" applyAlignment="1">
      <alignment horizontal="right"/>
    </xf>
    <xf numFmtId="0" fontId="24" fillId="0" borderId="0" xfId="0" applyFont="1" applyAlignment="1">
      <alignment horizontal="center"/>
    </xf>
    <xf numFmtId="0" fontId="24" fillId="0" borderId="1" xfId="0" applyFont="1" applyBorder="1" applyAlignment="1">
      <alignment horizontal="center"/>
    </xf>
    <xf numFmtId="0" fontId="24" fillId="0" borderId="0" xfId="0" quotePrefix="1" applyFont="1" applyAlignment="1">
      <alignment horizontal="center"/>
    </xf>
    <xf numFmtId="0" fontId="24" fillId="0" borderId="0" xfId="0" quotePrefix="1" applyFont="1" applyAlignment="1">
      <alignment horizontal="left" wrapText="1"/>
    </xf>
    <xf numFmtId="2" fontId="24" fillId="0" borderId="0" xfId="0" applyNumberFormat="1" applyFont="1" applyAlignment="1">
      <alignment horizontal="center"/>
    </xf>
    <xf numFmtId="4" fontId="24" fillId="0" borderId="0" xfId="0" applyNumberFormat="1" applyFont="1"/>
    <xf numFmtId="4" fontId="25" fillId="0" borderId="0" xfId="0" applyNumberFormat="1" applyFont="1" applyAlignment="1">
      <alignment horizontal="left"/>
    </xf>
    <xf numFmtId="0" fontId="24" fillId="0" borderId="1" xfId="0" quotePrefix="1" applyFont="1" applyBorder="1" applyAlignment="1">
      <alignment horizontal="center"/>
    </xf>
    <xf numFmtId="2" fontId="49" fillId="0" borderId="0" xfId="0" applyNumberFormat="1" applyFont="1" applyAlignment="1">
      <alignment horizontal="left" indent="3"/>
    </xf>
    <xf numFmtId="4" fontId="24" fillId="0" borderId="0" xfId="0" quotePrefix="1" applyNumberFormat="1" applyFont="1" applyAlignment="1">
      <alignment horizontal="center"/>
    </xf>
    <xf numFmtId="0" fontId="24" fillId="2" borderId="0" xfId="0" applyFont="1" applyFill="1" applyAlignment="1">
      <alignment horizontal="center"/>
    </xf>
    <xf numFmtId="4" fontId="24" fillId="2" borderId="0" xfId="0" applyNumberFormat="1" applyFont="1" applyFill="1" applyAlignment="1">
      <alignment horizontal="left"/>
    </xf>
    <xf numFmtId="4" fontId="25" fillId="2" borderId="0" xfId="0" applyNumberFormat="1" applyFont="1" applyFill="1" applyAlignment="1">
      <alignment horizontal="left"/>
    </xf>
    <xf numFmtId="4" fontId="24" fillId="0" borderId="0" xfId="0" applyNumberFormat="1" applyFont="1" applyAlignment="1">
      <alignment horizontal="left"/>
    </xf>
    <xf numFmtId="0" fontId="26" fillId="2" borderId="0" xfId="0" applyFont="1" applyFill="1" applyAlignment="1">
      <alignment horizontal="center"/>
    </xf>
    <xf numFmtId="7" fontId="27" fillId="2" borderId="0" xfId="0" applyNumberFormat="1" applyFont="1" applyFill="1" applyAlignment="1">
      <alignment horizontal="center"/>
    </xf>
    <xf numFmtId="0" fontId="24" fillId="2" borderId="0" xfId="0" applyFont="1" applyFill="1" applyAlignment="1">
      <alignment horizontal="left"/>
    </xf>
    <xf numFmtId="0" fontId="24" fillId="2" borderId="1" xfId="0" quotePrefix="1" applyFont="1" applyFill="1" applyBorder="1" applyAlignment="1">
      <alignment horizontal="center"/>
    </xf>
    <xf numFmtId="0" fontId="26" fillId="2" borderId="0" xfId="0" applyFont="1" applyFill="1" applyAlignment="1">
      <alignment horizontal="left"/>
    </xf>
    <xf numFmtId="2" fontId="24" fillId="2" borderId="0" xfId="0" applyNumberFormat="1" applyFont="1" applyFill="1" applyAlignment="1">
      <alignment horizontal="center"/>
    </xf>
    <xf numFmtId="166" fontId="29" fillId="2" borderId="0" xfId="0" applyNumberFormat="1" applyFont="1" applyFill="1" applyAlignment="1">
      <alignment horizontal="left"/>
    </xf>
    <xf numFmtId="0" fontId="24" fillId="2" borderId="0" xfId="0" quotePrefix="1" applyFont="1" applyFill="1" applyAlignment="1">
      <alignment horizontal="left"/>
    </xf>
    <xf numFmtId="0" fontId="24" fillId="2" borderId="0" xfId="0" quotePrefix="1" applyFont="1" applyFill="1" applyAlignment="1">
      <alignment horizontal="left" wrapText="1"/>
    </xf>
    <xf numFmtId="0" fontId="28" fillId="0" borderId="0" xfId="0" applyFont="1" applyAlignment="1">
      <alignment horizontal="left"/>
    </xf>
    <xf numFmtId="0" fontId="24" fillId="2" borderId="1" xfId="0" applyFont="1" applyFill="1" applyBorder="1" applyAlignment="1">
      <alignment horizontal="center"/>
    </xf>
    <xf numFmtId="0" fontId="30" fillId="2" borderId="0" xfId="0" applyFont="1" applyFill="1" applyAlignment="1">
      <alignment horizontal="right"/>
    </xf>
    <xf numFmtId="0" fontId="24" fillId="2" borderId="0" xfId="0" applyFont="1" applyFill="1" applyAlignment="1">
      <alignment horizontal="right"/>
    </xf>
    <xf numFmtId="165" fontId="24" fillId="2" borderId="0" xfId="4" applyFont="1" applyFill="1" applyBorder="1" applyAlignment="1">
      <alignment horizontal="right"/>
    </xf>
    <xf numFmtId="2" fontId="34" fillId="2" borderId="0" xfId="0" applyNumberFormat="1" applyFont="1" applyFill="1" applyAlignment="1">
      <alignment horizontal="left"/>
    </xf>
    <xf numFmtId="4" fontId="24" fillId="2" borderId="0" xfId="0" quotePrefix="1" applyNumberFormat="1" applyFont="1" applyFill="1" applyAlignment="1">
      <alignment horizontal="left"/>
    </xf>
    <xf numFmtId="0" fontId="10" fillId="0" borderId="0" xfId="12" applyFont="1"/>
    <xf numFmtId="49" fontId="10" fillId="0" borderId="0" xfId="12" applyNumberFormat="1" applyFont="1" applyAlignment="1">
      <alignment horizontal="center"/>
    </xf>
    <xf numFmtId="1" fontId="28" fillId="0" borderId="0" xfId="0" applyNumberFormat="1" applyFont="1" applyBorder="1" applyAlignment="1">
      <alignment horizontal="center"/>
    </xf>
    <xf numFmtId="0" fontId="28" fillId="0" borderId="0" xfId="0" applyFont="1" applyBorder="1" applyAlignment="1">
      <alignment horizontal="center"/>
    </xf>
    <xf numFmtId="0" fontId="20" fillId="2" borderId="27" xfId="0" quotePrefix="1" applyFont="1" applyFill="1" applyBorder="1" applyAlignment="1">
      <alignment horizontal="left"/>
    </xf>
    <xf numFmtId="0" fontId="44" fillId="2" borderId="17" xfId="0" quotePrefix="1" applyFont="1" applyFill="1" applyBorder="1" applyAlignment="1">
      <alignment horizontal="left"/>
    </xf>
    <xf numFmtId="0" fontId="20" fillId="0" borderId="0" xfId="0" quotePrefix="1" applyFont="1" applyFill="1" applyBorder="1" applyAlignment="1">
      <alignment horizontal="left" indent="1"/>
    </xf>
    <xf numFmtId="0" fontId="44" fillId="0" borderId="0" xfId="0" quotePrefix="1" applyFont="1" applyFill="1" applyBorder="1" applyAlignment="1">
      <alignment horizontal="left" indent="2"/>
    </xf>
    <xf numFmtId="0" fontId="44" fillId="0" borderId="0" xfId="0" quotePrefix="1" applyFont="1" applyFill="1" applyBorder="1" applyAlignment="1">
      <alignment horizontal="left"/>
    </xf>
    <xf numFmtId="0" fontId="20" fillId="0" borderId="0" xfId="0" quotePrefix="1" applyFont="1" applyFill="1" applyBorder="1" applyAlignment="1">
      <alignment horizontal="left"/>
    </xf>
    <xf numFmtId="0" fontId="41" fillId="0" borderId="0" xfId="0" applyFont="1" applyFill="1" applyBorder="1"/>
    <xf numFmtId="43" fontId="27" fillId="0" borderId="0" xfId="7" applyNumberFormat="1" applyFont="1" applyFill="1"/>
    <xf numFmtId="43" fontId="28" fillId="0" borderId="0" xfId="0" applyNumberFormat="1" applyFont="1" applyBorder="1" applyAlignment="1">
      <alignment horizontal="center"/>
    </xf>
    <xf numFmtId="1" fontId="27" fillId="0" borderId="0" xfId="0" applyNumberFormat="1" applyFont="1" applyBorder="1" applyAlignment="1">
      <alignment horizontal="center"/>
    </xf>
    <xf numFmtId="1" fontId="27" fillId="0" borderId="0" xfId="0" applyNumberFormat="1" applyFont="1" applyBorder="1" applyAlignment="1">
      <alignment horizontal="left"/>
    </xf>
    <xf numFmtId="49" fontId="27" fillId="0" borderId="0" xfId="0" applyNumberFormat="1" applyFont="1" applyBorder="1" applyAlignment="1">
      <alignment horizontal="center"/>
    </xf>
    <xf numFmtId="49" fontId="27" fillId="4" borderId="0" xfId="0" quotePrefix="1" applyNumberFormat="1" applyFont="1" applyFill="1" applyAlignment="1">
      <alignment horizontal="left"/>
    </xf>
    <xf numFmtId="0" fontId="27" fillId="0" borderId="0" xfId="0" applyFont="1" applyBorder="1" applyAlignment="1">
      <alignment horizontal="left"/>
    </xf>
    <xf numFmtId="0" fontId="27" fillId="0" borderId="0" xfId="0" applyFont="1" applyBorder="1" applyAlignment="1">
      <alignment horizontal="center"/>
    </xf>
    <xf numFmtId="43" fontId="0" fillId="0" borderId="0" xfId="1" applyFont="1" applyFill="1"/>
    <xf numFmtId="43" fontId="10" fillId="0" borderId="0" xfId="1" applyFont="1" applyAlignment="1">
      <alignment horizontal="center"/>
    </xf>
    <xf numFmtId="43" fontId="13" fillId="0" borderId="0" xfId="13" applyFont="1" applyAlignment="1">
      <alignment horizontal="center"/>
    </xf>
    <xf numFmtId="43" fontId="9" fillId="0" borderId="0" xfId="1" applyFont="1" applyAlignment="1">
      <alignment horizontal="center"/>
    </xf>
    <xf numFmtId="43" fontId="9" fillId="0" borderId="0" xfId="12" applyNumberFormat="1" applyFont="1" applyAlignment="1">
      <alignment horizontal="center"/>
    </xf>
    <xf numFmtId="43" fontId="0" fillId="3" borderId="0" xfId="1" applyFont="1" applyFill="1"/>
    <xf numFmtId="43" fontId="8" fillId="0" borderId="0" xfId="1" applyFont="1" applyAlignment="1">
      <alignment horizontal="center"/>
    </xf>
    <xf numFmtId="43" fontId="13" fillId="0" borderId="0" xfId="1" applyFont="1" applyFill="1"/>
    <xf numFmtId="43" fontId="7" fillId="0" borderId="0" xfId="1" applyFont="1" applyAlignment="1">
      <alignment horizontal="center"/>
    </xf>
    <xf numFmtId="43" fontId="7" fillId="0" borderId="0" xfId="1" applyFont="1"/>
    <xf numFmtId="43" fontId="28" fillId="0" borderId="14" xfId="1" applyFont="1" applyBorder="1" applyAlignment="1">
      <alignment horizontal="center"/>
    </xf>
    <xf numFmtId="43" fontId="28" fillId="0" borderId="0" xfId="0" applyNumberFormat="1" applyFont="1"/>
    <xf numFmtId="43" fontId="41" fillId="0" borderId="0" xfId="1" applyNumberFormat="1" applyFont="1"/>
    <xf numFmtId="43" fontId="6" fillId="0" borderId="0" xfId="1" applyFont="1" applyAlignment="1">
      <alignment horizontal="center"/>
    </xf>
    <xf numFmtId="43" fontId="62" fillId="0" borderId="0" xfId="1" applyFont="1" applyAlignment="1">
      <alignment horizontal="center"/>
    </xf>
    <xf numFmtId="43" fontId="0" fillId="0" borderId="0" xfId="1" applyFont="1"/>
    <xf numFmtId="1" fontId="27" fillId="12" borderId="0" xfId="8" applyNumberFormat="1" applyFont="1" applyFill="1" applyAlignment="1">
      <alignment horizontal="center"/>
    </xf>
    <xf numFmtId="49" fontId="27" fillId="0" borderId="0" xfId="8" applyNumberFormat="1" applyFont="1" applyFill="1" applyAlignment="1">
      <alignment horizontal="center"/>
    </xf>
    <xf numFmtId="1" fontId="27" fillId="0" borderId="0" xfId="8" applyNumberFormat="1" applyFont="1" applyFill="1" applyAlignment="1">
      <alignment horizontal="center"/>
    </xf>
    <xf numFmtId="49" fontId="27" fillId="4" borderId="0" xfId="0" applyNumberFormat="1" applyFont="1" applyFill="1" applyBorder="1" applyAlignment="1">
      <alignment horizontal="center"/>
    </xf>
    <xf numFmtId="1" fontId="27" fillId="4" borderId="0" xfId="0" applyNumberFormat="1" applyFont="1" applyFill="1" applyBorder="1" applyAlignment="1">
      <alignment horizontal="left"/>
    </xf>
    <xf numFmtId="0" fontId="27" fillId="4" borderId="0" xfId="0" applyFont="1" applyFill="1" applyBorder="1" applyAlignment="1">
      <alignment horizontal="left"/>
    </xf>
    <xf numFmtId="43" fontId="28" fillId="4" borderId="0" xfId="1" quotePrefix="1" applyFont="1" applyFill="1" applyBorder="1" applyAlignment="1">
      <alignment horizontal="center"/>
    </xf>
    <xf numFmtId="43" fontId="29" fillId="0" borderId="1" xfId="1" applyNumberFormat="1" applyFont="1" applyBorder="1" applyAlignment="1">
      <alignment horizontal="center"/>
    </xf>
    <xf numFmtId="43" fontId="5" fillId="0" borderId="0" xfId="1" applyFont="1" applyAlignment="1">
      <alignment horizontal="center"/>
    </xf>
    <xf numFmtId="43" fontId="4" fillId="0" borderId="0" xfId="1" applyFont="1" applyAlignment="1">
      <alignment horizontal="center"/>
    </xf>
    <xf numFmtId="43" fontId="4" fillId="0" borderId="0" xfId="1" applyFont="1"/>
    <xf numFmtId="4" fontId="24" fillId="0" borderId="0" xfId="0" quotePrefix="1" applyNumberFormat="1" applyFont="1" applyAlignment="1">
      <alignment horizontal="center"/>
    </xf>
    <xf numFmtId="0" fontId="24" fillId="0" borderId="0" xfId="0" applyFont="1" applyAlignment="1">
      <alignment horizontal="center"/>
    </xf>
    <xf numFmtId="0" fontId="24" fillId="0" borderId="0" xfId="0" applyFont="1" applyAlignment="1">
      <alignment horizontal="left"/>
    </xf>
    <xf numFmtId="0" fontId="24" fillId="0" borderId="0" xfId="0" quotePrefix="1" applyFont="1" applyAlignment="1">
      <alignment horizontal="left"/>
    </xf>
    <xf numFmtId="43" fontId="20" fillId="0" borderId="0" xfId="0" quotePrefix="1" applyNumberFormat="1" applyFont="1" applyAlignment="1">
      <alignment horizontal="left" indent="1"/>
    </xf>
    <xf numFmtId="0" fontId="28" fillId="2" borderId="7" xfId="0" quotePrefix="1" applyFont="1" applyFill="1" applyBorder="1" applyAlignment="1"/>
    <xf numFmtId="49" fontId="28" fillId="2" borderId="7" xfId="0" quotePrefix="1" applyNumberFormat="1" applyFont="1" applyFill="1" applyBorder="1" applyAlignment="1">
      <alignment horizontal="left" wrapText="1"/>
    </xf>
    <xf numFmtId="43" fontId="3" fillId="0" borderId="0" xfId="1" applyFont="1" applyAlignment="1">
      <alignment horizontal="center"/>
    </xf>
    <xf numFmtId="43" fontId="61" fillId="0" borderId="0" xfId="1" applyFont="1" applyAlignment="1">
      <alignment horizontal="center"/>
    </xf>
    <xf numFmtId="0" fontId="24" fillId="13" borderId="0" xfId="0" applyFont="1" applyFill="1"/>
    <xf numFmtId="43" fontId="13" fillId="0" borderId="0" xfId="13" applyFont="1" applyFill="1"/>
    <xf numFmtId="43" fontId="13" fillId="3" borderId="0" xfId="13" applyFont="1" applyFill="1"/>
    <xf numFmtId="2" fontId="49" fillId="0" borderId="0" xfId="0" applyNumberFormat="1" applyFont="1" applyAlignment="1">
      <alignment horizontal="left" indent="3"/>
    </xf>
    <xf numFmtId="4" fontId="24" fillId="0" borderId="0" xfId="0" quotePrefix="1" applyNumberFormat="1" applyFont="1" applyAlignment="1">
      <alignment horizontal="center"/>
    </xf>
    <xf numFmtId="0" fontId="24" fillId="0" borderId="0" xfId="0" applyFont="1" applyAlignment="1">
      <alignment horizontal="center"/>
    </xf>
    <xf numFmtId="0" fontId="24" fillId="0" borderId="1" xfId="0" applyFont="1" applyBorder="1" applyAlignment="1">
      <alignment horizontal="center"/>
    </xf>
    <xf numFmtId="0" fontId="24" fillId="0" borderId="0" xfId="0" quotePrefix="1" applyFont="1" applyAlignment="1">
      <alignment horizontal="center"/>
    </xf>
    <xf numFmtId="4" fontId="24" fillId="0" borderId="0" xfId="0" applyNumberFormat="1" applyFont="1"/>
    <xf numFmtId="4" fontId="25" fillId="0" borderId="0" xfId="0" applyNumberFormat="1" applyFont="1" applyAlignment="1">
      <alignment horizontal="left"/>
    </xf>
    <xf numFmtId="0" fontId="24" fillId="0" borderId="1" xfId="0" quotePrefix="1" applyFont="1" applyBorder="1" applyAlignment="1">
      <alignment horizontal="center"/>
    </xf>
    <xf numFmtId="0" fontId="24" fillId="0" borderId="0" xfId="0" applyFont="1" applyAlignment="1">
      <alignment horizontal="left"/>
    </xf>
    <xf numFmtId="2" fontId="24" fillId="0" borderId="0" xfId="0" applyNumberFormat="1" applyFont="1" applyAlignment="1">
      <alignment horizontal="center"/>
    </xf>
    <xf numFmtId="0" fontId="24" fillId="0" borderId="0" xfId="0" quotePrefix="1" applyFont="1" applyAlignment="1">
      <alignment horizontal="left"/>
    </xf>
    <xf numFmtId="0" fontId="24" fillId="0" borderId="0" xfId="0" quotePrefix="1" applyFont="1" applyAlignment="1">
      <alignment horizontal="left" wrapText="1"/>
    </xf>
    <xf numFmtId="0" fontId="24" fillId="0" borderId="0" xfId="0" applyFont="1" applyAlignment="1">
      <alignment horizontal="right"/>
    </xf>
    <xf numFmtId="3" fontId="24" fillId="0" borderId="0" xfId="0" quotePrefix="1" applyNumberFormat="1" applyFont="1" applyAlignment="1">
      <alignment horizontal="center"/>
    </xf>
    <xf numFmtId="0" fontId="24" fillId="2" borderId="0" xfId="0" applyFont="1" applyFill="1" applyAlignment="1">
      <alignment horizontal="center"/>
    </xf>
    <xf numFmtId="4" fontId="24" fillId="2" borderId="0" xfId="0" applyNumberFormat="1" applyFont="1" applyFill="1" applyAlignment="1">
      <alignment horizontal="left"/>
    </xf>
    <xf numFmtId="4" fontId="25" fillId="2" borderId="0" xfId="0" applyNumberFormat="1" applyFont="1" applyFill="1" applyAlignment="1">
      <alignment horizontal="left"/>
    </xf>
    <xf numFmtId="4" fontId="24" fillId="0" borderId="0" xfId="0" applyNumberFormat="1" applyFont="1" applyAlignment="1">
      <alignment horizontal="left"/>
    </xf>
    <xf numFmtId="0" fontId="26" fillId="2" borderId="0" xfId="0" applyFont="1" applyFill="1" applyAlignment="1">
      <alignment horizontal="center"/>
    </xf>
    <xf numFmtId="7" fontId="27" fillId="2" borderId="0" xfId="0" applyNumberFormat="1" applyFont="1" applyFill="1" applyAlignment="1">
      <alignment horizontal="center"/>
    </xf>
    <xf numFmtId="0" fontId="26" fillId="2" borderId="0" xfId="0" quotePrefix="1" applyFont="1" applyFill="1" applyAlignment="1">
      <alignment horizontal="left"/>
    </xf>
    <xf numFmtId="0" fontId="26" fillId="2" borderId="0" xfId="0" applyFont="1" applyFill="1" applyAlignment="1">
      <alignment horizontal="left"/>
    </xf>
    <xf numFmtId="0" fontId="24" fillId="2" borderId="1" xfId="0" quotePrefix="1" applyFont="1" applyFill="1" applyBorder="1" applyAlignment="1">
      <alignment horizontal="center"/>
    </xf>
    <xf numFmtId="0" fontId="24" fillId="2" borderId="0" xfId="0" applyFont="1" applyFill="1" applyAlignment="1">
      <alignment horizontal="left"/>
    </xf>
    <xf numFmtId="2" fontId="24" fillId="2" borderId="0" xfId="0" applyNumberFormat="1" applyFont="1" applyFill="1" applyAlignment="1">
      <alignment horizontal="center"/>
    </xf>
    <xf numFmtId="0" fontId="24" fillId="2" borderId="0" xfId="0" applyFont="1" applyFill="1" applyAlignment="1">
      <alignment horizontal="right"/>
    </xf>
    <xf numFmtId="166" fontId="29" fillId="2" borderId="0" xfId="0" applyNumberFormat="1" applyFont="1" applyFill="1" applyAlignment="1">
      <alignment horizontal="left"/>
    </xf>
    <xf numFmtId="0" fontId="24" fillId="2" borderId="0" xfId="0" quotePrefix="1" applyFont="1" applyFill="1" applyAlignment="1">
      <alignment horizontal="left"/>
    </xf>
    <xf numFmtId="0" fontId="24" fillId="2" borderId="0" xfId="0" quotePrefix="1" applyFont="1" applyFill="1" applyAlignment="1">
      <alignment horizontal="left" wrapText="1"/>
    </xf>
    <xf numFmtId="0" fontId="30" fillId="2" borderId="0" xfId="0" applyFont="1" applyFill="1" applyAlignment="1">
      <alignment horizontal="right"/>
    </xf>
    <xf numFmtId="165" fontId="24" fillId="2" borderId="0" xfId="4" applyFont="1" applyFill="1" applyBorder="1" applyAlignment="1">
      <alignment horizontal="right"/>
    </xf>
    <xf numFmtId="2" fontId="34" fillId="2" borderId="0" xfId="0" applyNumberFormat="1" applyFont="1" applyFill="1" applyAlignment="1">
      <alignment horizontal="left"/>
    </xf>
    <xf numFmtId="4" fontId="24" fillId="2" borderId="0" xfId="0" quotePrefix="1" applyNumberFormat="1" applyFont="1" applyFill="1" applyAlignment="1">
      <alignment horizontal="left"/>
    </xf>
    <xf numFmtId="0" fontId="24" fillId="2" borderId="1" xfId="0" applyFont="1" applyFill="1" applyBorder="1" applyAlignment="1">
      <alignment horizontal="center"/>
    </xf>
    <xf numFmtId="0" fontId="28" fillId="0" borderId="0" xfId="0" applyFont="1" applyAlignment="1">
      <alignment horizontal="left"/>
    </xf>
    <xf numFmtId="0" fontId="70" fillId="0" borderId="0" xfId="0" applyFont="1"/>
    <xf numFmtId="0" fontId="2" fillId="0" borderId="0" xfId="12" applyFont="1"/>
    <xf numFmtId="43" fontId="2" fillId="0" borderId="0" xfId="1" applyFont="1" applyAlignment="1">
      <alignment horizontal="center"/>
    </xf>
    <xf numFmtId="43" fontId="65" fillId="0" borderId="0" xfId="1" applyFont="1" applyFill="1"/>
    <xf numFmtId="43" fontId="13" fillId="3" borderId="0" xfId="1" applyFont="1" applyFill="1"/>
    <xf numFmtId="0" fontId="71" fillId="0" borderId="0" xfId="12" applyFont="1" applyAlignment="1">
      <alignment horizontal="center"/>
    </xf>
    <xf numFmtId="0" fontId="71" fillId="0" borderId="0" xfId="12" applyFont="1"/>
    <xf numFmtId="4" fontId="24" fillId="0" borderId="0" xfId="0" quotePrefix="1" applyNumberFormat="1" applyFont="1" applyAlignment="1">
      <alignment horizontal="center"/>
    </xf>
    <xf numFmtId="0" fontId="24" fillId="0" borderId="0" xfId="0" applyFont="1" applyAlignment="1">
      <alignment horizontal="left"/>
    </xf>
    <xf numFmtId="0" fontId="24" fillId="0" borderId="0" xfId="0" quotePrefix="1" applyFont="1" applyAlignment="1">
      <alignment horizontal="left"/>
    </xf>
    <xf numFmtId="43" fontId="0" fillId="8" borderId="0" xfId="13" applyFont="1" applyFill="1"/>
    <xf numFmtId="43" fontId="13" fillId="8" borderId="0" xfId="13" applyFont="1" applyFill="1"/>
    <xf numFmtId="0" fontId="12" fillId="8" borderId="0" xfId="12" applyFill="1" applyAlignment="1">
      <alignment horizontal="center"/>
    </xf>
    <xf numFmtId="0" fontId="1" fillId="0" borderId="0" xfId="12" applyFont="1"/>
    <xf numFmtId="0" fontId="24" fillId="0" borderId="0" xfId="0" quotePrefix="1" applyFont="1" applyAlignment="1"/>
    <xf numFmtId="0" fontId="24" fillId="0" borderId="0" xfId="0" applyFont="1" applyAlignment="1"/>
    <xf numFmtId="0" fontId="24" fillId="0" borderId="0" xfId="0" quotePrefix="1" applyFont="1" applyAlignment="1">
      <alignment horizontal="left"/>
    </xf>
    <xf numFmtId="0" fontId="24" fillId="2" borderId="0" xfId="0" quotePrefix="1" applyFont="1" applyFill="1" applyAlignment="1">
      <alignment horizontal="left"/>
    </xf>
    <xf numFmtId="1" fontId="70" fillId="0" borderId="0" xfId="8" applyNumberFormat="1" applyFont="1"/>
    <xf numFmtId="1" fontId="70" fillId="0" borderId="0" xfId="2" quotePrefix="1" applyNumberFormat="1" applyFont="1" applyFill="1" applyBorder="1" applyAlignment="1">
      <alignment horizontal="left"/>
    </xf>
    <xf numFmtId="172" fontId="24" fillId="0" borderId="0" xfId="0" applyNumberFormat="1" applyFont="1" applyBorder="1"/>
    <xf numFmtId="44" fontId="24" fillId="0" borderId="0" xfId="0" applyNumberFormat="1" applyFont="1"/>
    <xf numFmtId="0" fontId="24" fillId="0" borderId="5" xfId="0" quotePrefix="1" applyFont="1" applyBorder="1" applyAlignment="1">
      <alignment horizontal="center"/>
    </xf>
    <xf numFmtId="4" fontId="24" fillId="0" borderId="5" xfId="0" quotePrefix="1" applyNumberFormat="1" applyFont="1" applyBorder="1" applyAlignment="1">
      <alignment horizontal="center"/>
    </xf>
    <xf numFmtId="164" fontId="24" fillId="0" borderId="5" xfId="6" quotePrefix="1" applyFont="1" applyBorder="1" applyAlignment="1">
      <alignment horizontal="center"/>
    </xf>
    <xf numFmtId="0" fontId="24" fillId="10" borderId="0" xfId="0" applyFont="1" applyFill="1"/>
    <xf numFmtId="43" fontId="27" fillId="0" borderId="1" xfId="1" applyFont="1" applyBorder="1"/>
    <xf numFmtId="0" fontId="28" fillId="0" borderId="0" xfId="0" quotePrefix="1" applyFont="1" applyAlignment="1">
      <alignment horizontal="center"/>
    </xf>
    <xf numFmtId="0" fontId="43" fillId="0" borderId="21" xfId="0" quotePrefix="1" applyFont="1" applyBorder="1" applyAlignment="1">
      <alignment horizontal="center"/>
    </xf>
    <xf numFmtId="0" fontId="43" fillId="0" borderId="22" xfId="0" quotePrefix="1" applyFont="1" applyBorder="1" applyAlignment="1">
      <alignment horizontal="center"/>
    </xf>
    <xf numFmtId="0" fontId="43" fillId="0" borderId="23" xfId="0" quotePrefix="1" applyFont="1" applyBorder="1" applyAlignment="1">
      <alignment horizontal="center"/>
    </xf>
    <xf numFmtId="0" fontId="28" fillId="2" borderId="7" xfId="0" quotePrefix="1" applyFont="1" applyFill="1" applyBorder="1" applyAlignment="1">
      <alignment horizontal="left" vertical="top" wrapText="1"/>
    </xf>
    <xf numFmtId="0" fontId="28" fillId="2" borderId="0" xfId="0" quotePrefix="1" applyFont="1" applyFill="1" applyBorder="1" applyAlignment="1">
      <alignment horizontal="left" vertical="top" wrapText="1"/>
    </xf>
    <xf numFmtId="0" fontId="28" fillId="2" borderId="18" xfId="0" quotePrefix="1" applyFont="1" applyFill="1" applyBorder="1" applyAlignment="1">
      <alignment horizontal="left" vertical="top" wrapText="1"/>
    </xf>
    <xf numFmtId="0" fontId="28" fillId="0" borderId="10" xfId="0" applyFont="1" applyBorder="1" applyAlignment="1">
      <alignment horizontal="center"/>
    </xf>
    <xf numFmtId="0" fontId="28" fillId="0" borderId="5" xfId="0" applyFont="1" applyBorder="1" applyAlignment="1">
      <alignment horizontal="center"/>
    </xf>
    <xf numFmtId="0" fontId="28" fillId="0" borderId="11" xfId="0" applyFont="1" applyBorder="1" applyAlignment="1">
      <alignment horizontal="center"/>
    </xf>
    <xf numFmtId="43" fontId="28" fillId="0" borderId="4" xfId="1" quotePrefix="1" applyFont="1" applyBorder="1" applyAlignment="1">
      <alignment horizontal="center"/>
    </xf>
    <xf numFmtId="0" fontId="28" fillId="0" borderId="4" xfId="0" quotePrefix="1" applyFont="1" applyBorder="1" applyAlignment="1">
      <alignment horizontal="center"/>
    </xf>
    <xf numFmtId="49" fontId="43" fillId="0" borderId="4" xfId="7" quotePrefix="1" applyNumberFormat="1" applyFont="1" applyBorder="1" applyAlignment="1">
      <alignment horizontal="center"/>
    </xf>
    <xf numFmtId="49" fontId="43" fillId="0" borderId="4" xfId="7" applyNumberFormat="1" applyFont="1" applyBorder="1" applyAlignment="1">
      <alignment horizontal="center"/>
    </xf>
    <xf numFmtId="2" fontId="49" fillId="0" borderId="0" xfId="0" applyNumberFormat="1" applyFont="1" applyAlignment="1">
      <alignment horizontal="left" indent="3"/>
    </xf>
    <xf numFmtId="4" fontId="24" fillId="0" borderId="0" xfId="0" quotePrefix="1" applyNumberFormat="1" applyFont="1" applyAlignment="1">
      <alignment horizontal="center"/>
    </xf>
    <xf numFmtId="0" fontId="47" fillId="0" borderId="0" xfId="0" quotePrefix="1" applyFont="1" applyAlignment="1">
      <alignment horizontal="right"/>
    </xf>
    <xf numFmtId="0" fontId="47" fillId="0" borderId="0" xfId="0" applyFont="1" applyAlignment="1">
      <alignment horizontal="right"/>
    </xf>
    <xf numFmtId="0" fontId="58" fillId="0" borderId="0" xfId="0" applyFont="1" applyAlignment="1">
      <alignment horizontal="left" vertical="center"/>
    </xf>
    <xf numFmtId="0" fontId="58" fillId="0" borderId="0" xfId="0" applyFont="1" applyAlignment="1">
      <alignment horizontal="left" vertical="center" wrapText="1"/>
    </xf>
    <xf numFmtId="0" fontId="24" fillId="0" borderId="6" xfId="0" applyFont="1" applyBorder="1" applyAlignment="1">
      <alignment horizontal="left" indent="2"/>
    </xf>
    <xf numFmtId="7" fontId="24" fillId="0" borderId="6" xfId="0" applyNumberFormat="1" applyFont="1" applyBorder="1" applyAlignment="1">
      <alignment horizontal="right"/>
    </xf>
    <xf numFmtId="0" fontId="24" fillId="0" borderId="0" xfId="0" applyFont="1" applyAlignment="1">
      <alignment horizontal="center"/>
    </xf>
    <xf numFmtId="0" fontId="24" fillId="0" borderId="1" xfId="0" applyFont="1" applyBorder="1" applyAlignment="1">
      <alignment horizontal="center"/>
    </xf>
    <xf numFmtId="0" fontId="24" fillId="0" borderId="0" xfId="0" quotePrefix="1" applyFont="1" applyAlignment="1">
      <alignment horizontal="center"/>
    </xf>
    <xf numFmtId="0" fontId="25" fillId="0" borderId="7" xfId="0" applyFont="1" applyBorder="1" applyAlignment="1">
      <alignment horizontal="left"/>
    </xf>
    <xf numFmtId="0" fontId="25" fillId="0" borderId="0" xfId="0" applyFont="1" applyAlignment="1">
      <alignment horizontal="left"/>
    </xf>
    <xf numFmtId="4" fontId="24" fillId="0" borderId="0" xfId="0" applyNumberFormat="1" applyFont="1"/>
    <xf numFmtId="4" fontId="25" fillId="0" borderId="0" xfId="0" applyNumberFormat="1" applyFont="1" applyAlignment="1">
      <alignment horizontal="left"/>
    </xf>
    <xf numFmtId="4" fontId="24" fillId="0" borderId="0" xfId="0" quotePrefix="1" applyNumberFormat="1" applyFont="1" applyAlignment="1">
      <alignment horizontal="left"/>
    </xf>
    <xf numFmtId="168" fontId="24" fillId="0" borderId="0" xfId="0" applyNumberFormat="1" applyFont="1" applyAlignment="1">
      <alignment horizontal="center" wrapText="1"/>
    </xf>
    <xf numFmtId="0" fontId="24" fillId="0" borderId="1" xfId="0" applyFont="1" applyBorder="1" applyAlignment="1">
      <alignment horizontal="left" wrapText="1"/>
    </xf>
    <xf numFmtId="168" fontId="24" fillId="0" borderId="1" xfId="0" applyNumberFormat="1" applyFont="1" applyBorder="1" applyAlignment="1">
      <alignment horizontal="center" wrapText="1"/>
    </xf>
    <xf numFmtId="0" fontId="24" fillId="0" borderId="1" xfId="0" quotePrefix="1" applyFont="1" applyBorder="1" applyAlignment="1">
      <alignment horizontal="center"/>
    </xf>
    <xf numFmtId="168" fontId="24" fillId="0" borderId="5" xfId="0" quotePrefix="1" applyNumberFormat="1" applyFont="1" applyBorder="1" applyAlignment="1">
      <alignment horizontal="center"/>
    </xf>
    <xf numFmtId="0" fontId="24" fillId="0" borderId="6" xfId="0" applyFont="1" applyBorder="1" applyAlignment="1">
      <alignment horizontal="left"/>
    </xf>
    <xf numFmtId="168" fontId="24" fillId="0" borderId="0" xfId="0" applyNumberFormat="1" applyFont="1" applyBorder="1" applyAlignment="1">
      <alignment horizontal="center"/>
    </xf>
    <xf numFmtId="0" fontId="24" fillId="0" borderId="0" xfId="0" applyFont="1" applyAlignment="1">
      <alignment horizontal="left"/>
    </xf>
    <xf numFmtId="168" fontId="24" fillId="0" borderId="0" xfId="0" applyNumberFormat="1" applyFont="1" applyAlignment="1">
      <alignment horizontal="center"/>
    </xf>
    <xf numFmtId="0" fontId="24" fillId="0" borderId="0" xfId="0" quotePrefix="1" applyFont="1" applyAlignment="1">
      <alignment horizontal="left" indent="2"/>
    </xf>
    <xf numFmtId="0" fontId="24" fillId="0" borderId="0" xfId="0" applyFont="1" applyAlignment="1">
      <alignment horizontal="left" indent="2"/>
    </xf>
    <xf numFmtId="2" fontId="24" fillId="0" borderId="0" xfId="0" applyNumberFormat="1" applyFont="1" applyAlignment="1">
      <alignment horizontal="center"/>
    </xf>
    <xf numFmtId="0" fontId="24" fillId="0" borderId="0" xfId="0" applyFont="1" applyAlignment="1">
      <alignment horizontal="left" wrapText="1"/>
    </xf>
    <xf numFmtId="0" fontId="24" fillId="0" borderId="0" xfId="0" quotePrefix="1" applyFont="1" applyAlignment="1">
      <alignment horizontal="left"/>
    </xf>
    <xf numFmtId="0" fontId="47" fillId="0" borderId="0" xfId="0" quotePrefix="1" applyFont="1" applyAlignment="1">
      <alignment horizontal="center"/>
    </xf>
    <xf numFmtId="174" fontId="24" fillId="0" borderId="9" xfId="0" applyNumberFormat="1" applyFont="1" applyBorder="1"/>
    <xf numFmtId="0" fontId="24" fillId="0" borderId="0" xfId="0" quotePrefix="1" applyFont="1" applyAlignment="1">
      <alignment horizontal="left" wrapText="1"/>
    </xf>
    <xf numFmtId="0" fontId="26" fillId="0" borderId="6" xfId="0" applyFont="1" applyBorder="1" applyAlignment="1">
      <alignment horizontal="left" vertical="center" wrapText="1"/>
    </xf>
    <xf numFmtId="0" fontId="26" fillId="0" borderId="0" xfId="0" applyFont="1" applyAlignment="1">
      <alignment horizontal="left" vertical="center" wrapText="1"/>
    </xf>
    <xf numFmtId="0" fontId="24" fillId="0" borderId="0" xfId="0" applyFont="1" applyAlignment="1">
      <alignment horizontal="right"/>
    </xf>
    <xf numFmtId="0" fontId="59" fillId="0" borderId="0" xfId="0" applyFont="1" applyFill="1" applyAlignment="1">
      <alignment horizontal="left" vertical="center" wrapText="1"/>
    </xf>
    <xf numFmtId="0" fontId="58" fillId="0" borderId="0" xfId="0" applyFont="1" applyFill="1" applyAlignment="1">
      <alignment horizontal="left" vertical="center" wrapText="1"/>
    </xf>
    <xf numFmtId="0" fontId="60" fillId="0" borderId="0" xfId="0" applyFont="1" applyAlignment="1">
      <alignment horizontal="left" vertical="center" wrapText="1"/>
    </xf>
    <xf numFmtId="0" fontId="59" fillId="0" borderId="0" xfId="0" applyFont="1" applyAlignment="1">
      <alignment horizontal="left" vertical="center" wrapText="1"/>
    </xf>
    <xf numFmtId="0" fontId="60" fillId="0" borderId="0" xfId="0" applyFont="1" applyAlignment="1">
      <alignment horizontal="left" vertical="center"/>
    </xf>
    <xf numFmtId="174" fontId="24" fillId="0" borderId="0" xfId="0" applyNumberFormat="1" applyFont="1"/>
    <xf numFmtId="3" fontId="24" fillId="0" borderId="0" xfId="0" quotePrefix="1" applyNumberFormat="1" applyFont="1" applyAlignment="1">
      <alignment horizontal="center"/>
    </xf>
    <xf numFmtId="7" fontId="24" fillId="0" borderId="0" xfId="0" applyNumberFormat="1" applyFont="1" applyAlignment="1">
      <alignment horizontal="right"/>
    </xf>
    <xf numFmtId="0" fontId="24" fillId="11" borderId="1" xfId="0" applyFont="1" applyFill="1" applyBorder="1" applyAlignment="1">
      <alignment horizontal="center"/>
    </xf>
    <xf numFmtId="0" fontId="48" fillId="0" borderId="7" xfId="0" applyFont="1" applyBorder="1" applyAlignment="1">
      <alignment horizontal="left"/>
    </xf>
    <xf numFmtId="0" fontId="48" fillId="0" borderId="0" xfId="0" applyFont="1" applyAlignment="1">
      <alignment horizontal="left"/>
    </xf>
    <xf numFmtId="0" fontId="23" fillId="2" borderId="0" xfId="0" applyFont="1" applyFill="1" applyAlignment="1">
      <alignment horizontal="center"/>
    </xf>
    <xf numFmtId="0" fontId="24" fillId="2" borderId="0" xfId="0" applyFont="1" applyFill="1" applyAlignment="1">
      <alignment horizontal="center"/>
    </xf>
    <xf numFmtId="4" fontId="24" fillId="2" borderId="0" xfId="0" applyNumberFormat="1" applyFont="1" applyFill="1" applyAlignment="1">
      <alignment horizontal="left"/>
    </xf>
    <xf numFmtId="4" fontId="25" fillId="2" borderId="0" xfId="0" applyNumberFormat="1" applyFont="1" applyFill="1" applyAlignment="1">
      <alignment horizontal="left"/>
    </xf>
    <xf numFmtId="169" fontId="26" fillId="2" borderId="0" xfId="0" applyNumberFormat="1" applyFont="1" applyFill="1" applyAlignment="1">
      <alignment horizontal="left"/>
    </xf>
    <xf numFmtId="168" fontId="24" fillId="2" borderId="0" xfId="0" applyNumberFormat="1" applyFont="1" applyFill="1" applyAlignment="1">
      <alignment horizontal="center" wrapText="1"/>
    </xf>
    <xf numFmtId="0" fontId="24" fillId="2" borderId="1" xfId="0" applyFont="1" applyFill="1" applyBorder="1" applyAlignment="1">
      <alignment horizontal="left" wrapText="1"/>
    </xf>
    <xf numFmtId="0" fontId="31" fillId="2" borderId="1" xfId="0" applyFont="1" applyFill="1" applyBorder="1" applyAlignment="1">
      <alignment horizontal="center" wrapText="1"/>
    </xf>
    <xf numFmtId="168" fontId="24" fillId="2" borderId="1" xfId="0" applyNumberFormat="1" applyFont="1" applyFill="1" applyBorder="1" applyAlignment="1">
      <alignment horizontal="center" wrapText="1"/>
    </xf>
    <xf numFmtId="4" fontId="24" fillId="0" borderId="0" xfId="0" applyNumberFormat="1" applyFont="1" applyAlignment="1">
      <alignment horizontal="left"/>
    </xf>
    <xf numFmtId="0" fontId="26" fillId="2" borderId="0" xfId="0" applyFont="1" applyFill="1" applyAlignment="1">
      <alignment horizontal="center"/>
    </xf>
    <xf numFmtId="7" fontId="27" fillId="2" borderId="0" xfId="0" applyNumberFormat="1" applyFont="1" applyFill="1" applyAlignment="1">
      <alignment horizontal="center"/>
    </xf>
    <xf numFmtId="0" fontId="26" fillId="2" borderId="0" xfId="0" quotePrefix="1" applyFont="1" applyFill="1" applyAlignment="1">
      <alignment horizontal="left"/>
    </xf>
    <xf numFmtId="0" fontId="26" fillId="2" borderId="0" xfId="0" applyFont="1" applyFill="1" applyAlignment="1">
      <alignment horizontal="left"/>
    </xf>
    <xf numFmtId="168" fontId="24" fillId="0" borderId="1" xfId="0" quotePrefix="1" applyNumberFormat="1" applyFont="1" applyBorder="1" applyAlignment="1">
      <alignment horizontal="center"/>
    </xf>
    <xf numFmtId="0" fontId="24" fillId="2" borderId="1" xfId="0" quotePrefix="1" applyFont="1" applyFill="1" applyBorder="1" applyAlignment="1">
      <alignment horizontal="center"/>
    </xf>
    <xf numFmtId="0" fontId="31" fillId="2" borderId="1" xfId="0" quotePrefix="1" applyFont="1" applyFill="1" applyBorder="1" applyAlignment="1">
      <alignment horizontal="center"/>
    </xf>
    <xf numFmtId="168" fontId="24" fillId="2" borderId="1" xfId="0" quotePrefix="1" applyNumberFormat="1" applyFont="1" applyFill="1" applyBorder="1" applyAlignment="1">
      <alignment horizontal="center"/>
    </xf>
    <xf numFmtId="168" fontId="24" fillId="6" borderId="6" xfId="0" applyNumberFormat="1" applyFont="1" applyFill="1" applyBorder="1" applyAlignment="1">
      <alignment horizontal="center"/>
    </xf>
    <xf numFmtId="0" fontId="24" fillId="2" borderId="6" xfId="0" applyFont="1" applyFill="1" applyBorder="1" applyAlignment="1">
      <alignment horizontal="left"/>
    </xf>
    <xf numFmtId="2" fontId="30" fillId="2" borderId="5" xfId="0" applyNumberFormat="1" applyFont="1" applyFill="1" applyBorder="1" applyAlignment="1">
      <alignment horizontal="center"/>
    </xf>
    <xf numFmtId="168" fontId="24" fillId="2" borderId="6" xfId="0" applyNumberFormat="1" applyFont="1" applyFill="1" applyBorder="1" applyAlignment="1">
      <alignment horizontal="center"/>
    </xf>
    <xf numFmtId="168" fontId="24" fillId="6" borderId="0" xfId="0" applyNumberFormat="1" applyFont="1" applyFill="1" applyAlignment="1">
      <alignment horizontal="center"/>
    </xf>
    <xf numFmtId="0" fontId="24" fillId="2" borderId="0" xfId="0" applyFont="1" applyFill="1" applyAlignment="1">
      <alignment horizontal="left"/>
    </xf>
    <xf numFmtId="168" fontId="24" fillId="2" borderId="0" xfId="0" applyNumberFormat="1" applyFont="1" applyFill="1" applyAlignment="1">
      <alignment horizontal="center"/>
    </xf>
    <xf numFmtId="0" fontId="24" fillId="2" borderId="1" xfId="0" applyFont="1" applyFill="1" applyBorder="1" applyAlignment="1">
      <alignment horizontal="left"/>
    </xf>
    <xf numFmtId="168" fontId="24" fillId="2" borderId="1" xfId="0" applyNumberFormat="1" applyFont="1" applyFill="1" applyBorder="1" applyAlignment="1">
      <alignment horizontal="center"/>
    </xf>
    <xf numFmtId="0" fontId="24" fillId="2" borderId="6" xfId="0" applyFont="1" applyFill="1" applyBorder="1" applyAlignment="1">
      <alignment horizontal="right"/>
    </xf>
    <xf numFmtId="2" fontId="29" fillId="2" borderId="1" xfId="0" applyNumberFormat="1" applyFont="1" applyFill="1" applyBorder="1" applyAlignment="1">
      <alignment horizontal="center"/>
    </xf>
    <xf numFmtId="2" fontId="24" fillId="2" borderId="0" xfId="0" applyNumberFormat="1" applyFont="1" applyFill="1" applyAlignment="1">
      <alignment horizontal="center"/>
    </xf>
    <xf numFmtId="0" fontId="30" fillId="2" borderId="5" xfId="0" applyFont="1" applyFill="1" applyBorder="1" applyAlignment="1">
      <alignment horizontal="center"/>
    </xf>
    <xf numFmtId="0" fontId="24" fillId="2" borderId="0" xfId="0" applyFont="1" applyFill="1" applyAlignment="1">
      <alignment horizontal="left" wrapText="1"/>
    </xf>
    <xf numFmtId="2" fontId="50" fillId="0" borderId="0" xfId="0" applyNumberFormat="1" applyFont="1" applyAlignment="1">
      <alignment horizontal="center" wrapText="1"/>
    </xf>
    <xf numFmtId="2" fontId="50" fillId="0" borderId="1" xfId="0" applyNumberFormat="1" applyFont="1" applyBorder="1" applyAlignment="1">
      <alignment horizontal="center" wrapText="1"/>
    </xf>
    <xf numFmtId="2" fontId="30" fillId="2" borderId="1" xfId="0" applyNumberFormat="1" applyFont="1" applyFill="1" applyBorder="1" applyAlignment="1">
      <alignment horizontal="center"/>
    </xf>
    <xf numFmtId="0" fontId="24" fillId="2" borderId="0" xfId="0" applyFont="1" applyFill="1" applyAlignment="1">
      <alignment horizontal="right"/>
    </xf>
    <xf numFmtId="2" fontId="31" fillId="2" borderId="1" xfId="0" applyNumberFormat="1" applyFont="1" applyFill="1" applyBorder="1" applyAlignment="1">
      <alignment horizontal="center"/>
    </xf>
    <xf numFmtId="0" fontId="26" fillId="2" borderId="6" xfId="0" applyFont="1" applyFill="1" applyBorder="1" applyAlignment="1">
      <alignment horizontal="left" vertical="center" wrapText="1"/>
    </xf>
    <xf numFmtId="0" fontId="26" fillId="2" borderId="0" xfId="0" applyFont="1" applyFill="1" applyAlignment="1">
      <alignment horizontal="left" vertical="center" wrapText="1"/>
    </xf>
    <xf numFmtId="4" fontId="30" fillId="2" borderId="1" xfId="0" applyNumberFormat="1" applyFont="1" applyFill="1" applyBorder="1" applyAlignment="1">
      <alignment horizontal="center" wrapText="1"/>
    </xf>
    <xf numFmtId="4" fontId="30" fillId="2" borderId="5" xfId="0" applyNumberFormat="1" applyFont="1" applyFill="1" applyBorder="1" applyAlignment="1">
      <alignment horizontal="center" wrapText="1"/>
    </xf>
    <xf numFmtId="166" fontId="29" fillId="2" borderId="0" xfId="0" applyNumberFormat="1" applyFont="1" applyFill="1" applyAlignment="1">
      <alignment horizontal="left"/>
    </xf>
    <xf numFmtId="0" fontId="24" fillId="2" borderId="0" xfId="0" quotePrefix="1" applyFont="1" applyFill="1" applyAlignment="1">
      <alignment horizontal="left"/>
    </xf>
    <xf numFmtId="168" fontId="24" fillId="2" borderId="0" xfId="0" quotePrefix="1" applyNumberFormat="1" applyFont="1" applyFill="1" applyAlignment="1">
      <alignment horizontal="left"/>
    </xf>
    <xf numFmtId="168" fontId="24" fillId="2" borderId="0" xfId="0" applyNumberFormat="1" applyFont="1" applyFill="1" applyAlignment="1">
      <alignment horizontal="left"/>
    </xf>
    <xf numFmtId="4" fontId="33" fillId="2" borderId="0" xfId="0" applyNumberFormat="1" applyFont="1" applyFill="1" applyAlignment="1">
      <alignment horizontal="left"/>
    </xf>
    <xf numFmtId="4" fontId="30" fillId="2" borderId="24" xfId="0" applyNumberFormat="1" applyFont="1" applyFill="1" applyBorder="1" applyAlignment="1">
      <alignment horizontal="center" wrapText="1"/>
    </xf>
    <xf numFmtId="2" fontId="24" fillId="2" borderId="25" xfId="0" applyNumberFormat="1" applyFont="1" applyFill="1" applyBorder="1" applyAlignment="1">
      <alignment horizontal="center"/>
    </xf>
    <xf numFmtId="168" fontId="28" fillId="2" borderId="0" xfId="0" quotePrefix="1" applyNumberFormat="1" applyFont="1" applyFill="1" applyAlignment="1">
      <alignment horizontal="left"/>
    </xf>
    <xf numFmtId="168" fontId="28" fillId="2" borderId="0" xfId="0" applyNumberFormat="1" applyFont="1" applyFill="1" applyAlignment="1">
      <alignment horizontal="left"/>
    </xf>
    <xf numFmtId="168" fontId="53" fillId="2" borderId="0" xfId="0" quotePrefix="1" applyNumberFormat="1" applyFont="1" applyFill="1" applyAlignment="1">
      <alignment horizontal="left"/>
    </xf>
    <xf numFmtId="168" fontId="53" fillId="2" borderId="0" xfId="0" applyNumberFormat="1" applyFont="1" applyFill="1" applyAlignment="1">
      <alignment horizontal="left"/>
    </xf>
    <xf numFmtId="0" fontId="24" fillId="2" borderId="0" xfId="0" quotePrefix="1" applyFont="1" applyFill="1" applyAlignment="1">
      <alignment horizontal="left" wrapText="1"/>
    </xf>
    <xf numFmtId="169" fontId="47" fillId="2" borderId="0" xfId="0" applyNumberFormat="1" applyFont="1" applyFill="1" applyAlignment="1">
      <alignment horizontal="center"/>
    </xf>
    <xf numFmtId="0" fontId="33" fillId="2" borderId="0" xfId="0" applyFont="1" applyFill="1" applyAlignment="1">
      <alignment horizontal="right"/>
    </xf>
    <xf numFmtId="0" fontId="33" fillId="2" borderId="0" xfId="0" quotePrefix="1" applyFont="1" applyFill="1" applyAlignment="1">
      <alignment horizontal="center"/>
    </xf>
    <xf numFmtId="0" fontId="33" fillId="2" borderId="0" xfId="0" applyFont="1" applyFill="1" applyAlignment="1">
      <alignment horizontal="center"/>
    </xf>
    <xf numFmtId="0" fontId="30" fillId="2" borderId="0" xfId="0" applyFont="1" applyFill="1" applyAlignment="1">
      <alignment horizontal="right"/>
    </xf>
    <xf numFmtId="0" fontId="30" fillId="2" borderId="1" xfId="0" applyFont="1" applyFill="1" applyBorder="1" applyAlignment="1">
      <alignment horizontal="center"/>
    </xf>
    <xf numFmtId="165" fontId="24" fillId="2" borderId="7" xfId="4" applyFont="1" applyFill="1" applyBorder="1" applyAlignment="1">
      <alignment horizontal="right"/>
    </xf>
    <xf numFmtId="165" fontId="24" fillId="2" borderId="0" xfId="4" applyFont="1" applyFill="1" applyBorder="1" applyAlignment="1">
      <alignment horizontal="right"/>
    </xf>
    <xf numFmtId="2" fontId="34" fillId="2" borderId="0" xfId="0" applyNumberFormat="1" applyFont="1" applyFill="1" applyAlignment="1">
      <alignment horizontal="left"/>
    </xf>
    <xf numFmtId="4" fontId="24" fillId="2" borderId="0" xfId="0" quotePrefix="1" applyNumberFormat="1" applyFont="1" applyFill="1" applyAlignment="1">
      <alignment horizontal="left"/>
    </xf>
    <xf numFmtId="0" fontId="24" fillId="2" borderId="1" xfId="0" applyFont="1" applyFill="1" applyBorder="1" applyAlignment="1">
      <alignment horizontal="center"/>
    </xf>
    <xf numFmtId="7" fontId="24" fillId="2" borderId="6" xfId="0" applyNumberFormat="1" applyFont="1" applyFill="1" applyBorder="1" applyAlignment="1">
      <alignment horizontal="right"/>
    </xf>
    <xf numFmtId="7" fontId="24" fillId="2" borderId="0" xfId="0" applyNumberFormat="1" applyFont="1" applyFill="1" applyAlignment="1">
      <alignment horizontal="right"/>
    </xf>
    <xf numFmtId="0" fontId="42" fillId="2" borderId="0" xfId="0" applyFont="1" applyFill="1" applyAlignment="1">
      <alignment horizontal="left"/>
    </xf>
    <xf numFmtId="0" fontId="28" fillId="2" borderId="0" xfId="0" applyFont="1" applyFill="1" applyAlignment="1">
      <alignment horizontal="left"/>
    </xf>
    <xf numFmtId="0" fontId="28" fillId="0" borderId="0" xfId="0" applyFont="1" applyAlignment="1">
      <alignment horizontal="left"/>
    </xf>
    <xf numFmtId="2" fontId="51" fillId="0" borderId="0" xfId="0" applyNumberFormat="1" applyFont="1" applyAlignment="1">
      <alignment horizontal="center" wrapText="1"/>
    </xf>
    <xf numFmtId="2" fontId="51" fillId="0" borderId="1" xfId="0" applyNumberFormat="1" applyFont="1" applyBorder="1" applyAlignment="1">
      <alignment horizontal="center" wrapText="1"/>
    </xf>
    <xf numFmtId="0" fontId="15" fillId="2" borderId="0" xfId="0" quotePrefix="1" applyFont="1" applyFill="1" applyAlignment="1">
      <alignment horizontal="center"/>
    </xf>
    <xf numFmtId="0" fontId="24" fillId="2" borderId="0" xfId="0" quotePrefix="1" applyFont="1" applyFill="1" applyAlignment="1"/>
    <xf numFmtId="0" fontId="24" fillId="2" borderId="0" xfId="0" applyFont="1" applyFill="1" applyAlignment="1"/>
    <xf numFmtId="7" fontId="24" fillId="9" borderId="6" xfId="0" applyNumberFormat="1" applyFont="1" applyFill="1" applyBorder="1" applyAlignment="1">
      <alignment horizontal="right"/>
    </xf>
  </cellXfs>
  <cellStyles count="14">
    <cellStyle name="Comma" xfId="1" builtinId="3"/>
    <cellStyle name="Comma 2" xfId="2" xr:uid="{00000000-0005-0000-0000-000001000000}"/>
    <cellStyle name="Comma 3" xfId="13" xr:uid="{00000000-0005-0000-0000-000002000000}"/>
    <cellStyle name="Comma 3 8" xfId="3" xr:uid="{00000000-0005-0000-0000-000003000000}"/>
    <cellStyle name="Comma_charter school revenue frame" xfId="4" xr:uid="{00000000-0005-0000-0000-000004000000}"/>
    <cellStyle name="Currency 2 8" xfId="5" xr:uid="{00000000-0005-0000-0000-000005000000}"/>
    <cellStyle name="Currency_charter school revenue frame" xfId="6" xr:uid="{00000000-0005-0000-0000-000006000000}"/>
    <cellStyle name="Normal" xfId="0" builtinId="0"/>
    <cellStyle name="Normal 2" xfId="7" xr:uid="{00000000-0005-0000-0000-000008000000}"/>
    <cellStyle name="Normal 2 2" xfId="8" xr:uid="{00000000-0005-0000-0000-000009000000}"/>
    <cellStyle name="Normal 3" xfId="12" xr:uid="{00000000-0005-0000-0000-00000A000000}"/>
    <cellStyle name="Normal 3 8" xfId="9" xr:uid="{00000000-0005-0000-0000-00000B000000}"/>
    <cellStyle name="Percent" xfId="10" builtinId="5"/>
    <cellStyle name="Percent 3 8" xfId="11" xr:uid="{00000000-0005-0000-0000-00000D000000}"/>
  </cellStyles>
  <dxfs count="17">
    <dxf>
      <fill>
        <patternFill>
          <bgColor rgb="FFFFFF66"/>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FF99"/>
      <color rgb="FFFFFF66"/>
      <color rgb="FFFFFFCC"/>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536"/>
  <sheetViews>
    <sheetView tabSelected="1" workbookViewId="0">
      <selection activeCell="B125" sqref="B125"/>
    </sheetView>
    <sheetView topLeftCell="A387" workbookViewId="1"/>
  </sheetViews>
  <sheetFormatPr defaultColWidth="9.140625" defaultRowHeight="12.75" customHeight="1" x14ac:dyDescent="0.2"/>
  <cols>
    <col min="1" max="1" width="3" style="188" bestFit="1" customWidth="1"/>
    <col min="2" max="2" width="7.28515625" style="188" customWidth="1"/>
    <col min="3" max="3" width="41" style="188" customWidth="1"/>
    <col min="4" max="4" width="21.85546875" style="188" customWidth="1"/>
    <col min="5" max="5" width="14.42578125" style="188" customWidth="1"/>
    <col min="6" max="6" width="12.140625" style="238" bestFit="1" customWidth="1"/>
    <col min="7" max="7" width="15.85546875" style="188" customWidth="1"/>
    <col min="8" max="8" width="4.28515625" style="238" customWidth="1"/>
    <col min="9" max="9" width="75.7109375" style="188" bestFit="1" customWidth="1"/>
    <col min="10" max="10" width="9.5703125" style="188" bestFit="1" customWidth="1"/>
    <col min="11" max="16384" width="9.140625" style="188"/>
  </cols>
  <sheetData>
    <row r="1" spans="1:9" ht="12.75" customHeight="1" x14ac:dyDescent="0.2">
      <c r="A1" s="189"/>
      <c r="B1" s="573" t="s">
        <v>551</v>
      </c>
      <c r="C1" s="216"/>
      <c r="I1" s="243"/>
    </row>
    <row r="2" spans="1:9" ht="12.75" customHeight="1" x14ac:dyDescent="0.2">
      <c r="B2" s="237" t="str">
        <f>'1461'!A3</f>
        <v>Based on the FLDOE 2025-26 FEFP Calculation</v>
      </c>
      <c r="C2" s="217"/>
      <c r="E2" s="229"/>
      <c r="F2" s="239"/>
      <c r="G2" s="229"/>
      <c r="I2" s="252"/>
    </row>
    <row r="3" spans="1:9" ht="12.75" customHeight="1" thickBot="1" x14ac:dyDescent="0.25">
      <c r="B3" s="190"/>
      <c r="C3" s="217"/>
      <c r="E3" s="229"/>
      <c r="F3" s="767"/>
      <c r="G3" s="767"/>
      <c r="I3" s="252"/>
    </row>
    <row r="4" spans="1:9" ht="12.75" customHeight="1" thickBot="1" x14ac:dyDescent="0.25">
      <c r="A4" s="191"/>
      <c r="B4" s="192" t="s">
        <v>156</v>
      </c>
      <c r="C4" s="220" t="s">
        <v>226</v>
      </c>
      <c r="D4" s="193" t="s">
        <v>157</v>
      </c>
      <c r="E4" s="233" t="s">
        <v>2</v>
      </c>
      <c r="F4" s="270" t="s">
        <v>250</v>
      </c>
      <c r="G4" s="233" t="s">
        <v>231</v>
      </c>
      <c r="I4" s="332" t="s">
        <v>277</v>
      </c>
    </row>
    <row r="5" spans="1:9" ht="12.75" customHeight="1" x14ac:dyDescent="0.2">
      <c r="A5" s="198">
        <v>1</v>
      </c>
      <c r="B5" s="685" t="s">
        <v>526</v>
      </c>
      <c r="C5" s="686" t="s">
        <v>529</v>
      </c>
      <c r="D5" s="687" t="s">
        <v>552</v>
      </c>
      <c r="E5" s="200">
        <f>'0040'!I$145</f>
        <v>24870.66</v>
      </c>
      <c r="F5" s="688"/>
      <c r="G5" s="200">
        <f>SUBTOTAL(109,E5:F7)</f>
        <v>24870.66</v>
      </c>
      <c r="I5" s="651"/>
    </row>
    <row r="6" spans="1:9" ht="12.75" hidden="1" customHeight="1" x14ac:dyDescent="0.2">
      <c r="A6" s="191"/>
      <c r="B6" s="660"/>
      <c r="C6" s="649"/>
      <c r="D6" s="665"/>
      <c r="E6" s="650"/>
      <c r="F6" s="239"/>
      <c r="G6" s="650"/>
      <c r="I6" s="351"/>
    </row>
    <row r="7" spans="1:9" ht="12.75" hidden="1" customHeight="1" x14ac:dyDescent="0.2">
      <c r="A7" s="191"/>
      <c r="B7" s="660"/>
      <c r="C7" s="649"/>
      <c r="D7" s="665"/>
      <c r="E7" s="650"/>
      <c r="F7" s="239"/>
      <c r="G7" s="650"/>
      <c r="I7" s="352" t="s">
        <v>330</v>
      </c>
    </row>
    <row r="8" spans="1:9" ht="12.75" customHeight="1" x14ac:dyDescent="0.2">
      <c r="A8" s="194">
        <v>2</v>
      </c>
      <c r="B8" s="662" t="s">
        <v>527</v>
      </c>
      <c r="C8" s="661" t="s">
        <v>533</v>
      </c>
      <c r="D8" s="664" t="str">
        <f>D5</f>
        <v>FTE August 2025</v>
      </c>
      <c r="E8" s="658">
        <f>'0100'!I$145</f>
        <v>22269.68</v>
      </c>
      <c r="F8" s="239"/>
      <c r="G8" s="658">
        <f>SUBTOTAL(109,E8:F10)</f>
        <v>22269.68</v>
      </c>
      <c r="I8" s="392"/>
    </row>
    <row r="9" spans="1:9" ht="12.75" hidden="1" customHeight="1" x14ac:dyDescent="0.2">
      <c r="A9" s="191"/>
      <c r="B9" s="660"/>
      <c r="C9" s="649"/>
      <c r="D9" s="665"/>
      <c r="E9" s="650"/>
      <c r="F9" s="239"/>
      <c r="G9" s="650"/>
      <c r="I9" s="392"/>
    </row>
    <row r="10" spans="1:9" ht="12.75" hidden="1" customHeight="1" x14ac:dyDescent="0.2">
      <c r="A10" s="191"/>
      <c r="B10" s="649"/>
      <c r="C10" s="649"/>
      <c r="D10" s="650"/>
      <c r="E10" s="650"/>
      <c r="F10" s="239"/>
      <c r="G10" s="650"/>
      <c r="I10" s="351"/>
    </row>
    <row r="11" spans="1:9" ht="12.75" hidden="1" customHeight="1" x14ac:dyDescent="0.2">
      <c r="A11" s="191"/>
      <c r="B11" s="649"/>
      <c r="C11" s="649"/>
      <c r="D11" s="650"/>
      <c r="E11" s="650"/>
      <c r="F11" s="239"/>
      <c r="G11" s="650"/>
      <c r="I11" s="353"/>
    </row>
    <row r="12" spans="1:9" s="260" customFormat="1" ht="13.5" customHeight="1" x14ac:dyDescent="0.2">
      <c r="A12" s="198">
        <v>3</v>
      </c>
      <c r="B12" s="199" t="s">
        <v>158</v>
      </c>
      <c r="C12" s="219" t="s">
        <v>190</v>
      </c>
      <c r="D12" s="663" t="s">
        <v>552</v>
      </c>
      <c r="E12" s="200">
        <f>'1461'!I$145</f>
        <v>492757.49</v>
      </c>
      <c r="F12" s="343"/>
      <c r="G12" s="200">
        <f>SUBTOTAL(109,E12:F36)</f>
        <v>700042.28</v>
      </c>
      <c r="H12" s="259"/>
      <c r="I12" s="353"/>
    </row>
    <row r="13" spans="1:9" s="260" customFormat="1" ht="12.75" hidden="1" customHeight="1" x14ac:dyDescent="0.2">
      <c r="A13" s="198"/>
      <c r="B13" s="199"/>
      <c r="C13" s="219"/>
      <c r="D13" s="232" t="s">
        <v>278</v>
      </c>
      <c r="E13" s="200"/>
      <c r="F13" s="343"/>
      <c r="G13" s="200"/>
      <c r="H13" s="259"/>
      <c r="I13" s="352" t="s">
        <v>330</v>
      </c>
    </row>
    <row r="14" spans="1:9" s="260" customFormat="1" ht="12.75" hidden="1" customHeight="1" x14ac:dyDescent="0.2">
      <c r="A14" s="198"/>
      <c r="B14" s="199"/>
      <c r="C14" s="219"/>
      <c r="D14" s="391" t="s">
        <v>487</v>
      </c>
      <c r="E14" s="200"/>
      <c r="F14" s="343"/>
      <c r="G14" s="200"/>
      <c r="H14" s="259"/>
      <c r="I14" s="352"/>
    </row>
    <row r="15" spans="1:9" s="260" customFormat="1" ht="12.75" hidden="1" customHeight="1" x14ac:dyDescent="0.2">
      <c r="A15" s="198"/>
      <c r="B15" s="199"/>
      <c r="C15" s="219"/>
      <c r="D15" s="232" t="s">
        <v>280</v>
      </c>
      <c r="E15" s="200"/>
      <c r="F15" s="343"/>
      <c r="G15" s="200"/>
      <c r="H15" s="259"/>
      <c r="I15" s="352"/>
    </row>
    <row r="16" spans="1:9" s="260" customFormat="1" ht="12.75" hidden="1" customHeight="1" thickBot="1" x14ac:dyDescent="0.25">
      <c r="A16" s="198"/>
      <c r="B16" s="199"/>
      <c r="C16" s="219"/>
      <c r="D16" s="232" t="s">
        <v>279</v>
      </c>
      <c r="E16" s="200"/>
      <c r="F16" s="343"/>
      <c r="G16" s="200"/>
      <c r="H16" s="259"/>
      <c r="I16" s="517"/>
    </row>
    <row r="17" spans="1:9" s="260" customFormat="1" ht="12.75" hidden="1" customHeight="1" x14ac:dyDescent="0.2">
      <c r="A17" s="198"/>
      <c r="B17" s="199"/>
      <c r="C17" s="219"/>
      <c r="D17" s="232" t="s">
        <v>288</v>
      </c>
      <c r="E17" s="200"/>
      <c r="F17" s="343"/>
      <c r="G17" s="200"/>
      <c r="H17" s="259"/>
      <c r="I17" s="351"/>
    </row>
    <row r="18" spans="1:9" s="260" customFormat="1" ht="12.75" hidden="1" customHeight="1" x14ac:dyDescent="0.2">
      <c r="A18" s="198"/>
      <c r="B18" s="199"/>
      <c r="C18" s="219"/>
      <c r="D18" s="232" t="s">
        <v>257</v>
      </c>
      <c r="E18" s="200"/>
      <c r="F18" s="343"/>
      <c r="G18" s="200"/>
      <c r="H18" s="259"/>
      <c r="I18" s="353"/>
    </row>
    <row r="19" spans="1:9" s="260" customFormat="1" ht="12.75" customHeight="1" thickBot="1" x14ac:dyDescent="0.25">
      <c r="A19" s="198"/>
      <c r="B19" s="199"/>
      <c r="C19" s="228"/>
      <c r="D19" s="279" t="s">
        <v>284</v>
      </c>
      <c r="E19" s="200"/>
      <c r="F19" s="343">
        <v>208541.64</v>
      </c>
      <c r="G19" s="200"/>
      <c r="H19" s="259"/>
      <c r="I19" s="652"/>
    </row>
    <row r="20" spans="1:9" s="260" customFormat="1" ht="12.75" customHeight="1" x14ac:dyDescent="0.2">
      <c r="A20" s="198"/>
      <c r="B20" s="199"/>
      <c r="C20" s="228"/>
      <c r="D20" s="279" t="s">
        <v>229</v>
      </c>
      <c r="E20" s="200"/>
      <c r="F20" s="343">
        <v>0</v>
      </c>
      <c r="G20" s="200"/>
      <c r="H20" s="259"/>
    </row>
    <row r="21" spans="1:9" s="260" customFormat="1" ht="12.75" customHeight="1" x14ac:dyDescent="0.2">
      <c r="A21" s="198"/>
      <c r="B21" s="199"/>
      <c r="C21" s="228"/>
      <c r="D21" s="279" t="s">
        <v>230</v>
      </c>
      <c r="E21" s="200"/>
      <c r="F21" s="343">
        <v>-266.12</v>
      </c>
      <c r="G21" s="200"/>
      <c r="H21" s="259"/>
      <c r="I21" s="653"/>
    </row>
    <row r="22" spans="1:9" s="260" customFormat="1" ht="12.75" customHeight="1" x14ac:dyDescent="0.2">
      <c r="A22" s="198"/>
      <c r="B22" s="199"/>
      <c r="C22" s="228"/>
      <c r="D22" s="315" t="s">
        <v>449</v>
      </c>
      <c r="E22" s="200"/>
      <c r="F22" s="343">
        <v>-94.48</v>
      </c>
      <c r="G22" s="200"/>
      <c r="H22" s="259"/>
      <c r="I22" s="653"/>
    </row>
    <row r="23" spans="1:9" s="260" customFormat="1" ht="12.75" customHeight="1" x14ac:dyDescent="0.2">
      <c r="A23" s="198"/>
      <c r="B23" s="199"/>
      <c r="C23" s="228"/>
      <c r="D23" s="279" t="s">
        <v>337</v>
      </c>
      <c r="E23" s="200"/>
      <c r="F23" s="343">
        <v>-90</v>
      </c>
      <c r="G23" s="200"/>
      <c r="H23" s="259"/>
      <c r="I23" s="654"/>
    </row>
    <row r="24" spans="1:9" s="260" customFormat="1" ht="12.75" hidden="1" customHeight="1" x14ac:dyDescent="0.2">
      <c r="A24" s="198"/>
      <c r="B24" s="199"/>
      <c r="C24" s="393" t="s">
        <v>369</v>
      </c>
      <c r="D24" s="315" t="s">
        <v>356</v>
      </c>
      <c r="E24" s="200"/>
      <c r="F24" s="343"/>
      <c r="G24" s="200"/>
      <c r="H24" s="259"/>
      <c r="I24" s="654"/>
    </row>
    <row r="25" spans="1:9" s="260" customFormat="1" ht="12.75" hidden="1" customHeight="1" x14ac:dyDescent="0.2">
      <c r="A25" s="198"/>
      <c r="B25" s="199"/>
      <c r="C25" s="228"/>
      <c r="D25" s="315" t="s">
        <v>358</v>
      </c>
      <c r="E25" s="200"/>
      <c r="F25" s="343"/>
      <c r="G25" s="200"/>
      <c r="H25" s="259"/>
      <c r="I25" s="655"/>
    </row>
    <row r="26" spans="1:9" s="260" customFormat="1" ht="12.75" hidden="1" customHeight="1" x14ac:dyDescent="0.2">
      <c r="A26" s="198"/>
      <c r="B26" s="199"/>
      <c r="C26" s="228"/>
      <c r="D26" s="315"/>
      <c r="E26" s="200"/>
      <c r="F26" s="343"/>
      <c r="G26" s="200"/>
      <c r="H26" s="259"/>
      <c r="I26" s="655"/>
    </row>
    <row r="27" spans="1:9" s="260" customFormat="1" ht="12.75" hidden="1" customHeight="1" x14ac:dyDescent="0.2">
      <c r="A27" s="198"/>
      <c r="B27" s="199"/>
      <c r="C27" s="228"/>
      <c r="D27" s="315"/>
      <c r="E27" s="200"/>
      <c r="F27" s="343"/>
      <c r="G27" s="200"/>
      <c r="H27" s="259"/>
      <c r="I27" s="655"/>
    </row>
    <row r="28" spans="1:9" s="260" customFormat="1" ht="12.75" hidden="1" customHeight="1" x14ac:dyDescent="0.2">
      <c r="A28" s="198"/>
      <c r="B28" s="199"/>
      <c r="C28" s="228"/>
      <c r="D28" s="315" t="s">
        <v>366</v>
      </c>
      <c r="E28" s="200"/>
      <c r="F28" s="343"/>
      <c r="G28" s="200"/>
      <c r="H28" s="259"/>
      <c r="I28" s="656"/>
    </row>
    <row r="29" spans="1:9" s="260" customFormat="1" ht="12.75" hidden="1" customHeight="1" x14ac:dyDescent="0.2">
      <c r="A29" s="198"/>
      <c r="B29" s="199"/>
      <c r="C29" s="228"/>
      <c r="D29" s="315" t="s">
        <v>367</v>
      </c>
      <c r="E29" s="200"/>
      <c r="F29" s="343"/>
      <c r="G29" s="200"/>
      <c r="H29" s="259"/>
      <c r="I29" s="653"/>
    </row>
    <row r="30" spans="1:9" s="260" customFormat="1" ht="12.75" hidden="1" customHeight="1" x14ac:dyDescent="0.2">
      <c r="A30" s="198"/>
      <c r="B30" s="199"/>
      <c r="C30" s="228"/>
      <c r="D30" s="315" t="s">
        <v>368</v>
      </c>
      <c r="E30" s="200"/>
      <c r="F30" s="343"/>
      <c r="G30" s="200"/>
      <c r="H30" s="259"/>
      <c r="I30" s="656"/>
    </row>
    <row r="31" spans="1:9" s="260" customFormat="1" ht="12.75" hidden="1" customHeight="1" x14ac:dyDescent="0.2">
      <c r="A31" s="198"/>
      <c r="B31" s="199"/>
      <c r="C31" s="228"/>
      <c r="D31" s="315" t="s">
        <v>370</v>
      </c>
      <c r="E31" s="200"/>
      <c r="F31" s="343"/>
      <c r="G31" s="200"/>
      <c r="H31" s="259"/>
      <c r="I31" s="653"/>
    </row>
    <row r="32" spans="1:9" s="260" customFormat="1" ht="12.75" hidden="1" customHeight="1" x14ac:dyDescent="0.2">
      <c r="A32" s="198"/>
      <c r="B32" s="199"/>
      <c r="C32" s="228"/>
      <c r="D32" s="315"/>
      <c r="E32" s="200"/>
      <c r="F32" s="343"/>
      <c r="G32" s="200"/>
      <c r="H32" s="259"/>
      <c r="I32" s="657"/>
    </row>
    <row r="33" spans="1:12" s="260" customFormat="1" ht="12.75" hidden="1" customHeight="1" x14ac:dyDescent="0.2">
      <c r="A33" s="198"/>
      <c r="B33" s="199"/>
      <c r="C33" s="228"/>
      <c r="D33" s="315"/>
      <c r="E33" s="200"/>
      <c r="F33" s="343"/>
      <c r="G33" s="200"/>
      <c r="H33" s="259"/>
      <c r="I33" s="335"/>
    </row>
    <row r="34" spans="1:12" s="260" customFormat="1" ht="12.75" hidden="1" customHeight="1" x14ac:dyDescent="0.2">
      <c r="A34" s="198"/>
      <c r="B34" s="199"/>
      <c r="C34" s="228"/>
      <c r="D34" s="315" t="s">
        <v>544</v>
      </c>
      <c r="E34" s="200"/>
      <c r="F34" s="343"/>
      <c r="G34" s="200"/>
      <c r="H34" s="259"/>
      <c r="I34" s="335"/>
    </row>
    <row r="35" spans="1:12" s="260" customFormat="1" ht="12.75" customHeight="1" x14ac:dyDescent="0.2">
      <c r="A35" s="198"/>
      <c r="B35" s="199"/>
      <c r="C35" s="228"/>
      <c r="D35" s="315" t="s">
        <v>557</v>
      </c>
      <c r="E35" s="200"/>
      <c r="F35" s="343">
        <v>-431.25</v>
      </c>
      <c r="G35" s="200"/>
      <c r="H35" s="259"/>
      <c r="I35" s="335"/>
    </row>
    <row r="36" spans="1:12" s="260" customFormat="1" ht="12.75" customHeight="1" x14ac:dyDescent="0.2">
      <c r="A36" s="198"/>
      <c r="B36" s="199"/>
      <c r="C36" s="228"/>
      <c r="D36" s="315" t="s">
        <v>558</v>
      </c>
      <c r="E36" s="200"/>
      <c r="F36" s="343">
        <v>-375</v>
      </c>
      <c r="G36" s="200"/>
      <c r="H36" s="259"/>
      <c r="I36" s="697"/>
    </row>
    <row r="37" spans="1:12" s="260" customFormat="1" ht="12.75" customHeight="1" x14ac:dyDescent="0.2">
      <c r="A37" s="194">
        <f>1+A12</f>
        <v>4</v>
      </c>
      <c r="B37" s="195" t="s">
        <v>159</v>
      </c>
      <c r="C37" s="218" t="s">
        <v>192</v>
      </c>
      <c r="D37" s="512" t="str">
        <f>$D$12</f>
        <v>FTE August 2025</v>
      </c>
      <c r="E37" s="197">
        <f>'1571'!I$145</f>
        <v>808415.92</v>
      </c>
      <c r="F37" s="344"/>
      <c r="G37" s="197">
        <f>SUBTOTAL(109,E37:F52)</f>
        <v>808075.8</v>
      </c>
      <c r="H37" s="259"/>
      <c r="I37" s="338"/>
    </row>
    <row r="38" spans="1:12" s="260" customFormat="1" ht="12.75" hidden="1" customHeight="1" x14ac:dyDescent="0.2">
      <c r="A38" s="194"/>
      <c r="B38" s="195"/>
      <c r="C38" s="382"/>
      <c r="D38" s="231" t="s">
        <v>278</v>
      </c>
      <c r="E38" s="197"/>
      <c r="F38" s="344"/>
      <c r="G38" s="197"/>
      <c r="H38" s="259"/>
      <c r="I38" s="338"/>
    </row>
    <row r="39" spans="1:12" s="260" customFormat="1" ht="12.75" hidden="1" customHeight="1" x14ac:dyDescent="0.2">
      <c r="A39" s="194"/>
      <c r="B39" s="195"/>
      <c r="C39" s="218"/>
      <c r="D39" s="354" t="s">
        <v>487</v>
      </c>
      <c r="E39" s="197"/>
      <c r="F39" s="344"/>
      <c r="G39" s="197"/>
      <c r="H39" s="259"/>
      <c r="I39" s="338"/>
    </row>
    <row r="40" spans="1:12" s="260" customFormat="1" ht="12.75" hidden="1" customHeight="1" x14ac:dyDescent="0.2">
      <c r="A40" s="194"/>
      <c r="B40" s="195"/>
      <c r="C40" s="240"/>
      <c r="D40" s="354" t="s">
        <v>361</v>
      </c>
      <c r="E40" s="197"/>
      <c r="F40" s="344"/>
      <c r="G40" s="197"/>
      <c r="H40" s="259"/>
      <c r="I40" s="338"/>
    </row>
    <row r="41" spans="1:12" s="260" customFormat="1" ht="12.75" hidden="1" customHeight="1" x14ac:dyDescent="0.2">
      <c r="A41" s="194"/>
      <c r="B41" s="195"/>
      <c r="C41" s="218"/>
      <c r="D41" s="231" t="s">
        <v>280</v>
      </c>
      <c r="E41" s="197"/>
      <c r="F41" s="344"/>
      <c r="G41" s="197"/>
      <c r="H41" s="259"/>
      <c r="I41" s="338"/>
      <c r="L41" s="334">
        <v>44630</v>
      </c>
    </row>
    <row r="42" spans="1:12" s="260" customFormat="1" ht="12.75" hidden="1" customHeight="1" x14ac:dyDescent="0.2">
      <c r="A42" s="194"/>
      <c r="B42" s="195"/>
      <c r="C42" s="218"/>
      <c r="D42" s="231" t="s">
        <v>279</v>
      </c>
      <c r="E42" s="197"/>
      <c r="F42" s="344"/>
      <c r="G42" s="197"/>
      <c r="H42" s="259"/>
      <c r="I42" s="338"/>
      <c r="L42" s="334">
        <f>L41-60</f>
        <v>44570</v>
      </c>
    </row>
    <row r="43" spans="1:12" s="260" customFormat="1" ht="12.75" hidden="1" customHeight="1" x14ac:dyDescent="0.2">
      <c r="A43" s="194"/>
      <c r="B43" s="195"/>
      <c r="C43" s="218"/>
      <c r="D43" s="231" t="s">
        <v>288</v>
      </c>
      <c r="E43" s="197"/>
      <c r="F43" s="344"/>
      <c r="G43" s="197"/>
      <c r="H43" s="259"/>
      <c r="I43" s="338"/>
    </row>
    <row r="44" spans="1:12" s="260" customFormat="1" ht="12.75" hidden="1" customHeight="1" x14ac:dyDescent="0.2">
      <c r="A44" s="194"/>
      <c r="B44" s="195"/>
      <c r="C44" s="218"/>
      <c r="D44" s="231" t="s">
        <v>257</v>
      </c>
      <c r="E44" s="197"/>
      <c r="F44" s="344"/>
      <c r="G44" s="197"/>
      <c r="H44" s="259"/>
      <c r="I44" s="338"/>
    </row>
    <row r="45" spans="1:12" s="260" customFormat="1" ht="12.75" hidden="1" customHeight="1" x14ac:dyDescent="0.2">
      <c r="A45" s="194"/>
      <c r="B45" s="195"/>
      <c r="C45" s="230"/>
      <c r="D45" s="276" t="s">
        <v>229</v>
      </c>
      <c r="E45" s="197"/>
      <c r="F45" s="344">
        <v>0</v>
      </c>
      <c r="G45" s="197"/>
      <c r="H45" s="259"/>
      <c r="I45" s="338"/>
    </row>
    <row r="46" spans="1:12" s="260" customFormat="1" ht="12.75" customHeight="1" x14ac:dyDescent="0.2">
      <c r="A46" s="194"/>
      <c r="B46" s="195"/>
      <c r="C46" s="230"/>
      <c r="D46" s="276" t="s">
        <v>230</v>
      </c>
      <c r="E46" s="197"/>
      <c r="F46" s="344">
        <v>-155.63999999999999</v>
      </c>
      <c r="G46" s="197"/>
      <c r="H46" s="259"/>
      <c r="I46" s="335"/>
    </row>
    <row r="47" spans="1:12" s="260" customFormat="1" ht="12.75" customHeight="1" x14ac:dyDescent="0.2">
      <c r="A47" s="194"/>
      <c r="B47" s="195"/>
      <c r="C47" s="230"/>
      <c r="D47" s="276" t="s">
        <v>449</v>
      </c>
      <c r="E47" s="197"/>
      <c r="F47" s="344">
        <v>-94.48</v>
      </c>
      <c r="G47" s="197"/>
      <c r="H47" s="259"/>
      <c r="I47" s="335"/>
    </row>
    <row r="48" spans="1:12" s="260" customFormat="1" ht="12.75" customHeight="1" x14ac:dyDescent="0.2">
      <c r="A48" s="194"/>
      <c r="B48" s="195"/>
      <c r="C48" s="230"/>
      <c r="D48" s="276" t="s">
        <v>337</v>
      </c>
      <c r="E48" s="197"/>
      <c r="F48" s="344">
        <v>-90</v>
      </c>
      <c r="G48" s="197"/>
      <c r="H48" s="259"/>
      <c r="I48" s="335"/>
    </row>
    <row r="49" spans="1:13" s="260" customFormat="1" ht="12.75" hidden="1" customHeight="1" x14ac:dyDescent="0.2">
      <c r="A49" s="194"/>
      <c r="B49" s="195"/>
      <c r="C49" s="394"/>
      <c r="D49" s="566" t="s">
        <v>520</v>
      </c>
      <c r="E49" s="197"/>
      <c r="F49" s="344"/>
      <c r="G49" s="197"/>
      <c r="H49" s="296"/>
      <c r="I49" s="335"/>
    </row>
    <row r="50" spans="1:13" s="260" customFormat="1" ht="12.75" customHeight="1" x14ac:dyDescent="0.2">
      <c r="A50" s="194"/>
      <c r="B50" s="195"/>
      <c r="C50" s="230"/>
      <c r="D50" s="355" t="s">
        <v>345</v>
      </c>
      <c r="E50" s="197"/>
      <c r="F50" s="344"/>
      <c r="G50" s="197"/>
      <c r="H50" s="259"/>
      <c r="I50" s="335"/>
    </row>
    <row r="51" spans="1:13" s="260" customFormat="1" ht="12.75" customHeight="1" x14ac:dyDescent="0.2">
      <c r="A51" s="194"/>
      <c r="B51" s="195"/>
      <c r="C51" s="230"/>
      <c r="D51" s="276" t="s">
        <v>345</v>
      </c>
      <c r="E51" s="197"/>
      <c r="F51" s="344"/>
      <c r="G51" s="197"/>
      <c r="H51" s="259"/>
      <c r="I51" s="335"/>
    </row>
    <row r="52" spans="1:13" s="260" customFormat="1" ht="12.75" hidden="1" customHeight="1" x14ac:dyDescent="0.2">
      <c r="A52" s="194"/>
      <c r="B52" s="195"/>
      <c r="C52" s="230"/>
      <c r="D52" s="455" t="s">
        <v>486</v>
      </c>
      <c r="E52" s="197"/>
      <c r="F52" s="344"/>
      <c r="G52" s="197"/>
      <c r="H52" s="259"/>
      <c r="I52" s="335"/>
    </row>
    <row r="53" spans="1:13" s="260" customFormat="1" ht="12.75" customHeight="1" x14ac:dyDescent="0.2">
      <c r="A53" s="198">
        <f>1+A37</f>
        <v>5</v>
      </c>
      <c r="B53" s="199" t="s">
        <v>160</v>
      </c>
      <c r="C53" s="219" t="s">
        <v>193</v>
      </c>
      <c r="D53" s="277" t="str">
        <f>$D$12</f>
        <v>FTE August 2025</v>
      </c>
      <c r="E53" s="200">
        <f>'2521'!I$145</f>
        <v>112562.16</v>
      </c>
      <c r="F53" s="343"/>
      <c r="G53" s="200">
        <f>SUBTOTAL(109,E53:F59)</f>
        <v>112562.16</v>
      </c>
      <c r="H53" s="259"/>
      <c r="I53" s="335"/>
    </row>
    <row r="54" spans="1:13" s="260" customFormat="1" ht="12.75" hidden="1" customHeight="1" x14ac:dyDescent="0.2">
      <c r="A54" s="198"/>
      <c r="B54" s="199"/>
      <c r="C54" s="219"/>
      <c r="D54" s="232" t="s">
        <v>278</v>
      </c>
      <c r="E54" s="200"/>
      <c r="F54" s="343"/>
      <c r="G54" s="200"/>
      <c r="H54" s="259"/>
      <c r="I54" s="335"/>
    </row>
    <row r="55" spans="1:13" s="260" customFormat="1" ht="12.75" hidden="1" customHeight="1" x14ac:dyDescent="0.2">
      <c r="A55" s="198"/>
      <c r="B55" s="199"/>
      <c r="C55" s="219"/>
      <c r="D55" s="232" t="s">
        <v>280</v>
      </c>
      <c r="E55" s="200"/>
      <c r="F55" s="343"/>
      <c r="G55" s="200"/>
      <c r="H55" s="259"/>
      <c r="I55" s="335"/>
    </row>
    <row r="56" spans="1:13" s="260" customFormat="1" ht="12.75" hidden="1" customHeight="1" x14ac:dyDescent="0.2">
      <c r="A56" s="198"/>
      <c r="B56" s="199"/>
      <c r="C56" s="219"/>
      <c r="D56" s="232" t="s">
        <v>279</v>
      </c>
      <c r="E56" s="200"/>
      <c r="F56" s="343"/>
      <c r="G56" s="200"/>
      <c r="H56" s="259"/>
      <c r="I56" s="335"/>
    </row>
    <row r="57" spans="1:13" s="260" customFormat="1" ht="12.75" hidden="1" customHeight="1" x14ac:dyDescent="0.2">
      <c r="A57" s="198"/>
      <c r="B57" s="199"/>
      <c r="C57" s="219"/>
      <c r="D57" s="232" t="s">
        <v>288</v>
      </c>
      <c r="E57" s="200"/>
      <c r="F57" s="343"/>
      <c r="G57" s="200"/>
      <c r="H57" s="259"/>
      <c r="I57" s="335"/>
      <c r="M57" s="334"/>
    </row>
    <row r="58" spans="1:13" ht="12.75" hidden="1" customHeight="1" x14ac:dyDescent="0.2">
      <c r="A58" s="198"/>
      <c r="B58" s="199"/>
      <c r="C58" s="219"/>
      <c r="D58" s="232" t="s">
        <v>257</v>
      </c>
      <c r="E58" s="200"/>
      <c r="F58" s="343"/>
      <c r="G58" s="200"/>
      <c r="I58" s="335"/>
      <c r="M58" s="295"/>
    </row>
    <row r="59" spans="1:13" ht="12.75" hidden="1" customHeight="1" x14ac:dyDescent="0.2">
      <c r="A59" s="198"/>
      <c r="B59" s="199"/>
      <c r="C59" s="219"/>
      <c r="D59" s="315" t="s">
        <v>345</v>
      </c>
      <c r="E59" s="200"/>
      <c r="F59" s="343"/>
      <c r="G59" s="200"/>
      <c r="I59" s="335"/>
      <c r="L59" s="295"/>
    </row>
    <row r="60" spans="1:13" s="260" customFormat="1" ht="12.75" customHeight="1" x14ac:dyDescent="0.2">
      <c r="A60" s="194">
        <f>1+A53</f>
        <v>6</v>
      </c>
      <c r="B60" s="195">
        <v>2531</v>
      </c>
      <c r="C60" s="218" t="s">
        <v>536</v>
      </c>
      <c r="D60" s="512" t="str">
        <f>$D$12</f>
        <v>FTE August 2025</v>
      </c>
      <c r="E60" s="197">
        <f>'2531'!I145</f>
        <v>132295.12</v>
      </c>
      <c r="F60" s="344"/>
      <c r="G60" s="197">
        <f>SUBTOTAL(109,E60:F71)</f>
        <v>132295.12</v>
      </c>
      <c r="H60" s="296"/>
      <c r="I60" s="335"/>
    </row>
    <row r="61" spans="1:13" ht="12.75" hidden="1" customHeight="1" x14ac:dyDescent="0.2">
      <c r="A61" s="194"/>
      <c r="B61" s="195"/>
      <c r="C61" s="218"/>
      <c r="D61" s="231" t="s">
        <v>537</v>
      </c>
      <c r="E61" s="197"/>
      <c r="F61" s="344"/>
      <c r="G61" s="197"/>
      <c r="I61" s="335"/>
    </row>
    <row r="62" spans="1:13" ht="12.75" hidden="1" customHeight="1" x14ac:dyDescent="0.2">
      <c r="A62" s="194"/>
      <c r="B62" s="195"/>
      <c r="C62" s="218"/>
      <c r="D62" s="231" t="s">
        <v>278</v>
      </c>
      <c r="E62" s="197"/>
      <c r="F62" s="344"/>
      <c r="G62" s="197"/>
      <c r="I62" s="335"/>
    </row>
    <row r="63" spans="1:13" s="260" customFormat="1" ht="12.75" hidden="1" customHeight="1" x14ac:dyDescent="0.2">
      <c r="A63" s="194"/>
      <c r="B63" s="195"/>
      <c r="C63" s="218"/>
      <c r="D63" s="231" t="s">
        <v>363</v>
      </c>
      <c r="E63" s="197"/>
      <c r="F63" s="344"/>
      <c r="G63" s="197"/>
      <c r="H63" s="259"/>
      <c r="I63" s="306"/>
    </row>
    <row r="64" spans="1:13" s="260" customFormat="1" ht="12.75" hidden="1" customHeight="1" x14ac:dyDescent="0.2">
      <c r="A64" s="194"/>
      <c r="B64" s="195"/>
      <c r="C64" s="218"/>
      <c r="D64" s="354" t="s">
        <v>361</v>
      </c>
      <c r="E64" s="197"/>
      <c r="F64" s="344"/>
      <c r="G64" s="197"/>
      <c r="H64" s="259"/>
      <c r="I64" s="195"/>
    </row>
    <row r="65" spans="1:9" s="260" customFormat="1" ht="12.75" hidden="1" customHeight="1" x14ac:dyDescent="0.2">
      <c r="A65" s="194"/>
      <c r="B65" s="195"/>
      <c r="C65" s="218"/>
      <c r="D65" s="231" t="s">
        <v>280</v>
      </c>
      <c r="E65" s="197"/>
      <c r="F65" s="344"/>
      <c r="G65" s="197"/>
      <c r="H65" s="259"/>
      <c r="I65" s="195"/>
    </row>
    <row r="66" spans="1:9" s="260" customFormat="1" ht="12.75" hidden="1" customHeight="1" x14ac:dyDescent="0.2">
      <c r="A66" s="194"/>
      <c r="B66" s="195"/>
      <c r="C66" s="218"/>
      <c r="D66" s="231" t="s">
        <v>279</v>
      </c>
      <c r="E66" s="197"/>
      <c r="F66" s="344"/>
      <c r="G66" s="197"/>
      <c r="H66" s="259"/>
      <c r="I66" s="195"/>
    </row>
    <row r="67" spans="1:9" s="260" customFormat="1" ht="12.75" hidden="1" customHeight="1" x14ac:dyDescent="0.2">
      <c r="A67" s="194"/>
      <c r="B67" s="195"/>
      <c r="C67" s="218"/>
      <c r="D67" s="231" t="s">
        <v>288</v>
      </c>
      <c r="E67" s="197"/>
      <c r="F67" s="344"/>
      <c r="G67" s="197"/>
      <c r="H67" s="296"/>
      <c r="I67" s="306"/>
    </row>
    <row r="68" spans="1:9" s="260" customFormat="1" ht="12.75" hidden="1" customHeight="1" x14ac:dyDescent="0.2">
      <c r="A68" s="194"/>
      <c r="B68" s="195"/>
      <c r="C68" s="218"/>
      <c r="D68" s="231" t="s">
        <v>257</v>
      </c>
      <c r="E68" s="197"/>
      <c r="F68" s="344"/>
      <c r="G68" s="197"/>
      <c r="H68" s="259"/>
      <c r="I68" s="306"/>
    </row>
    <row r="69" spans="1:9" s="260" customFormat="1" ht="12.75" hidden="1" customHeight="1" x14ac:dyDescent="0.2">
      <c r="A69" s="194"/>
      <c r="B69" s="195"/>
      <c r="C69" s="218"/>
      <c r="D69" s="231" t="s">
        <v>344</v>
      </c>
      <c r="E69" s="197"/>
      <c r="F69" s="344"/>
      <c r="G69" s="197"/>
      <c r="H69" s="259"/>
      <c r="I69" s="306"/>
    </row>
    <row r="70" spans="1:9" s="260" customFormat="1" ht="12.75" hidden="1" customHeight="1" x14ac:dyDescent="0.2">
      <c r="A70" s="194"/>
      <c r="B70" s="195"/>
      <c r="C70" s="230"/>
      <c r="D70" s="355" t="s">
        <v>358</v>
      </c>
      <c r="E70" s="197"/>
      <c r="F70" s="344"/>
      <c r="G70" s="197"/>
      <c r="H70" s="259"/>
      <c r="I70" s="335"/>
    </row>
    <row r="71" spans="1:9" s="260" customFormat="1" ht="12.75" hidden="1" customHeight="1" x14ac:dyDescent="0.2">
      <c r="A71" s="194"/>
      <c r="B71" s="195"/>
      <c r="C71" s="218"/>
      <c r="D71" s="276" t="s">
        <v>345</v>
      </c>
      <c r="E71" s="197"/>
      <c r="F71" s="344"/>
      <c r="G71" s="197"/>
      <c r="H71" s="259"/>
      <c r="I71" s="230"/>
    </row>
    <row r="72" spans="1:9" s="260" customFormat="1" ht="12.75" customHeight="1" x14ac:dyDescent="0.2">
      <c r="A72" s="198">
        <f>1+A60</f>
        <v>7</v>
      </c>
      <c r="B72" s="199" t="s">
        <v>162</v>
      </c>
      <c r="C72" s="262" t="s">
        <v>255</v>
      </c>
      <c r="D72" s="277" t="str">
        <f>$D$12</f>
        <v>FTE August 2025</v>
      </c>
      <c r="E72" s="200">
        <f>'2791'!I$145</f>
        <v>446019.94</v>
      </c>
      <c r="F72" s="343"/>
      <c r="G72" s="200">
        <f>SUBTOTAL(109,E72:F79)</f>
        <v>446019.94</v>
      </c>
      <c r="H72" s="296"/>
      <c r="I72" s="338"/>
    </row>
    <row r="73" spans="1:9" s="260" customFormat="1" ht="12.75" hidden="1" customHeight="1" x14ac:dyDescent="0.2">
      <c r="A73" s="198"/>
      <c r="B73" s="199"/>
      <c r="C73" s="219"/>
      <c r="D73" s="232" t="s">
        <v>278</v>
      </c>
      <c r="E73" s="200"/>
      <c r="F73" s="343"/>
      <c r="G73" s="200"/>
      <c r="H73" s="259"/>
      <c r="I73" s="230"/>
    </row>
    <row r="74" spans="1:9" s="260" customFormat="1" ht="12.75" hidden="1" customHeight="1" x14ac:dyDescent="0.2">
      <c r="A74" s="198"/>
      <c r="B74" s="199"/>
      <c r="C74" s="219"/>
      <c r="D74" s="391" t="s">
        <v>487</v>
      </c>
      <c r="E74" s="200"/>
      <c r="F74" s="343"/>
      <c r="G74" s="200"/>
      <c r="H74" s="259"/>
      <c r="I74" s="230"/>
    </row>
    <row r="75" spans="1:9" s="260" customFormat="1" ht="12.75" hidden="1" customHeight="1" x14ac:dyDescent="0.2">
      <c r="A75" s="198"/>
      <c r="B75" s="199"/>
      <c r="C75" s="219"/>
      <c r="D75" s="232" t="s">
        <v>280</v>
      </c>
      <c r="E75" s="200"/>
      <c r="F75" s="343"/>
      <c r="G75" s="200"/>
      <c r="H75" s="259"/>
      <c r="I75" s="230"/>
    </row>
    <row r="76" spans="1:9" s="260" customFormat="1" ht="12.75" hidden="1" customHeight="1" x14ac:dyDescent="0.2">
      <c r="A76" s="198"/>
      <c r="B76" s="199"/>
      <c r="C76" s="219"/>
      <c r="D76" s="232" t="s">
        <v>279</v>
      </c>
      <c r="E76" s="200"/>
      <c r="F76" s="343"/>
      <c r="G76" s="200"/>
      <c r="H76" s="259"/>
      <c r="I76" s="230"/>
    </row>
    <row r="77" spans="1:9" s="260" customFormat="1" ht="12.75" hidden="1" customHeight="1" x14ac:dyDescent="0.2">
      <c r="A77" s="198"/>
      <c r="B77" s="199"/>
      <c r="C77" s="219"/>
      <c r="D77" s="232"/>
      <c r="E77" s="200"/>
      <c r="F77" s="343"/>
      <c r="G77" s="200"/>
      <c r="H77" s="259"/>
      <c r="I77" s="335"/>
    </row>
    <row r="78" spans="1:9" s="260" customFormat="1" ht="12.75" hidden="1" customHeight="1" x14ac:dyDescent="0.2">
      <c r="A78" s="198"/>
      <c r="B78" s="199"/>
      <c r="C78" s="219"/>
      <c r="D78" s="232" t="s">
        <v>257</v>
      </c>
      <c r="E78" s="200"/>
      <c r="F78" s="343"/>
      <c r="G78" s="200"/>
      <c r="H78" s="259"/>
      <c r="I78" s="335"/>
    </row>
    <row r="79" spans="1:9" s="260" customFormat="1" ht="12.75" hidden="1" customHeight="1" x14ac:dyDescent="0.2">
      <c r="A79" s="198"/>
      <c r="B79" s="199"/>
      <c r="C79" s="219"/>
      <c r="D79" s="315" t="s">
        <v>345</v>
      </c>
      <c r="E79" s="200"/>
      <c r="F79" s="343"/>
      <c r="G79" s="200"/>
      <c r="H79" s="259"/>
      <c r="I79" s="335"/>
    </row>
    <row r="80" spans="1:9" s="260" customFormat="1" ht="12.75" customHeight="1" x14ac:dyDescent="0.2">
      <c r="A80" s="194">
        <f>A72+1</f>
        <v>8</v>
      </c>
      <c r="B80" s="195" t="s">
        <v>163</v>
      </c>
      <c r="C80" s="261" t="s">
        <v>377</v>
      </c>
      <c r="D80" s="512" t="str">
        <f>$D$12</f>
        <v>FTE August 2025</v>
      </c>
      <c r="E80" s="197">
        <f>'2801'!I$145</f>
        <v>438326.62</v>
      </c>
      <c r="F80" s="344"/>
      <c r="G80" s="197">
        <f>SUBTOTAL(109,E80:F89)</f>
        <v>438326.62</v>
      </c>
      <c r="H80" s="296"/>
      <c r="I80" s="338"/>
    </row>
    <row r="81" spans="1:9" s="260" customFormat="1" ht="12.75" hidden="1" customHeight="1" x14ac:dyDescent="0.2">
      <c r="A81" s="194"/>
      <c r="B81" s="195"/>
      <c r="C81" s="218"/>
      <c r="D81" s="231" t="s">
        <v>537</v>
      </c>
      <c r="E81" s="197"/>
      <c r="F81" s="344"/>
      <c r="G81" s="197"/>
      <c r="H81" s="259"/>
      <c r="I81" s="335"/>
    </row>
    <row r="82" spans="1:9" s="260" customFormat="1" ht="12.75" hidden="1" customHeight="1" x14ac:dyDescent="0.2">
      <c r="A82" s="194"/>
      <c r="B82" s="195"/>
      <c r="C82" s="218"/>
      <c r="D82" s="354" t="s">
        <v>487</v>
      </c>
      <c r="E82" s="197"/>
      <c r="F82" s="344"/>
      <c r="G82" s="197"/>
      <c r="H82" s="296"/>
      <c r="I82" s="306"/>
    </row>
    <row r="83" spans="1:9" s="260" customFormat="1" ht="12.75" hidden="1" customHeight="1" x14ac:dyDescent="0.2">
      <c r="A83" s="194"/>
      <c r="B83" s="195"/>
      <c r="C83" s="218"/>
      <c r="D83" s="231" t="s">
        <v>280</v>
      </c>
      <c r="E83" s="197"/>
      <c r="F83" s="344"/>
      <c r="G83" s="197"/>
      <c r="H83" s="296"/>
      <c r="I83" s="195"/>
    </row>
    <row r="84" spans="1:9" s="260" customFormat="1" ht="12.75" hidden="1" customHeight="1" x14ac:dyDescent="0.2">
      <c r="A84" s="194"/>
      <c r="B84" s="195"/>
      <c r="C84" s="218"/>
      <c r="D84" s="231" t="s">
        <v>354</v>
      </c>
      <c r="E84" s="197"/>
      <c r="F84" s="344"/>
      <c r="G84" s="197"/>
      <c r="H84" s="259"/>
      <c r="I84" s="230"/>
    </row>
    <row r="85" spans="1:9" s="260" customFormat="1" ht="12.75" hidden="1" customHeight="1" x14ac:dyDescent="0.2">
      <c r="A85" s="194"/>
      <c r="B85" s="195"/>
      <c r="C85" s="218"/>
      <c r="D85" s="231" t="s">
        <v>288</v>
      </c>
      <c r="E85" s="197"/>
      <c r="F85" s="344"/>
      <c r="G85" s="197"/>
      <c r="H85" s="296"/>
      <c r="I85" s="195"/>
    </row>
    <row r="86" spans="1:9" s="260" customFormat="1" ht="12.75" hidden="1" customHeight="1" x14ac:dyDescent="0.2">
      <c r="A86" s="194"/>
      <c r="B86" s="195"/>
      <c r="C86" s="218"/>
      <c r="D86" s="231" t="s">
        <v>257</v>
      </c>
      <c r="E86" s="197"/>
      <c r="F86" s="344"/>
      <c r="G86" s="197"/>
      <c r="H86" s="296"/>
      <c r="I86" s="195"/>
    </row>
    <row r="87" spans="1:9" s="260" customFormat="1" ht="12.75" hidden="1" customHeight="1" x14ac:dyDescent="0.2">
      <c r="A87" s="194"/>
      <c r="B87" s="195"/>
      <c r="C87" s="218"/>
      <c r="D87" s="231" t="s">
        <v>302</v>
      </c>
      <c r="E87" s="197"/>
      <c r="F87" s="344"/>
      <c r="G87" s="197"/>
      <c r="H87" s="296"/>
      <c r="I87" s="306"/>
    </row>
    <row r="88" spans="1:9" s="260" customFormat="1" ht="12.75" hidden="1" customHeight="1" x14ac:dyDescent="0.2">
      <c r="A88" s="194"/>
      <c r="B88" s="195"/>
      <c r="C88" s="218"/>
      <c r="D88" s="231" t="s">
        <v>344</v>
      </c>
      <c r="E88" s="197"/>
      <c r="F88" s="344"/>
      <c r="G88" s="197"/>
      <c r="H88" s="259"/>
      <c r="I88" s="306"/>
    </row>
    <row r="89" spans="1:9" s="260" customFormat="1" ht="12.75" hidden="1" customHeight="1" x14ac:dyDescent="0.2">
      <c r="A89" s="194"/>
      <c r="B89" s="195"/>
      <c r="C89" s="218"/>
      <c r="D89" s="276" t="s">
        <v>375</v>
      </c>
      <c r="E89" s="197"/>
      <c r="F89" s="344"/>
      <c r="G89" s="197"/>
      <c r="H89" s="259"/>
      <c r="I89" s="306"/>
    </row>
    <row r="90" spans="1:9" s="260" customFormat="1" ht="12.75" customHeight="1" x14ac:dyDescent="0.2">
      <c r="A90" s="198">
        <f>A80+1</f>
        <v>9</v>
      </c>
      <c r="B90" s="199" t="s">
        <v>164</v>
      </c>
      <c r="C90" s="219" t="s">
        <v>196</v>
      </c>
      <c r="D90" s="277" t="str">
        <f>$D$12</f>
        <v>FTE August 2025</v>
      </c>
      <c r="E90" s="200">
        <f>'2911'!I$145</f>
        <v>513425.85</v>
      </c>
      <c r="F90" s="343"/>
      <c r="G90" s="200">
        <f>SUBTOTAL(109,E90:F100)</f>
        <v>513425.85</v>
      </c>
      <c r="H90" s="296"/>
      <c r="I90" s="195"/>
    </row>
    <row r="91" spans="1:9" s="260" customFormat="1" ht="12.75" hidden="1" customHeight="1" x14ac:dyDescent="0.2">
      <c r="A91" s="198"/>
      <c r="B91" s="199"/>
      <c r="C91" s="219"/>
      <c r="D91" s="232" t="s">
        <v>278</v>
      </c>
      <c r="E91" s="200"/>
      <c r="F91" s="343"/>
      <c r="G91" s="200"/>
      <c r="H91" s="296"/>
      <c r="I91" s="195"/>
    </row>
    <row r="92" spans="1:9" s="260" customFormat="1" ht="12.75" hidden="1" customHeight="1" x14ac:dyDescent="0.2">
      <c r="A92" s="198"/>
      <c r="B92" s="199"/>
      <c r="C92" s="219"/>
      <c r="D92" s="391" t="s">
        <v>361</v>
      </c>
      <c r="E92" s="200"/>
      <c r="F92" s="343"/>
      <c r="G92" s="200"/>
      <c r="H92" s="259"/>
      <c r="I92" s="230"/>
    </row>
    <row r="93" spans="1:9" s="260" customFormat="1" ht="12.75" hidden="1" customHeight="1" x14ac:dyDescent="0.2">
      <c r="A93" s="198"/>
      <c r="B93" s="199"/>
      <c r="C93" s="219"/>
      <c r="D93" s="232" t="s">
        <v>280</v>
      </c>
      <c r="E93" s="200"/>
      <c r="F93" s="343"/>
      <c r="G93" s="200"/>
      <c r="H93" s="296"/>
      <c r="I93" s="195"/>
    </row>
    <row r="94" spans="1:9" s="260" customFormat="1" ht="12.75" hidden="1" customHeight="1" x14ac:dyDescent="0.2">
      <c r="A94" s="198"/>
      <c r="B94" s="199"/>
      <c r="C94" s="219"/>
      <c r="D94" s="232" t="s">
        <v>279</v>
      </c>
      <c r="E94" s="200"/>
      <c r="F94" s="343"/>
      <c r="G94" s="200"/>
      <c r="H94" s="296"/>
      <c r="I94" s="195"/>
    </row>
    <row r="95" spans="1:9" s="260" customFormat="1" ht="12.75" hidden="1" customHeight="1" x14ac:dyDescent="0.2">
      <c r="A95" s="198"/>
      <c r="B95" s="199"/>
      <c r="C95" s="219"/>
      <c r="D95" s="232" t="s">
        <v>288</v>
      </c>
      <c r="E95" s="200"/>
      <c r="F95" s="343"/>
      <c r="G95" s="200"/>
      <c r="H95" s="296"/>
      <c r="I95" s="195"/>
    </row>
    <row r="96" spans="1:9" s="260" customFormat="1" ht="12.75" hidden="1" customHeight="1" x14ac:dyDescent="0.2">
      <c r="A96" s="198"/>
      <c r="B96" s="199"/>
      <c r="C96" s="219"/>
      <c r="D96" s="232" t="s">
        <v>257</v>
      </c>
      <c r="E96" s="200"/>
      <c r="F96" s="343"/>
      <c r="G96" s="200"/>
      <c r="H96" s="259"/>
      <c r="I96" s="333"/>
    </row>
    <row r="97" spans="1:12" s="260" customFormat="1" ht="12.75" hidden="1" customHeight="1" x14ac:dyDescent="0.2">
      <c r="A97" s="198"/>
      <c r="B97" s="199"/>
      <c r="C97" s="219"/>
      <c r="D97" s="232" t="s">
        <v>302</v>
      </c>
      <c r="E97" s="200"/>
      <c r="F97" s="343"/>
      <c r="G97" s="200"/>
      <c r="H97" s="296"/>
    </row>
    <row r="98" spans="1:12" s="260" customFormat="1" ht="12.75" hidden="1" customHeight="1" x14ac:dyDescent="0.2">
      <c r="A98" s="198"/>
      <c r="B98" s="199"/>
      <c r="C98" s="228"/>
      <c r="D98" s="315" t="s">
        <v>538</v>
      </c>
      <c r="E98" s="200"/>
      <c r="F98" s="343"/>
      <c r="G98" s="200"/>
      <c r="H98" s="296"/>
      <c r="I98" s="195"/>
    </row>
    <row r="99" spans="1:12" s="260" customFormat="1" ht="12.75" hidden="1" customHeight="1" x14ac:dyDescent="0.2">
      <c r="A99" s="198"/>
      <c r="B99" s="199"/>
      <c r="C99" s="228"/>
      <c r="D99" s="315" t="s">
        <v>385</v>
      </c>
      <c r="E99" s="200"/>
      <c r="F99" s="343"/>
      <c r="G99" s="200"/>
      <c r="H99" s="296"/>
      <c r="I99" s="306"/>
    </row>
    <row r="100" spans="1:12" s="260" customFormat="1" ht="12.75" hidden="1" customHeight="1" x14ac:dyDescent="0.2">
      <c r="A100" s="198"/>
      <c r="B100" s="199"/>
      <c r="C100" s="228"/>
      <c r="D100" s="278"/>
      <c r="E100" s="200"/>
      <c r="F100" s="343"/>
      <c r="G100" s="200"/>
      <c r="H100" s="296"/>
      <c r="I100" s="306"/>
    </row>
    <row r="101" spans="1:12" s="260" customFormat="1" ht="12.75" customHeight="1" x14ac:dyDescent="0.2">
      <c r="A101" s="194">
        <f>A90+1</f>
        <v>10</v>
      </c>
      <c r="B101" s="195" t="s">
        <v>165</v>
      </c>
      <c r="C101" s="218" t="s">
        <v>197</v>
      </c>
      <c r="D101" s="512" t="str">
        <f>$D$12</f>
        <v>FTE August 2025</v>
      </c>
      <c r="E101" s="197">
        <f>'2941'!I$145</f>
        <v>869504.11</v>
      </c>
      <c r="F101" s="344"/>
      <c r="G101" s="197">
        <f>SUBTOTAL(109,E101:F109)</f>
        <v>855715.17999999993</v>
      </c>
      <c r="H101" s="296"/>
      <c r="I101" s="195"/>
    </row>
    <row r="102" spans="1:12" s="260" customFormat="1" ht="12.75" hidden="1" customHeight="1" x14ac:dyDescent="0.2">
      <c r="A102" s="194"/>
      <c r="B102" s="195"/>
      <c r="C102" s="218"/>
      <c r="D102" s="231" t="s">
        <v>537</v>
      </c>
      <c r="E102" s="197"/>
      <c r="F102" s="344"/>
      <c r="G102" s="197"/>
      <c r="H102" s="296"/>
      <c r="I102" s="195"/>
    </row>
    <row r="103" spans="1:12" s="260" customFormat="1" ht="12.75" hidden="1" customHeight="1" x14ac:dyDescent="0.2">
      <c r="A103" s="194"/>
      <c r="B103" s="195"/>
      <c r="C103" s="218"/>
      <c r="D103" s="354" t="s">
        <v>487</v>
      </c>
      <c r="E103" s="197"/>
      <c r="F103" s="344"/>
      <c r="G103" s="197"/>
      <c r="H103" s="259"/>
      <c r="I103" s="230"/>
    </row>
    <row r="104" spans="1:12" s="260" customFormat="1" ht="12.75" hidden="1" customHeight="1" x14ac:dyDescent="0.2">
      <c r="A104" s="194"/>
      <c r="B104" s="195"/>
      <c r="C104" s="218"/>
      <c r="D104" s="231" t="s">
        <v>280</v>
      </c>
      <c r="E104" s="197"/>
      <c r="F104" s="344"/>
      <c r="G104" s="197"/>
      <c r="H104" s="296"/>
      <c r="I104" s="195"/>
    </row>
    <row r="105" spans="1:12" s="260" customFormat="1" ht="12.75" hidden="1" customHeight="1" x14ac:dyDescent="0.2">
      <c r="A105" s="194"/>
      <c r="B105" s="195"/>
      <c r="C105" s="218"/>
      <c r="D105" s="231" t="s">
        <v>279</v>
      </c>
      <c r="E105" s="197"/>
      <c r="F105" s="344"/>
      <c r="G105" s="197"/>
      <c r="H105" s="296"/>
      <c r="I105" s="195"/>
    </row>
    <row r="106" spans="1:12" s="260" customFormat="1" ht="12.75" hidden="1" customHeight="1" x14ac:dyDescent="0.2">
      <c r="A106" s="194"/>
      <c r="B106" s="195"/>
      <c r="C106" s="218"/>
      <c r="D106" s="231" t="s">
        <v>288</v>
      </c>
      <c r="E106" s="197"/>
      <c r="F106" s="344"/>
      <c r="G106" s="197"/>
      <c r="H106" s="296"/>
      <c r="I106" s="195"/>
    </row>
    <row r="107" spans="1:12" s="260" customFormat="1" ht="12.75" customHeight="1" x14ac:dyDescent="0.2">
      <c r="A107" s="194"/>
      <c r="B107" s="195"/>
      <c r="C107" s="218"/>
      <c r="D107" s="354" t="s">
        <v>548</v>
      </c>
      <c r="E107" s="197"/>
      <c r="F107" s="344">
        <v>-13788.93</v>
      </c>
      <c r="G107" s="197"/>
      <c r="H107" s="259"/>
      <c r="I107" s="333"/>
    </row>
    <row r="108" spans="1:12" s="260" customFormat="1" ht="12.75" hidden="1" customHeight="1" x14ac:dyDescent="0.2">
      <c r="A108" s="194"/>
      <c r="B108" s="195"/>
      <c r="C108" s="218"/>
      <c r="D108" s="231" t="s">
        <v>344</v>
      </c>
      <c r="E108" s="197"/>
      <c r="F108" s="344"/>
      <c r="G108" s="197"/>
      <c r="H108" s="296"/>
      <c r="I108" s="306"/>
    </row>
    <row r="109" spans="1:12" s="260" customFormat="1" ht="12.75" hidden="1" customHeight="1" x14ac:dyDescent="0.2">
      <c r="A109" s="194"/>
      <c r="B109" s="195"/>
      <c r="C109" s="218"/>
      <c r="D109" s="276"/>
      <c r="E109" s="197"/>
      <c r="F109" s="344"/>
      <c r="G109" s="197"/>
      <c r="H109" s="259"/>
      <c r="I109" s="306"/>
      <c r="J109" s="355"/>
      <c r="K109" s="197"/>
      <c r="L109" s="240"/>
    </row>
    <row r="110" spans="1:12" s="260" customFormat="1" ht="12.75" customHeight="1" x14ac:dyDescent="0.2">
      <c r="A110" s="198">
        <f>A101+1</f>
        <v>11</v>
      </c>
      <c r="B110" s="199" t="s">
        <v>166</v>
      </c>
      <c r="C110" s="262" t="s">
        <v>336</v>
      </c>
      <c r="D110" s="277" t="str">
        <f>$D$12</f>
        <v>FTE August 2025</v>
      </c>
      <c r="E110" s="200">
        <f>'3083'!I$145</f>
        <v>497059.68</v>
      </c>
      <c r="F110" s="343"/>
      <c r="G110" s="200">
        <f>SUBTOTAL(109,E110:F117)</f>
        <v>488532.77</v>
      </c>
      <c r="H110" s="259"/>
      <c r="I110" s="306"/>
      <c r="J110" s="355"/>
      <c r="K110" s="197"/>
      <c r="L110" s="240"/>
    </row>
    <row r="111" spans="1:12" s="260" customFormat="1" ht="12.75" customHeight="1" x14ac:dyDescent="0.2">
      <c r="A111" s="198"/>
      <c r="B111" s="199"/>
      <c r="C111" s="219"/>
      <c r="D111" s="232" t="s">
        <v>548</v>
      </c>
      <c r="E111" s="200"/>
      <c r="F111" s="343">
        <v>-8526.91</v>
      </c>
      <c r="G111" s="200"/>
      <c r="H111" s="296"/>
      <c r="I111" s="195"/>
    </row>
    <row r="112" spans="1:12" s="260" customFormat="1" ht="12.75" hidden="1" customHeight="1" x14ac:dyDescent="0.2">
      <c r="A112" s="198"/>
      <c r="B112" s="199"/>
      <c r="C112" s="219"/>
      <c r="D112" s="391" t="s">
        <v>487</v>
      </c>
      <c r="E112" s="200"/>
      <c r="F112" s="343"/>
      <c r="G112" s="200"/>
      <c r="H112" s="296"/>
      <c r="I112" s="195"/>
    </row>
    <row r="113" spans="1:9" s="260" customFormat="1" ht="12.75" hidden="1" customHeight="1" x14ac:dyDescent="0.2">
      <c r="A113" s="198"/>
      <c r="B113" s="199"/>
      <c r="C113" s="219"/>
      <c r="D113" s="232" t="s">
        <v>280</v>
      </c>
      <c r="E113" s="200"/>
      <c r="F113" s="343"/>
      <c r="G113" s="200"/>
      <c r="H113" s="259"/>
      <c r="I113" s="230"/>
    </row>
    <row r="114" spans="1:9" s="260" customFormat="1" ht="12.75" hidden="1" customHeight="1" x14ac:dyDescent="0.2">
      <c r="A114" s="198"/>
      <c r="B114" s="199"/>
      <c r="C114" s="219"/>
      <c r="D114" s="232" t="s">
        <v>279</v>
      </c>
      <c r="E114" s="200"/>
      <c r="F114" s="343"/>
      <c r="G114" s="200"/>
      <c r="H114" s="296"/>
      <c r="I114" s="195"/>
    </row>
    <row r="115" spans="1:9" s="260" customFormat="1" ht="12.75" hidden="1" customHeight="1" x14ac:dyDescent="0.2">
      <c r="A115" s="198"/>
      <c r="B115" s="199"/>
      <c r="C115" s="219"/>
      <c r="D115" s="278" t="s">
        <v>288</v>
      </c>
      <c r="E115" s="200"/>
      <c r="F115" s="343"/>
      <c r="G115" s="200"/>
      <c r="H115" s="296"/>
      <c r="I115" s="195"/>
    </row>
    <row r="116" spans="1:9" s="260" customFormat="1" ht="12.75" hidden="1" customHeight="1" x14ac:dyDescent="0.2">
      <c r="A116" s="198"/>
      <c r="B116" s="199"/>
      <c r="C116" s="219"/>
      <c r="D116" s="232" t="s">
        <v>257</v>
      </c>
      <c r="E116" s="200"/>
      <c r="F116" s="343"/>
      <c r="G116" s="200"/>
      <c r="H116" s="296"/>
      <c r="I116" s="195"/>
    </row>
    <row r="117" spans="1:9" s="260" customFormat="1" ht="12.75" hidden="1" customHeight="1" x14ac:dyDescent="0.2">
      <c r="A117" s="198"/>
      <c r="B117" s="199"/>
      <c r="C117" s="219"/>
      <c r="D117" s="278" t="s">
        <v>345</v>
      </c>
      <c r="E117" s="200"/>
      <c r="F117" s="343"/>
      <c r="G117" s="200"/>
      <c r="H117" s="259"/>
      <c r="I117" s="333"/>
    </row>
    <row r="118" spans="1:9" s="260" customFormat="1" ht="12.75" customHeight="1" x14ac:dyDescent="0.2">
      <c r="A118" s="194">
        <f>A110+1</f>
        <v>12</v>
      </c>
      <c r="B118" s="195" t="s">
        <v>167</v>
      </c>
      <c r="C118" s="261" t="s">
        <v>383</v>
      </c>
      <c r="D118" s="512" t="str">
        <f>$D$12</f>
        <v>FTE August 2025</v>
      </c>
      <c r="E118" s="197">
        <f>'3345'!I$145</f>
        <v>91364.55</v>
      </c>
      <c r="F118" s="344"/>
      <c r="G118" s="197">
        <f>SUBTOTAL(109,E118:F124)</f>
        <v>91364.55</v>
      </c>
      <c r="H118" s="259"/>
      <c r="I118" s="333"/>
    </row>
    <row r="119" spans="1:9" s="260" customFormat="1" ht="12.75" hidden="1" customHeight="1" x14ac:dyDescent="0.2">
      <c r="A119" s="194"/>
      <c r="B119" s="195"/>
      <c r="C119" s="261"/>
      <c r="D119" s="231" t="s">
        <v>537</v>
      </c>
      <c r="E119" s="197"/>
      <c r="F119" s="344"/>
      <c r="G119" s="197"/>
      <c r="H119" s="259"/>
      <c r="I119" s="333"/>
    </row>
    <row r="120" spans="1:9" s="260" customFormat="1" ht="12.75" hidden="1" customHeight="1" x14ac:dyDescent="0.2">
      <c r="A120" s="194"/>
      <c r="B120" s="195"/>
      <c r="C120" s="261"/>
      <c r="D120" s="231" t="s">
        <v>487</v>
      </c>
      <c r="E120" s="197"/>
      <c r="F120" s="344"/>
      <c r="G120" s="197"/>
      <c r="H120" s="296"/>
      <c r="I120" s="195"/>
    </row>
    <row r="121" spans="1:9" s="260" customFormat="1" ht="12.75" hidden="1" customHeight="1" x14ac:dyDescent="0.2">
      <c r="A121" s="194"/>
      <c r="B121" s="195"/>
      <c r="C121" s="218"/>
      <c r="D121" s="231" t="s">
        <v>279</v>
      </c>
      <c r="E121" s="197"/>
      <c r="F121" s="344"/>
      <c r="G121" s="197"/>
      <c r="H121" s="296"/>
      <c r="I121" s="195"/>
    </row>
    <row r="122" spans="1:9" s="260" customFormat="1" ht="12.75" hidden="1" customHeight="1" x14ac:dyDescent="0.2">
      <c r="A122" s="194"/>
      <c r="B122" s="195"/>
      <c r="C122" s="218"/>
      <c r="D122" s="231" t="s">
        <v>288</v>
      </c>
      <c r="E122" s="197"/>
      <c r="F122" s="344"/>
      <c r="G122" s="197"/>
      <c r="H122" s="259"/>
      <c r="I122" s="230"/>
    </row>
    <row r="123" spans="1:9" s="260" customFormat="1" ht="12.75" hidden="1" customHeight="1" x14ac:dyDescent="0.2">
      <c r="A123" s="194"/>
      <c r="B123" s="195"/>
      <c r="C123" s="218"/>
      <c r="D123" s="231" t="s">
        <v>257</v>
      </c>
      <c r="E123" s="197"/>
      <c r="F123" s="344"/>
      <c r="G123" s="197"/>
      <c r="H123" s="296"/>
      <c r="I123" s="195"/>
    </row>
    <row r="124" spans="1:9" s="260" customFormat="1" ht="12.75" hidden="1" customHeight="1" x14ac:dyDescent="0.2">
      <c r="A124" s="194"/>
      <c r="B124" s="195"/>
      <c r="C124" s="218"/>
      <c r="D124" s="276" t="s">
        <v>345</v>
      </c>
      <c r="E124" s="197"/>
      <c r="F124" s="344"/>
      <c r="G124" s="197"/>
      <c r="H124" s="296"/>
      <c r="I124" s="195"/>
    </row>
    <row r="125" spans="1:9" s="260" customFormat="1" ht="12.75" customHeight="1" x14ac:dyDescent="0.2">
      <c r="A125" s="198">
        <v>13</v>
      </c>
      <c r="B125" s="199" t="s">
        <v>168</v>
      </c>
      <c r="C125" s="219" t="s">
        <v>200</v>
      </c>
      <c r="D125" s="277" t="str">
        <f>$D$12</f>
        <v>FTE August 2025</v>
      </c>
      <c r="E125" s="200">
        <f>'3381'!I$145</f>
        <v>762872.3</v>
      </c>
      <c r="F125" s="343"/>
      <c r="G125" s="200">
        <f>SUBTOTAL(109,E125:F133)</f>
        <v>762872.3</v>
      </c>
      <c r="H125" s="296"/>
      <c r="I125" s="195"/>
    </row>
    <row r="126" spans="1:9" s="260" customFormat="1" ht="12.75" hidden="1" customHeight="1" x14ac:dyDescent="0.2">
      <c r="A126" s="198"/>
      <c r="B126" s="199"/>
      <c r="C126" s="219"/>
      <c r="D126" s="232" t="s">
        <v>278</v>
      </c>
      <c r="E126" s="200"/>
      <c r="F126" s="343"/>
      <c r="G126" s="200"/>
      <c r="H126" s="259"/>
      <c r="I126" s="333"/>
    </row>
    <row r="127" spans="1:9" ht="12.75" hidden="1" customHeight="1" x14ac:dyDescent="0.2">
      <c r="A127" s="198"/>
      <c r="B127" s="199"/>
      <c r="C127" s="219"/>
      <c r="D127" s="391" t="s">
        <v>487</v>
      </c>
      <c r="E127" s="200"/>
      <c r="F127" s="343"/>
      <c r="G127" s="200"/>
      <c r="H127" s="297"/>
      <c r="I127" s="195"/>
    </row>
    <row r="128" spans="1:9" s="260" customFormat="1" ht="12.75" hidden="1" customHeight="1" x14ac:dyDescent="0.2">
      <c r="A128" s="198"/>
      <c r="B128" s="199"/>
      <c r="C128" s="219"/>
      <c r="D128" s="232" t="s">
        <v>280</v>
      </c>
      <c r="E128" s="200"/>
      <c r="F128" s="343"/>
      <c r="G128" s="200"/>
      <c r="H128" s="296"/>
      <c r="I128" s="195"/>
    </row>
    <row r="129" spans="1:16" s="260" customFormat="1" ht="12.75" hidden="1" customHeight="1" x14ac:dyDescent="0.2">
      <c r="A129" s="198"/>
      <c r="B129" s="199"/>
      <c r="C129" s="219"/>
      <c r="D129" s="232" t="s">
        <v>279</v>
      </c>
      <c r="E129" s="200"/>
      <c r="F129" s="343"/>
      <c r="G129" s="200"/>
      <c r="H129" s="296"/>
      <c r="I129" s="195"/>
    </row>
    <row r="130" spans="1:16" s="260" customFormat="1" ht="12.75" hidden="1" customHeight="1" x14ac:dyDescent="0.2">
      <c r="A130" s="198"/>
      <c r="B130" s="199"/>
      <c r="C130" s="219"/>
      <c r="D130" s="232" t="s">
        <v>288</v>
      </c>
      <c r="E130" s="200"/>
      <c r="F130" s="343"/>
      <c r="G130" s="200"/>
      <c r="H130" s="296"/>
      <c r="I130" s="195"/>
    </row>
    <row r="131" spans="1:16" s="260" customFormat="1" ht="12.75" hidden="1" customHeight="1" x14ac:dyDescent="0.2">
      <c r="A131" s="198"/>
      <c r="B131" s="199"/>
      <c r="C131" s="219"/>
      <c r="D131" s="232" t="s">
        <v>257</v>
      </c>
      <c r="E131" s="200"/>
      <c r="F131" s="343"/>
      <c r="G131" s="200"/>
      <c r="H131" s="296"/>
      <c r="I131" s="195"/>
    </row>
    <row r="132" spans="1:16" s="260" customFormat="1" ht="12.75" hidden="1" customHeight="1" x14ac:dyDescent="0.2">
      <c r="A132" s="198"/>
      <c r="B132" s="199"/>
      <c r="C132" s="219"/>
      <c r="D132" s="232" t="s">
        <v>357</v>
      </c>
      <c r="E132" s="200"/>
      <c r="F132" s="343"/>
      <c r="G132" s="200"/>
      <c r="H132" s="296"/>
      <c r="I132" s="195"/>
    </row>
    <row r="133" spans="1:16" s="260" customFormat="1" ht="12.75" hidden="1" customHeight="1" x14ac:dyDescent="0.2">
      <c r="A133" s="198"/>
      <c r="B133" s="199"/>
      <c r="C133" s="219"/>
      <c r="D133" s="278" t="s">
        <v>345</v>
      </c>
      <c r="E133" s="200"/>
      <c r="F133" s="343"/>
      <c r="G133" s="200"/>
      <c r="H133" s="259"/>
      <c r="I133" s="333"/>
    </row>
    <row r="134" spans="1:16" s="260" customFormat="1" ht="12.75" customHeight="1" x14ac:dyDescent="0.2">
      <c r="A134" s="194">
        <f>A125+1</f>
        <v>14</v>
      </c>
      <c r="B134" s="195" t="s">
        <v>169</v>
      </c>
      <c r="C134" s="218" t="s">
        <v>202</v>
      </c>
      <c r="D134" s="512" t="str">
        <f>$D$12</f>
        <v>FTE August 2025</v>
      </c>
      <c r="E134" s="197">
        <f>'3382'!I$145</f>
        <v>202508.28</v>
      </c>
      <c r="F134" s="344"/>
      <c r="G134" s="197">
        <f>SUBTOTAL(109,E134:F142)</f>
        <v>202508.28</v>
      </c>
      <c r="H134" s="259"/>
      <c r="I134" s="333"/>
    </row>
    <row r="135" spans="1:16" s="260" customFormat="1" ht="12.75" hidden="1" customHeight="1" x14ac:dyDescent="0.2">
      <c r="A135" s="194"/>
      <c r="B135" s="195"/>
      <c r="C135" s="218"/>
      <c r="D135" s="231" t="s">
        <v>537</v>
      </c>
      <c r="E135" s="197"/>
      <c r="F135" s="344"/>
      <c r="G135" s="197"/>
      <c r="H135" s="296"/>
      <c r="I135" s="195"/>
    </row>
    <row r="136" spans="1:16" s="260" customFormat="1" ht="12.75" hidden="1" customHeight="1" x14ac:dyDescent="0.2">
      <c r="A136" s="194"/>
      <c r="B136" s="195"/>
      <c r="C136" s="218"/>
      <c r="D136" s="354" t="s">
        <v>487</v>
      </c>
      <c r="E136" s="197"/>
      <c r="F136" s="344"/>
      <c r="G136" s="197"/>
      <c r="H136" s="296"/>
      <c r="I136" s="195"/>
    </row>
    <row r="137" spans="1:16" s="260" customFormat="1" ht="12.75" hidden="1" customHeight="1" x14ac:dyDescent="0.2">
      <c r="A137" s="194"/>
      <c r="B137" s="195"/>
      <c r="C137" s="218"/>
      <c r="D137" s="231" t="s">
        <v>280</v>
      </c>
      <c r="E137" s="197"/>
      <c r="F137" s="344"/>
      <c r="G137" s="197"/>
      <c r="H137" s="259"/>
      <c r="I137" s="230"/>
    </row>
    <row r="138" spans="1:16" s="260" customFormat="1" ht="12.75" hidden="1" customHeight="1" x14ac:dyDescent="0.2">
      <c r="A138" s="194"/>
      <c r="B138" s="195"/>
      <c r="C138" s="218"/>
      <c r="D138" s="231" t="s">
        <v>279</v>
      </c>
      <c r="E138" s="197"/>
      <c r="F138" s="344"/>
      <c r="G138" s="197"/>
      <c r="H138" s="296"/>
      <c r="I138" s="195"/>
    </row>
    <row r="139" spans="1:16" s="260" customFormat="1" ht="12.75" hidden="1" customHeight="1" x14ac:dyDescent="0.2">
      <c r="A139" s="194"/>
      <c r="B139" s="195"/>
      <c r="C139" s="218"/>
      <c r="D139" s="231" t="s">
        <v>288</v>
      </c>
      <c r="E139" s="197"/>
      <c r="F139" s="344"/>
      <c r="G139" s="197"/>
      <c r="H139" s="296"/>
      <c r="I139" s="195"/>
    </row>
    <row r="140" spans="1:16" s="260" customFormat="1" ht="12.75" hidden="1" customHeight="1" x14ac:dyDescent="0.2">
      <c r="A140" s="194"/>
      <c r="B140" s="195"/>
      <c r="C140" s="218"/>
      <c r="D140" s="231" t="s">
        <v>257</v>
      </c>
      <c r="E140" s="197"/>
      <c r="F140" s="344"/>
      <c r="G140" s="197"/>
      <c r="H140" s="296"/>
      <c r="I140" s="195"/>
    </row>
    <row r="141" spans="1:16" s="260" customFormat="1" ht="12.75" hidden="1" customHeight="1" x14ac:dyDescent="0.2">
      <c r="A141" s="194"/>
      <c r="B141" s="195"/>
      <c r="C141" s="218"/>
      <c r="D141" s="231" t="s">
        <v>344</v>
      </c>
      <c r="E141" s="197"/>
      <c r="F141" s="344"/>
      <c r="G141" s="197"/>
      <c r="H141" s="259"/>
      <c r="I141" s="333"/>
    </row>
    <row r="142" spans="1:16" s="260" customFormat="1" ht="12.75" hidden="1" customHeight="1" x14ac:dyDescent="0.2">
      <c r="A142" s="194"/>
      <c r="B142" s="195"/>
      <c r="C142" s="230"/>
      <c r="D142" s="276" t="s">
        <v>345</v>
      </c>
      <c r="E142" s="197"/>
      <c r="F142" s="344"/>
      <c r="G142" s="197"/>
      <c r="H142" s="259"/>
      <c r="I142" s="335"/>
    </row>
    <row r="143" spans="1:16" ht="12.75" customHeight="1" x14ac:dyDescent="0.2">
      <c r="A143" s="198">
        <f>A134+1</f>
        <v>15</v>
      </c>
      <c r="B143" s="199" t="s">
        <v>170</v>
      </c>
      <c r="C143" s="219" t="s">
        <v>204</v>
      </c>
      <c r="D143" s="277" t="str">
        <f>$D$12</f>
        <v>FTE August 2025</v>
      </c>
      <c r="E143" s="200">
        <v>0</v>
      </c>
      <c r="F143" s="343"/>
      <c r="G143" s="200">
        <f>SUBTOTAL(109,E143:F151)</f>
        <v>0</v>
      </c>
      <c r="H143" s="297"/>
      <c r="I143" s="195"/>
    </row>
    <row r="144" spans="1:16" s="260" customFormat="1" ht="12.75" hidden="1" customHeight="1" x14ac:dyDescent="0.2">
      <c r="A144" s="198"/>
      <c r="B144" s="199"/>
      <c r="C144" s="219"/>
      <c r="D144" s="232" t="s">
        <v>278</v>
      </c>
      <c r="E144" s="200"/>
      <c r="F144" s="343">
        <v>0</v>
      </c>
      <c r="G144" s="200"/>
      <c r="H144" s="296"/>
      <c r="I144" s="195"/>
      <c r="P144" s="334"/>
    </row>
    <row r="145" spans="1:9" s="260" customFormat="1" ht="12.75" hidden="1" customHeight="1" x14ac:dyDescent="0.2">
      <c r="A145" s="198"/>
      <c r="B145" s="199"/>
      <c r="C145" s="219"/>
      <c r="D145" s="232" t="s">
        <v>487</v>
      </c>
      <c r="E145" s="200"/>
      <c r="F145" s="343"/>
      <c r="G145" s="200"/>
      <c r="H145" s="296"/>
      <c r="I145" s="195"/>
    </row>
    <row r="146" spans="1:9" s="260" customFormat="1" ht="12.75" hidden="1" customHeight="1" x14ac:dyDescent="0.2">
      <c r="A146" s="198"/>
      <c r="B146" s="199"/>
      <c r="C146" s="219"/>
      <c r="D146" s="391" t="s">
        <v>361</v>
      </c>
      <c r="E146" s="200"/>
      <c r="F146" s="343"/>
      <c r="G146" s="200"/>
      <c r="H146" s="259"/>
      <c r="I146" s="230"/>
    </row>
    <row r="147" spans="1:9" s="260" customFormat="1" ht="12.75" hidden="1" customHeight="1" x14ac:dyDescent="0.2">
      <c r="A147" s="198"/>
      <c r="B147" s="199"/>
      <c r="C147" s="219"/>
      <c r="D147" s="232" t="s">
        <v>280</v>
      </c>
      <c r="E147" s="200"/>
      <c r="F147" s="343"/>
      <c r="G147" s="200"/>
      <c r="H147" s="296"/>
      <c r="I147" s="195"/>
    </row>
    <row r="148" spans="1:9" s="260" customFormat="1" ht="12.75" hidden="1" customHeight="1" x14ac:dyDescent="0.2">
      <c r="A148" s="198"/>
      <c r="B148" s="199"/>
      <c r="C148" s="219"/>
      <c r="D148" s="232" t="s">
        <v>279</v>
      </c>
      <c r="E148" s="200"/>
      <c r="F148" s="343"/>
      <c r="G148" s="200"/>
      <c r="H148" s="296"/>
      <c r="I148" s="195"/>
    </row>
    <row r="149" spans="1:9" s="260" customFormat="1" ht="12.75" hidden="1" customHeight="1" x14ac:dyDescent="0.2">
      <c r="A149" s="198"/>
      <c r="B149" s="199"/>
      <c r="C149" s="219"/>
      <c r="D149" s="232" t="s">
        <v>288</v>
      </c>
      <c r="E149" s="200"/>
      <c r="F149" s="343"/>
      <c r="G149" s="200"/>
      <c r="H149" s="296"/>
      <c r="I149" s="195"/>
    </row>
    <row r="150" spans="1:9" s="260" customFormat="1" ht="12.75" hidden="1" customHeight="1" x14ac:dyDescent="0.2">
      <c r="A150" s="198"/>
      <c r="B150" s="199"/>
      <c r="C150" s="219"/>
      <c r="D150" s="232" t="s">
        <v>257</v>
      </c>
      <c r="E150" s="200"/>
      <c r="F150" s="343"/>
      <c r="G150" s="200"/>
      <c r="H150" s="259"/>
      <c r="I150" s="333"/>
    </row>
    <row r="151" spans="1:9" s="260" customFormat="1" ht="12.75" hidden="1" customHeight="1" x14ac:dyDescent="0.2">
      <c r="A151" s="198"/>
      <c r="B151" s="199"/>
      <c r="C151" s="219"/>
      <c r="D151" s="278"/>
      <c r="E151" s="200"/>
      <c r="F151" s="343"/>
      <c r="G151" s="200"/>
      <c r="H151" s="296"/>
      <c r="I151" s="333"/>
    </row>
    <row r="152" spans="1:9" ht="12.75" customHeight="1" x14ac:dyDescent="0.2">
      <c r="A152" s="194">
        <f>A143+1</f>
        <v>16</v>
      </c>
      <c r="B152" s="195" t="s">
        <v>171</v>
      </c>
      <c r="C152" s="218" t="s">
        <v>205</v>
      </c>
      <c r="D152" s="512" t="str">
        <f>$D$12</f>
        <v>FTE August 2025</v>
      </c>
      <c r="E152" s="197">
        <f>'3394'!I$145</f>
        <v>137857.37</v>
      </c>
      <c r="F152" s="344" t="s">
        <v>328</v>
      </c>
      <c r="G152" s="197">
        <f>SUBTOTAL(109,E152:F161)</f>
        <v>137857.37</v>
      </c>
      <c r="H152" s="297"/>
      <c r="I152" s="195"/>
    </row>
    <row r="153" spans="1:9" s="260" customFormat="1" ht="12.75" hidden="1" customHeight="1" x14ac:dyDescent="0.2">
      <c r="A153" s="194"/>
      <c r="B153" s="195"/>
      <c r="C153" s="218"/>
      <c r="D153" s="231" t="s">
        <v>537</v>
      </c>
      <c r="E153" s="197"/>
      <c r="F153" s="344"/>
      <c r="G153" s="197"/>
      <c r="H153" s="296"/>
      <c r="I153" s="284"/>
    </row>
    <row r="154" spans="1:9" s="260" customFormat="1" ht="12.75" hidden="1" customHeight="1" x14ac:dyDescent="0.2">
      <c r="A154" s="194"/>
      <c r="B154" s="195"/>
      <c r="C154" s="218"/>
      <c r="D154" s="354" t="s">
        <v>487</v>
      </c>
      <c r="E154" s="197"/>
      <c r="F154" s="344"/>
      <c r="G154" s="197"/>
      <c r="H154" s="296"/>
      <c r="I154" s="284"/>
    </row>
    <row r="155" spans="1:9" s="260" customFormat="1" ht="12.75" hidden="1" customHeight="1" x14ac:dyDescent="0.2">
      <c r="A155" s="194"/>
      <c r="B155" s="195"/>
      <c r="C155" s="218"/>
      <c r="D155" s="231" t="s">
        <v>280</v>
      </c>
      <c r="E155" s="197"/>
      <c r="F155" s="344"/>
      <c r="G155" s="197"/>
      <c r="H155" s="259"/>
      <c r="I155" s="230"/>
    </row>
    <row r="156" spans="1:9" s="260" customFormat="1" ht="12.75" hidden="1" customHeight="1" x14ac:dyDescent="0.2">
      <c r="A156" s="194"/>
      <c r="B156" s="195"/>
      <c r="C156" s="218"/>
      <c r="D156" s="231" t="s">
        <v>279</v>
      </c>
      <c r="E156" s="197"/>
      <c r="F156" s="344"/>
      <c r="G156" s="197"/>
      <c r="H156" s="259"/>
      <c r="I156" s="230"/>
    </row>
    <row r="157" spans="1:9" s="260" customFormat="1" ht="12.75" hidden="1" customHeight="1" x14ac:dyDescent="0.2">
      <c r="A157" s="194"/>
      <c r="B157" s="195"/>
      <c r="C157" s="218"/>
      <c r="D157" s="231" t="s">
        <v>288</v>
      </c>
      <c r="E157" s="197"/>
      <c r="F157" s="344"/>
      <c r="G157" s="197"/>
      <c r="H157" s="296"/>
      <c r="I157" s="284"/>
    </row>
    <row r="158" spans="1:9" s="260" customFormat="1" ht="12.75" hidden="1" customHeight="1" x14ac:dyDescent="0.2">
      <c r="A158" s="194"/>
      <c r="B158" s="195"/>
      <c r="C158" s="218"/>
      <c r="D158" s="231" t="s">
        <v>257</v>
      </c>
      <c r="E158" s="197"/>
      <c r="F158" s="344"/>
      <c r="G158" s="197"/>
      <c r="H158" s="296"/>
      <c r="I158" s="284"/>
    </row>
    <row r="159" spans="1:9" s="260" customFormat="1" ht="12.75" hidden="1" customHeight="1" x14ac:dyDescent="0.2">
      <c r="A159" s="194"/>
      <c r="B159" s="195"/>
      <c r="C159" s="218"/>
      <c r="D159" s="231" t="s">
        <v>357</v>
      </c>
      <c r="E159" s="197"/>
      <c r="F159" s="344"/>
      <c r="G159" s="197"/>
      <c r="H159" s="296"/>
      <c r="I159" s="284"/>
    </row>
    <row r="160" spans="1:9" s="260" customFormat="1" ht="12.75" hidden="1" customHeight="1" x14ac:dyDescent="0.2">
      <c r="A160" s="194"/>
      <c r="B160" s="195"/>
      <c r="C160" s="218"/>
      <c r="D160" s="276" t="s">
        <v>542</v>
      </c>
      <c r="E160" s="197"/>
      <c r="F160" s="344"/>
      <c r="G160" s="197"/>
      <c r="H160" s="259"/>
      <c r="I160" s="333"/>
    </row>
    <row r="161" spans="1:9" s="260" customFormat="1" ht="12.75" hidden="1" customHeight="1" x14ac:dyDescent="0.2">
      <c r="A161" s="194"/>
      <c r="B161" s="195"/>
      <c r="C161" s="218"/>
      <c r="D161" s="276" t="s">
        <v>539</v>
      </c>
      <c r="E161" s="197"/>
      <c r="F161" s="344"/>
      <c r="G161" s="197"/>
      <c r="H161" s="259"/>
      <c r="I161" s="333"/>
    </row>
    <row r="162" spans="1:9" s="260" customFormat="1" ht="12.75" customHeight="1" x14ac:dyDescent="0.2">
      <c r="A162" s="198">
        <f>A152+1</f>
        <v>17</v>
      </c>
      <c r="B162" s="199" t="s">
        <v>172</v>
      </c>
      <c r="C162" s="262" t="s">
        <v>286</v>
      </c>
      <c r="D162" s="277" t="str">
        <f>$D$12</f>
        <v>FTE August 2025</v>
      </c>
      <c r="E162" s="200">
        <f>'3395'!I$145</f>
        <v>368541.43</v>
      </c>
      <c r="F162" s="343"/>
      <c r="G162" s="200">
        <f>SUBTOTAL(109,E162:F170)</f>
        <v>368541.43</v>
      </c>
      <c r="H162" s="296"/>
      <c r="I162" s="284"/>
    </row>
    <row r="163" spans="1:9" s="260" customFormat="1" ht="12.75" hidden="1" customHeight="1" x14ac:dyDescent="0.2">
      <c r="A163" s="198"/>
      <c r="B163" s="199"/>
      <c r="C163" s="219"/>
      <c r="D163" s="232" t="s">
        <v>278</v>
      </c>
      <c r="E163" s="200"/>
      <c r="F163" s="343"/>
      <c r="G163" s="200"/>
      <c r="H163" s="296"/>
      <c r="I163" s="284"/>
    </row>
    <row r="164" spans="1:9" s="260" customFormat="1" ht="12.75" hidden="1" customHeight="1" x14ac:dyDescent="0.2">
      <c r="A164" s="198"/>
      <c r="B164" s="199"/>
      <c r="C164" s="219"/>
      <c r="D164" s="391" t="s">
        <v>487</v>
      </c>
      <c r="E164" s="200"/>
      <c r="F164" s="343"/>
      <c r="G164" s="200"/>
      <c r="H164" s="259"/>
      <c r="I164" s="230"/>
    </row>
    <row r="165" spans="1:9" s="260" customFormat="1" ht="12.75" hidden="1" customHeight="1" x14ac:dyDescent="0.2">
      <c r="A165" s="198"/>
      <c r="B165" s="199"/>
      <c r="C165" s="219"/>
      <c r="D165" s="232" t="s">
        <v>280</v>
      </c>
      <c r="E165" s="200"/>
      <c r="F165" s="343"/>
      <c r="G165" s="200"/>
      <c r="H165" s="296"/>
      <c r="I165" s="284"/>
    </row>
    <row r="166" spans="1:9" s="260" customFormat="1" ht="12.75" hidden="1" customHeight="1" x14ac:dyDescent="0.2">
      <c r="A166" s="198"/>
      <c r="B166" s="199"/>
      <c r="C166" s="219"/>
      <c r="D166" s="232" t="s">
        <v>279</v>
      </c>
      <c r="E166" s="200"/>
      <c r="F166" s="343"/>
      <c r="G166" s="200"/>
      <c r="H166" s="296"/>
      <c r="I166" s="284"/>
    </row>
    <row r="167" spans="1:9" s="260" customFormat="1" ht="12.75" hidden="1" customHeight="1" x14ac:dyDescent="0.2">
      <c r="A167" s="198"/>
      <c r="B167" s="199"/>
      <c r="C167" s="219"/>
      <c r="D167" s="232" t="s">
        <v>288</v>
      </c>
      <c r="E167" s="200"/>
      <c r="F167" s="343"/>
      <c r="G167" s="200"/>
      <c r="H167" s="296"/>
      <c r="I167" s="284"/>
    </row>
    <row r="168" spans="1:9" s="260" customFormat="1" ht="12.75" hidden="1" customHeight="1" x14ac:dyDescent="0.2">
      <c r="A168" s="198"/>
      <c r="B168" s="199"/>
      <c r="C168" s="219"/>
      <c r="D168" s="232" t="s">
        <v>257</v>
      </c>
      <c r="E168" s="200"/>
      <c r="F168" s="343"/>
      <c r="G168" s="200"/>
      <c r="H168" s="259"/>
      <c r="I168" s="333"/>
    </row>
    <row r="169" spans="1:9" s="260" customFormat="1" ht="12.75" hidden="1" customHeight="1" x14ac:dyDescent="0.2">
      <c r="A169" s="198"/>
      <c r="B169" s="199"/>
      <c r="C169" s="219"/>
      <c r="D169" s="315"/>
      <c r="E169" s="200"/>
      <c r="F169" s="343"/>
      <c r="G169" s="200"/>
      <c r="H169" s="296"/>
      <c r="I169" s="335"/>
    </row>
    <row r="170" spans="1:9" s="260" customFormat="1" ht="12.75" hidden="1" customHeight="1" x14ac:dyDescent="0.2">
      <c r="A170" s="347"/>
      <c r="B170" s="199"/>
      <c r="C170" s="219"/>
      <c r="D170" s="315"/>
      <c r="E170" s="554"/>
      <c r="F170" s="343"/>
      <c r="G170" s="200"/>
      <c r="H170" s="296"/>
      <c r="I170" s="335"/>
    </row>
    <row r="171" spans="1:9" s="260" customFormat="1" ht="12.75" customHeight="1" x14ac:dyDescent="0.2">
      <c r="A171" s="194">
        <f>A162+1</f>
        <v>18</v>
      </c>
      <c r="B171" s="195" t="s">
        <v>173</v>
      </c>
      <c r="C171" s="261" t="s">
        <v>227</v>
      </c>
      <c r="D171" s="512" t="str">
        <f>$D$12</f>
        <v>FTE August 2025</v>
      </c>
      <c r="E171" s="197">
        <f>'3396'!I$145</f>
        <v>489623.72</v>
      </c>
      <c r="F171" s="344"/>
      <c r="G171" s="197">
        <f>SUBTOTAL(109,E171:F178)</f>
        <v>489623.72</v>
      </c>
      <c r="H171" s="296"/>
      <c r="I171" s="284"/>
    </row>
    <row r="172" spans="1:9" s="260" customFormat="1" ht="12.75" hidden="1" customHeight="1" x14ac:dyDescent="0.2">
      <c r="A172" s="194"/>
      <c r="B172" s="195"/>
      <c r="C172" s="261"/>
      <c r="D172" s="231" t="s">
        <v>537</v>
      </c>
      <c r="E172" s="197"/>
      <c r="F172" s="344"/>
      <c r="G172" s="197"/>
      <c r="H172" s="296"/>
      <c r="I172" s="284"/>
    </row>
    <row r="173" spans="1:9" s="260" customFormat="1" ht="12.75" hidden="1" customHeight="1" x14ac:dyDescent="0.2">
      <c r="A173" s="194"/>
      <c r="B173" s="195"/>
      <c r="C173" s="261"/>
      <c r="D173" s="231" t="s">
        <v>487</v>
      </c>
      <c r="E173" s="197"/>
      <c r="F173" s="344"/>
      <c r="G173" s="197"/>
      <c r="H173" s="296"/>
      <c r="I173" s="284"/>
    </row>
    <row r="174" spans="1:9" s="260" customFormat="1" ht="12.75" hidden="1" customHeight="1" x14ac:dyDescent="0.2">
      <c r="A174" s="194"/>
      <c r="B174" s="195"/>
      <c r="C174" s="261"/>
      <c r="D174" s="231" t="s">
        <v>279</v>
      </c>
      <c r="E174" s="197"/>
      <c r="F174" s="344"/>
      <c r="G174" s="197"/>
      <c r="H174" s="259"/>
      <c r="I174" s="230"/>
    </row>
    <row r="175" spans="1:9" s="260" customFormat="1" ht="12.75" hidden="1" customHeight="1" x14ac:dyDescent="0.2">
      <c r="A175" s="194"/>
      <c r="B175" s="195"/>
      <c r="C175" s="261"/>
      <c r="D175" s="231" t="s">
        <v>288</v>
      </c>
      <c r="E175" s="197"/>
      <c r="F175" s="344"/>
      <c r="G175" s="197"/>
      <c r="H175" s="296"/>
      <c r="I175" s="284"/>
    </row>
    <row r="176" spans="1:9" s="260" customFormat="1" ht="12.75" hidden="1" customHeight="1" x14ac:dyDescent="0.2">
      <c r="A176" s="194"/>
      <c r="B176" s="195"/>
      <c r="C176" s="218"/>
      <c r="D176" s="231" t="s">
        <v>257</v>
      </c>
      <c r="E176" s="197"/>
      <c r="F176" s="344"/>
      <c r="G176" s="197"/>
      <c r="H176" s="296"/>
      <c r="I176" s="284"/>
    </row>
    <row r="177" spans="1:11" s="260" customFormat="1" ht="12.75" hidden="1" customHeight="1" x14ac:dyDescent="0.2">
      <c r="A177" s="194"/>
      <c r="B177" s="195"/>
      <c r="C177" s="218"/>
      <c r="D177" s="231" t="s">
        <v>357</v>
      </c>
      <c r="E177" s="197"/>
      <c r="F177" s="344"/>
      <c r="G177" s="197"/>
      <c r="H177" s="296"/>
      <c r="I177" s="284"/>
    </row>
    <row r="178" spans="1:11" s="260" customFormat="1" ht="12.75" hidden="1" customHeight="1" x14ac:dyDescent="0.2">
      <c r="A178" s="194"/>
      <c r="B178" s="195"/>
      <c r="C178" s="218"/>
      <c r="D178" s="276" t="s">
        <v>345</v>
      </c>
      <c r="E178" s="197"/>
      <c r="F178" s="344"/>
      <c r="G178" s="197"/>
      <c r="H178" s="259"/>
      <c r="I178" s="333"/>
    </row>
    <row r="179" spans="1:11" s="260" customFormat="1" ht="12.75" customHeight="1" x14ac:dyDescent="0.2">
      <c r="A179" s="198">
        <f>A171+1</f>
        <v>19</v>
      </c>
      <c r="B179" s="199" t="s">
        <v>174</v>
      </c>
      <c r="C179" s="219" t="s">
        <v>195</v>
      </c>
      <c r="D179" s="277" t="str">
        <f>$D$12</f>
        <v>FTE August 2025</v>
      </c>
      <c r="E179" s="200">
        <f>'3398'!I$145</f>
        <v>76763.56</v>
      </c>
      <c r="F179" s="343"/>
      <c r="G179" s="200">
        <f>SUBTOTAL(109,E179:F185)</f>
        <v>76763.56</v>
      </c>
      <c r="H179" s="296"/>
      <c r="I179" s="335"/>
    </row>
    <row r="180" spans="1:11" ht="12.75" hidden="1" customHeight="1" x14ac:dyDescent="0.2">
      <c r="A180" s="198"/>
      <c r="B180" s="199"/>
      <c r="C180" s="219"/>
      <c r="D180" s="232" t="s">
        <v>278</v>
      </c>
      <c r="E180" s="200"/>
      <c r="F180" s="343"/>
      <c r="G180" s="200"/>
      <c r="H180" s="297"/>
      <c r="I180" s="348"/>
    </row>
    <row r="181" spans="1:11" s="260" customFormat="1" ht="12.75" hidden="1" customHeight="1" x14ac:dyDescent="0.2">
      <c r="A181" s="198"/>
      <c r="B181" s="199"/>
      <c r="C181" s="219"/>
      <c r="D181" s="232" t="s">
        <v>487</v>
      </c>
      <c r="E181" s="200"/>
      <c r="F181" s="343"/>
      <c r="G181" s="200"/>
      <c r="H181" s="296"/>
      <c r="I181" s="284"/>
      <c r="K181" s="334"/>
    </row>
    <row r="182" spans="1:11" s="260" customFormat="1" ht="12.75" hidden="1" customHeight="1" x14ac:dyDescent="0.2">
      <c r="A182" s="198"/>
      <c r="B182" s="199"/>
      <c r="C182" s="219"/>
      <c r="D182" s="232" t="s">
        <v>279</v>
      </c>
      <c r="E182" s="200"/>
      <c r="F182" s="343"/>
      <c r="G182" s="200"/>
      <c r="H182" s="296"/>
      <c r="I182" s="284"/>
    </row>
    <row r="183" spans="1:11" s="260" customFormat="1" ht="12.75" hidden="1" customHeight="1" x14ac:dyDescent="0.2">
      <c r="A183" s="198"/>
      <c r="B183" s="199"/>
      <c r="C183" s="228"/>
      <c r="D183" s="232" t="s">
        <v>288</v>
      </c>
      <c r="E183" s="200"/>
      <c r="F183" s="343"/>
      <c r="G183" s="200"/>
      <c r="H183" s="296"/>
    </row>
    <row r="184" spans="1:11" s="260" customFormat="1" ht="12.75" hidden="1" customHeight="1" x14ac:dyDescent="0.2">
      <c r="A184" s="198"/>
      <c r="B184" s="199"/>
      <c r="C184" s="219"/>
      <c r="D184" s="232" t="s">
        <v>257</v>
      </c>
      <c r="E184" s="200"/>
      <c r="F184" s="343"/>
      <c r="G184" s="200"/>
      <c r="H184" s="296"/>
    </row>
    <row r="185" spans="1:11" s="260" customFormat="1" ht="12.75" hidden="1" customHeight="1" x14ac:dyDescent="0.2">
      <c r="A185" s="198"/>
      <c r="B185" s="199"/>
      <c r="C185" s="228"/>
      <c r="D185" s="278" t="s">
        <v>345</v>
      </c>
      <c r="E185" s="200"/>
      <c r="F185" s="343"/>
      <c r="G185" s="200"/>
      <c r="H185" s="296"/>
    </row>
    <row r="186" spans="1:11" s="260" customFormat="1" ht="12.75" customHeight="1" x14ac:dyDescent="0.2">
      <c r="A186" s="194">
        <f>A179+1</f>
        <v>20</v>
      </c>
      <c r="B186" s="195" t="s">
        <v>175</v>
      </c>
      <c r="C186" s="218" t="s">
        <v>189</v>
      </c>
      <c r="D186" s="512" t="str">
        <f>$D$12</f>
        <v>FTE August 2025</v>
      </c>
      <c r="E186" s="197">
        <f>'3400'!I$145</f>
        <v>94458.1</v>
      </c>
      <c r="F186" s="344"/>
      <c r="G186" s="197">
        <f>SUBTOTAL(109,E186:F193)</f>
        <v>93246.810000000012</v>
      </c>
      <c r="H186" s="259"/>
      <c r="I186" s="333"/>
    </row>
    <row r="187" spans="1:11" s="260" customFormat="1" ht="12.75" hidden="1" customHeight="1" x14ac:dyDescent="0.2">
      <c r="A187" s="194"/>
      <c r="B187" s="195"/>
      <c r="C187" s="218"/>
      <c r="D187" s="231" t="s">
        <v>537</v>
      </c>
      <c r="E187" s="197"/>
      <c r="F187" s="344"/>
      <c r="G187" s="197"/>
      <c r="H187" s="296"/>
      <c r="I187" s="335"/>
    </row>
    <row r="188" spans="1:11" s="260" customFormat="1" ht="12.75" customHeight="1" x14ac:dyDescent="0.2">
      <c r="A188" s="194"/>
      <c r="B188" s="195"/>
      <c r="C188" s="218"/>
      <c r="D188" s="354" t="s">
        <v>548</v>
      </c>
      <c r="E188" s="197"/>
      <c r="F188" s="344">
        <v>-1211.29</v>
      </c>
      <c r="G188" s="197"/>
      <c r="H188" s="296"/>
      <c r="I188" s="284"/>
    </row>
    <row r="189" spans="1:11" s="260" customFormat="1" ht="12.75" hidden="1" customHeight="1" x14ac:dyDescent="0.2">
      <c r="A189" s="194"/>
      <c r="B189" s="195"/>
      <c r="C189" s="218"/>
      <c r="D189" s="231" t="s">
        <v>280</v>
      </c>
      <c r="E189" s="197"/>
      <c r="F189" s="344"/>
      <c r="G189" s="197"/>
      <c r="H189" s="296"/>
      <c r="I189" s="284"/>
    </row>
    <row r="190" spans="1:11" s="260" customFormat="1" ht="12.75" hidden="1" customHeight="1" x14ac:dyDescent="0.2">
      <c r="A190" s="194"/>
      <c r="B190" s="195"/>
      <c r="C190" s="218"/>
      <c r="D190" s="231" t="s">
        <v>279</v>
      </c>
      <c r="E190" s="197"/>
      <c r="F190" s="344"/>
      <c r="G190" s="197"/>
      <c r="H190" s="296"/>
      <c r="I190" s="284"/>
    </row>
    <row r="191" spans="1:11" s="260" customFormat="1" ht="12.75" hidden="1" customHeight="1" x14ac:dyDescent="0.2">
      <c r="A191" s="194"/>
      <c r="B191" s="195"/>
      <c r="C191" s="218"/>
      <c r="D191" s="231" t="s">
        <v>288</v>
      </c>
      <c r="E191" s="197"/>
      <c r="F191" s="344"/>
      <c r="G191" s="197"/>
      <c r="H191" s="296"/>
    </row>
    <row r="192" spans="1:11" s="260" customFormat="1" ht="12.75" hidden="1" customHeight="1" x14ac:dyDescent="0.2">
      <c r="A192" s="194"/>
      <c r="B192" s="195"/>
      <c r="C192" s="218"/>
      <c r="D192" s="231" t="s">
        <v>257</v>
      </c>
      <c r="E192" s="197"/>
      <c r="F192" s="344"/>
      <c r="G192" s="197"/>
      <c r="H192" s="296"/>
      <c r="I192" s="188"/>
    </row>
    <row r="193" spans="1:9" ht="12.75" hidden="1" customHeight="1" x14ac:dyDescent="0.2">
      <c r="A193" s="194"/>
      <c r="B193" s="195"/>
      <c r="C193" s="218"/>
      <c r="D193" s="276" t="s">
        <v>345</v>
      </c>
      <c r="E193" s="197"/>
      <c r="F193" s="344"/>
      <c r="G193" s="197"/>
      <c r="H193" s="297"/>
    </row>
    <row r="194" spans="1:9" s="260" customFormat="1" ht="12.75" customHeight="1" x14ac:dyDescent="0.2">
      <c r="A194" s="198">
        <f>A186+1</f>
        <v>21</v>
      </c>
      <c r="B194" s="199" t="s">
        <v>176</v>
      </c>
      <c r="C194" s="219" t="s">
        <v>206</v>
      </c>
      <c r="D194" s="277" t="str">
        <f>$D$12</f>
        <v>FTE August 2025</v>
      </c>
      <c r="E194" s="200">
        <f>'3401'!I$145</f>
        <v>296284.59999999998</v>
      </c>
      <c r="F194" s="343"/>
      <c r="G194" s="200">
        <f>SUBTOTAL(109,E194:F204)</f>
        <v>296284.59999999998</v>
      </c>
      <c r="H194" s="259"/>
      <c r="I194" s="333"/>
    </row>
    <row r="195" spans="1:9" ht="12.75" hidden="1" customHeight="1" x14ac:dyDescent="0.2">
      <c r="A195" s="198"/>
      <c r="B195" s="199"/>
      <c r="C195" s="219"/>
      <c r="D195" s="232" t="s">
        <v>278</v>
      </c>
      <c r="E195" s="200"/>
      <c r="F195" s="343"/>
      <c r="G195" s="200"/>
      <c r="H195" s="297"/>
      <c r="I195" s="284"/>
    </row>
    <row r="196" spans="1:9" s="260" customFormat="1" ht="12.75" hidden="1" customHeight="1" x14ac:dyDescent="0.2">
      <c r="A196" s="198"/>
      <c r="B196" s="199"/>
      <c r="C196" s="219"/>
      <c r="D196" s="391" t="s">
        <v>487</v>
      </c>
      <c r="E196" s="200"/>
      <c r="F196" s="343"/>
      <c r="G196" s="200"/>
      <c r="H196" s="296"/>
      <c r="I196" s="284"/>
    </row>
    <row r="197" spans="1:9" s="260" customFormat="1" ht="12.75" hidden="1" customHeight="1" x14ac:dyDescent="0.2">
      <c r="A197" s="198"/>
      <c r="B197" s="199"/>
      <c r="C197" s="219"/>
      <c r="D197" s="232" t="s">
        <v>363</v>
      </c>
      <c r="E197" s="200"/>
      <c r="F197" s="343"/>
      <c r="G197" s="200"/>
      <c r="H197" s="296"/>
      <c r="I197" s="284"/>
    </row>
    <row r="198" spans="1:9" s="260" customFormat="1" ht="12.75" hidden="1" customHeight="1" x14ac:dyDescent="0.2">
      <c r="A198" s="198"/>
      <c r="B198" s="199"/>
      <c r="C198" s="219"/>
      <c r="D198" s="232" t="s">
        <v>364</v>
      </c>
      <c r="E198" s="200"/>
      <c r="F198" s="343"/>
      <c r="G198" s="200"/>
      <c r="H198" s="259"/>
      <c r="I198" s="230"/>
    </row>
    <row r="199" spans="1:9" s="260" customFormat="1" ht="12.75" hidden="1" customHeight="1" x14ac:dyDescent="0.2">
      <c r="A199" s="198"/>
      <c r="B199" s="199"/>
      <c r="C199" s="219"/>
      <c r="D199" s="232" t="s">
        <v>280</v>
      </c>
      <c r="E199" s="200"/>
      <c r="F199" s="343"/>
      <c r="G199" s="200"/>
      <c r="H199" s="296"/>
    </row>
    <row r="200" spans="1:9" s="260" customFormat="1" ht="12.75" hidden="1" customHeight="1" x14ac:dyDescent="0.2">
      <c r="A200" s="198"/>
      <c r="B200" s="199"/>
      <c r="C200" s="219"/>
      <c r="D200" s="232" t="s">
        <v>279</v>
      </c>
      <c r="E200" s="200"/>
      <c r="F200" s="343"/>
      <c r="G200" s="200"/>
      <c r="H200" s="296"/>
    </row>
    <row r="201" spans="1:9" s="260" customFormat="1" ht="12.75" hidden="1" customHeight="1" x14ac:dyDescent="0.2">
      <c r="A201" s="198"/>
      <c r="B201" s="199"/>
      <c r="C201" s="219"/>
      <c r="D201" s="232" t="s">
        <v>288</v>
      </c>
      <c r="E201" s="200"/>
      <c r="F201" s="343"/>
      <c r="G201" s="200"/>
      <c r="H201" s="296"/>
      <c r="I201" s="195"/>
    </row>
    <row r="202" spans="1:9" s="260" customFormat="1" ht="12.75" hidden="1" customHeight="1" x14ac:dyDescent="0.2">
      <c r="A202" s="198"/>
      <c r="B202" s="199"/>
      <c r="C202" s="219"/>
      <c r="D202" s="232" t="s">
        <v>257</v>
      </c>
      <c r="E202" s="200"/>
      <c r="F202" s="343"/>
      <c r="G202" s="200"/>
      <c r="H202" s="259"/>
      <c r="I202" s="333"/>
    </row>
    <row r="203" spans="1:9" s="260" customFormat="1" ht="12.75" hidden="1" customHeight="1" x14ac:dyDescent="0.2">
      <c r="A203" s="198"/>
      <c r="B203" s="199"/>
      <c r="C203" s="228"/>
      <c r="D203" s="315" t="s">
        <v>358</v>
      </c>
      <c r="E203" s="200"/>
      <c r="F203" s="343"/>
      <c r="G203" s="200"/>
      <c r="H203" s="259"/>
      <c r="I203" s="333"/>
    </row>
    <row r="204" spans="1:9" s="260" customFormat="1" ht="12.75" hidden="1" customHeight="1" x14ac:dyDescent="0.2">
      <c r="A204" s="198"/>
      <c r="B204" s="199"/>
      <c r="C204" s="219"/>
      <c r="D204" s="278" t="s">
        <v>345</v>
      </c>
      <c r="E204" s="200"/>
      <c r="F204" s="343"/>
      <c r="G204" s="200"/>
      <c r="H204" s="296"/>
      <c r="I204" s="195"/>
    </row>
    <row r="205" spans="1:9" s="260" customFormat="1" ht="12.75" customHeight="1" x14ac:dyDescent="0.2">
      <c r="A205" s="194">
        <f>A194+1</f>
        <v>22</v>
      </c>
      <c r="B205" s="195" t="s">
        <v>177</v>
      </c>
      <c r="C205" s="218" t="s">
        <v>207</v>
      </c>
      <c r="D205" s="512" t="str">
        <f>$D$12</f>
        <v>FTE August 2025</v>
      </c>
      <c r="E205" s="197">
        <f>'3413'!I$145</f>
        <v>286550.08</v>
      </c>
      <c r="F205" s="344"/>
      <c r="G205" s="197">
        <f>SUBTOTAL(109,E205:F212)</f>
        <v>286550.08</v>
      </c>
      <c r="H205" s="296"/>
      <c r="I205" s="195"/>
    </row>
    <row r="206" spans="1:9" s="260" customFormat="1" ht="12.75" hidden="1" customHeight="1" x14ac:dyDescent="0.2">
      <c r="A206" s="194"/>
      <c r="B206" s="195"/>
      <c r="C206" s="218"/>
      <c r="D206" s="231" t="s">
        <v>537</v>
      </c>
      <c r="E206" s="197"/>
      <c r="F206" s="344"/>
      <c r="G206" s="197"/>
      <c r="H206" s="296"/>
      <c r="I206" s="195"/>
    </row>
    <row r="207" spans="1:9" s="260" customFormat="1" ht="12.75" hidden="1" customHeight="1" x14ac:dyDescent="0.2">
      <c r="A207" s="194"/>
      <c r="B207" s="195"/>
      <c r="C207" s="218"/>
      <c r="D207" s="354" t="s">
        <v>487</v>
      </c>
      <c r="E207" s="197"/>
      <c r="F207" s="344"/>
      <c r="G207" s="197"/>
      <c r="H207" s="296"/>
      <c r="I207" s="195"/>
    </row>
    <row r="208" spans="1:9" s="260" customFormat="1" ht="12.75" hidden="1" customHeight="1" x14ac:dyDescent="0.2">
      <c r="A208" s="194"/>
      <c r="B208" s="195"/>
      <c r="C208" s="218"/>
      <c r="D208" s="231" t="s">
        <v>280</v>
      </c>
      <c r="E208" s="197"/>
      <c r="F208" s="344"/>
      <c r="G208" s="197"/>
      <c r="H208" s="296"/>
      <c r="I208" s="195"/>
    </row>
    <row r="209" spans="1:9" s="260" customFormat="1" ht="12.75" hidden="1" customHeight="1" x14ac:dyDescent="0.2">
      <c r="A209" s="194"/>
      <c r="B209" s="195"/>
      <c r="C209" s="218"/>
      <c r="D209" s="231" t="s">
        <v>279</v>
      </c>
      <c r="E209" s="197"/>
      <c r="F209" s="344"/>
      <c r="G209" s="197"/>
      <c r="H209" s="296"/>
      <c r="I209" s="195"/>
    </row>
    <row r="210" spans="1:9" s="260" customFormat="1" ht="12.75" hidden="1" customHeight="1" x14ac:dyDescent="0.2">
      <c r="A210" s="194"/>
      <c r="B210" s="195"/>
      <c r="C210" s="218"/>
      <c r="D210" s="231" t="s">
        <v>288</v>
      </c>
      <c r="E210" s="197"/>
      <c r="F210" s="344"/>
      <c r="G210" s="197"/>
      <c r="H210" s="296"/>
      <c r="I210" s="195"/>
    </row>
    <row r="211" spans="1:9" s="260" customFormat="1" ht="12.75" hidden="1" customHeight="1" x14ac:dyDescent="0.2">
      <c r="A211" s="194"/>
      <c r="B211" s="195"/>
      <c r="C211" s="218"/>
      <c r="D211" s="231" t="s">
        <v>257</v>
      </c>
      <c r="E211" s="197"/>
      <c r="F211" s="344"/>
      <c r="G211" s="197"/>
      <c r="H211" s="296"/>
      <c r="I211" s="195"/>
    </row>
    <row r="212" spans="1:9" s="260" customFormat="1" ht="12.75" hidden="1" customHeight="1" x14ac:dyDescent="0.2">
      <c r="A212" s="194"/>
      <c r="B212" s="195"/>
      <c r="C212" s="218"/>
      <c r="D212" s="276" t="s">
        <v>345</v>
      </c>
      <c r="E212" s="197"/>
      <c r="F212" s="344"/>
      <c r="G212" s="197"/>
      <c r="H212" s="259"/>
      <c r="I212" s="333"/>
    </row>
    <row r="213" spans="1:9" s="260" customFormat="1" ht="12.75" customHeight="1" x14ac:dyDescent="0.2">
      <c r="A213" s="198">
        <f>A205+1</f>
        <v>23</v>
      </c>
      <c r="B213" s="199" t="s">
        <v>178</v>
      </c>
      <c r="C213" s="219" t="s">
        <v>208</v>
      </c>
      <c r="D213" s="277" t="str">
        <f>$D$12</f>
        <v>FTE August 2025</v>
      </c>
      <c r="E213" s="200">
        <f>'3421'!I$145</f>
        <v>320269.78000000003</v>
      </c>
      <c r="F213" s="343"/>
      <c r="G213" s="200">
        <f>SUBTOTAL(109,E213:F223)</f>
        <v>320269.78000000003</v>
      </c>
      <c r="H213" s="296"/>
      <c r="I213" s="338"/>
    </row>
    <row r="214" spans="1:9" s="260" customFormat="1" ht="12.75" hidden="1" customHeight="1" x14ac:dyDescent="0.2">
      <c r="A214" s="198"/>
      <c r="B214" s="199"/>
      <c r="C214" s="219"/>
      <c r="D214" s="232" t="s">
        <v>278</v>
      </c>
      <c r="E214" s="200"/>
      <c r="F214" s="343"/>
      <c r="G214" s="200"/>
      <c r="H214" s="259"/>
      <c r="I214" s="333"/>
    </row>
    <row r="215" spans="1:9" s="260" customFormat="1" ht="12.75" hidden="1" customHeight="1" x14ac:dyDescent="0.2">
      <c r="A215" s="198"/>
      <c r="B215" s="199"/>
      <c r="C215" s="219"/>
      <c r="D215" s="391" t="s">
        <v>371</v>
      </c>
      <c r="E215" s="200"/>
      <c r="F215" s="343"/>
      <c r="G215" s="200"/>
      <c r="H215" s="296"/>
      <c r="I215" s="195"/>
    </row>
    <row r="216" spans="1:9" s="260" customFormat="1" ht="12.75" hidden="1" customHeight="1" x14ac:dyDescent="0.2">
      <c r="A216" s="198"/>
      <c r="B216" s="199"/>
      <c r="C216" s="219"/>
      <c r="D216" s="232" t="s">
        <v>363</v>
      </c>
      <c r="E216" s="200"/>
      <c r="F216" s="343"/>
      <c r="G216" s="200"/>
      <c r="H216" s="296"/>
      <c r="I216" s="195"/>
    </row>
    <row r="217" spans="1:9" s="260" customFormat="1" ht="12.75" hidden="1" customHeight="1" x14ac:dyDescent="0.2">
      <c r="A217" s="198"/>
      <c r="B217" s="199"/>
      <c r="C217" s="219"/>
      <c r="D217" s="232" t="s">
        <v>364</v>
      </c>
      <c r="E217" s="200"/>
      <c r="F217" s="343"/>
      <c r="G217" s="200"/>
      <c r="H217" s="259"/>
      <c r="I217" s="230"/>
    </row>
    <row r="218" spans="1:9" s="260" customFormat="1" ht="12.75" hidden="1" customHeight="1" x14ac:dyDescent="0.2">
      <c r="A218" s="198"/>
      <c r="B218" s="199"/>
      <c r="C218" s="219"/>
      <c r="D218" s="232" t="s">
        <v>280</v>
      </c>
      <c r="E218" s="200"/>
      <c r="F218" s="343"/>
      <c r="G218" s="200"/>
      <c r="H218" s="296"/>
    </row>
    <row r="219" spans="1:9" s="260" customFormat="1" ht="12.75" hidden="1" customHeight="1" x14ac:dyDescent="0.2">
      <c r="A219" s="198"/>
      <c r="B219" s="199"/>
      <c r="C219" s="219"/>
      <c r="D219" s="232" t="s">
        <v>279</v>
      </c>
      <c r="E219" s="200"/>
      <c r="F219" s="343"/>
      <c r="G219" s="200"/>
      <c r="H219" s="296"/>
    </row>
    <row r="220" spans="1:9" s="260" customFormat="1" ht="12.75" hidden="1" customHeight="1" x14ac:dyDescent="0.2">
      <c r="A220" s="198"/>
      <c r="B220" s="199"/>
      <c r="C220" s="219"/>
      <c r="D220" s="232" t="s">
        <v>288</v>
      </c>
      <c r="E220" s="200"/>
      <c r="F220" s="343"/>
      <c r="G220" s="200"/>
      <c r="H220" s="296"/>
    </row>
    <row r="221" spans="1:9" s="260" customFormat="1" ht="12.75" hidden="1" customHeight="1" x14ac:dyDescent="0.2">
      <c r="A221" s="198"/>
      <c r="B221" s="199"/>
      <c r="C221" s="219"/>
      <c r="D221" s="232" t="s">
        <v>257</v>
      </c>
      <c r="E221" s="200"/>
      <c r="F221" s="343"/>
      <c r="G221" s="200"/>
      <c r="H221" s="259"/>
      <c r="I221" s="333"/>
    </row>
    <row r="222" spans="1:9" s="260" customFormat="1" ht="12.75" hidden="1" customHeight="1" x14ac:dyDescent="0.2">
      <c r="A222" s="198"/>
      <c r="B222" s="199"/>
      <c r="C222" s="228"/>
      <c r="D222" s="315" t="s">
        <v>358</v>
      </c>
      <c r="E222" s="200"/>
      <c r="F222" s="343"/>
      <c r="G222" s="200"/>
      <c r="H222" s="259"/>
      <c r="I222" s="333"/>
    </row>
    <row r="223" spans="1:9" s="260" customFormat="1" ht="12.75" hidden="1" customHeight="1" x14ac:dyDescent="0.2">
      <c r="A223" s="198"/>
      <c r="B223" s="199"/>
      <c r="C223" s="219"/>
      <c r="D223" s="278" t="s">
        <v>345</v>
      </c>
      <c r="E223" s="200"/>
      <c r="F223" s="343"/>
      <c r="G223" s="200"/>
      <c r="H223" s="296"/>
    </row>
    <row r="224" spans="1:9" s="260" customFormat="1" ht="12.75" customHeight="1" x14ac:dyDescent="0.2">
      <c r="A224" s="194">
        <f>A213+1</f>
        <v>24</v>
      </c>
      <c r="B224" s="195" t="s">
        <v>179</v>
      </c>
      <c r="C224" s="218" t="s">
        <v>210</v>
      </c>
      <c r="D224" s="512" t="str">
        <f>$D$12</f>
        <v>FTE August 2025</v>
      </c>
      <c r="E224" s="197">
        <f>'3431'!I$145</f>
        <v>737684.93</v>
      </c>
      <c r="F224" s="344"/>
      <c r="G224" s="197">
        <f>SUBTOTAL(109,E224:F233)</f>
        <v>737684.93</v>
      </c>
      <c r="H224" s="296"/>
    </row>
    <row r="225" spans="1:9" s="260" customFormat="1" ht="12.75" hidden="1" customHeight="1" x14ac:dyDescent="0.2">
      <c r="A225" s="194"/>
      <c r="B225" s="195"/>
      <c r="C225" s="218"/>
      <c r="D225" s="231" t="s">
        <v>537</v>
      </c>
      <c r="E225" s="197"/>
      <c r="F225" s="344"/>
      <c r="G225" s="197"/>
      <c r="H225" s="296"/>
      <c r="I225" s="195"/>
    </row>
    <row r="226" spans="1:9" s="260" customFormat="1" ht="12.75" hidden="1" customHeight="1" x14ac:dyDescent="0.2">
      <c r="A226" s="194"/>
      <c r="B226" s="195"/>
      <c r="C226" s="218"/>
      <c r="D226" s="354" t="s">
        <v>487</v>
      </c>
      <c r="E226" s="197"/>
      <c r="F226" s="344"/>
      <c r="G226" s="197"/>
      <c r="H226" s="296"/>
      <c r="I226" s="195"/>
    </row>
    <row r="227" spans="1:9" s="260" customFormat="1" ht="12.75" hidden="1" customHeight="1" x14ac:dyDescent="0.2">
      <c r="A227" s="194"/>
      <c r="B227" s="195"/>
      <c r="C227" s="218"/>
      <c r="D227" s="231" t="s">
        <v>280</v>
      </c>
      <c r="E227" s="197"/>
      <c r="F227" s="344"/>
      <c r="G227" s="197"/>
      <c r="H227" s="296"/>
      <c r="I227" s="195"/>
    </row>
    <row r="228" spans="1:9" s="260" customFormat="1" ht="12.75" hidden="1" customHeight="1" x14ac:dyDescent="0.2">
      <c r="A228" s="194"/>
      <c r="B228" s="195"/>
      <c r="C228" s="218"/>
      <c r="D228" s="231" t="s">
        <v>354</v>
      </c>
      <c r="E228" s="197"/>
      <c r="F228" s="344"/>
      <c r="G228" s="197"/>
      <c r="H228" s="296"/>
    </row>
    <row r="229" spans="1:9" s="260" customFormat="1" ht="12.75" hidden="1" customHeight="1" x14ac:dyDescent="0.2">
      <c r="A229" s="194"/>
      <c r="B229" s="195"/>
      <c r="C229" s="218"/>
      <c r="D229" s="231" t="s">
        <v>288</v>
      </c>
      <c r="E229" s="197"/>
      <c r="F229" s="344"/>
      <c r="G229" s="197"/>
      <c r="H229" s="296"/>
      <c r="I229" s="195"/>
    </row>
    <row r="230" spans="1:9" s="260" customFormat="1" ht="12.75" hidden="1" customHeight="1" x14ac:dyDescent="0.2">
      <c r="A230" s="194"/>
      <c r="B230" s="195"/>
      <c r="C230" s="218"/>
      <c r="D230" s="231" t="s">
        <v>257</v>
      </c>
      <c r="E230" s="197"/>
      <c r="F230" s="344"/>
      <c r="G230" s="197"/>
      <c r="H230" s="296"/>
    </row>
    <row r="231" spans="1:9" s="260" customFormat="1" ht="12.75" hidden="1" customHeight="1" x14ac:dyDescent="0.2">
      <c r="A231" s="194"/>
      <c r="B231" s="195"/>
      <c r="C231" s="218"/>
      <c r="D231" s="231" t="s">
        <v>302</v>
      </c>
      <c r="E231" s="197"/>
      <c r="F231" s="344"/>
      <c r="G231" s="197"/>
      <c r="H231" s="259"/>
      <c r="I231" s="333"/>
    </row>
    <row r="232" spans="1:9" s="260" customFormat="1" ht="12.75" hidden="1" customHeight="1" x14ac:dyDescent="0.2">
      <c r="A232" s="194"/>
      <c r="B232" s="195"/>
      <c r="C232" s="230"/>
      <c r="D232" s="355" t="s">
        <v>358</v>
      </c>
      <c r="E232" s="197"/>
      <c r="F232" s="344"/>
      <c r="G232" s="197"/>
      <c r="H232" s="296"/>
      <c r="I232" s="338"/>
    </row>
    <row r="233" spans="1:9" s="260" customFormat="1" ht="12.75" hidden="1" customHeight="1" x14ac:dyDescent="0.2">
      <c r="A233" s="194"/>
      <c r="B233" s="195"/>
      <c r="C233" s="218"/>
      <c r="D233" s="276" t="s">
        <v>360</v>
      </c>
      <c r="E233" s="197"/>
      <c r="F233" s="344"/>
      <c r="G233" s="197"/>
      <c r="H233" s="259"/>
      <c r="I233" s="333"/>
    </row>
    <row r="234" spans="1:9" s="260" customFormat="1" ht="12.75" customHeight="1" x14ac:dyDescent="0.2">
      <c r="A234" s="198">
        <f>A224+1</f>
        <v>25</v>
      </c>
      <c r="B234" s="199">
        <v>3441</v>
      </c>
      <c r="C234" s="262" t="s">
        <v>228</v>
      </c>
      <c r="D234" s="277" t="str">
        <f>$D$12</f>
        <v>FTE August 2025</v>
      </c>
      <c r="E234" s="200">
        <f>'3441'!I$145</f>
        <v>372113.82</v>
      </c>
      <c r="F234" s="343"/>
      <c r="G234" s="200">
        <f>SUBTOTAL(109,E234:F242)</f>
        <v>372113.82</v>
      </c>
      <c r="H234" s="296"/>
    </row>
    <row r="235" spans="1:9" s="260" customFormat="1" ht="12.75" hidden="1" customHeight="1" x14ac:dyDescent="0.2">
      <c r="A235" s="198"/>
      <c r="B235" s="199"/>
      <c r="C235" s="262"/>
      <c r="D235" s="232" t="s">
        <v>278</v>
      </c>
      <c r="E235" s="200"/>
      <c r="F235" s="343"/>
      <c r="G235" s="200"/>
      <c r="H235" s="296"/>
    </row>
    <row r="236" spans="1:9" s="260" customFormat="1" ht="12.75" hidden="1" customHeight="1" x14ac:dyDescent="0.2">
      <c r="A236" s="198"/>
      <c r="B236" s="199"/>
      <c r="C236" s="219"/>
      <c r="D236" s="391" t="s">
        <v>487</v>
      </c>
      <c r="E236" s="200"/>
      <c r="F236" s="343"/>
      <c r="G236" s="200"/>
      <c r="H236" s="296"/>
      <c r="I236" s="195"/>
    </row>
    <row r="237" spans="1:9" s="260" customFormat="1" ht="12.75" hidden="1" customHeight="1" x14ac:dyDescent="0.2">
      <c r="A237" s="198"/>
      <c r="B237" s="199"/>
      <c r="C237" s="262"/>
      <c r="D237" s="232" t="s">
        <v>280</v>
      </c>
      <c r="E237" s="200"/>
      <c r="F237" s="343"/>
      <c r="G237" s="200"/>
      <c r="H237" s="296"/>
    </row>
    <row r="238" spans="1:9" s="260" customFormat="1" ht="12.75" hidden="1" customHeight="1" x14ac:dyDescent="0.2">
      <c r="A238" s="198"/>
      <c r="B238" s="199"/>
      <c r="C238" s="219"/>
      <c r="D238" s="232" t="s">
        <v>279</v>
      </c>
      <c r="E238" s="200"/>
      <c r="F238" s="343"/>
      <c r="G238" s="200"/>
      <c r="H238" s="296"/>
      <c r="I238" s="195"/>
    </row>
    <row r="239" spans="1:9" s="260" customFormat="1" ht="12.75" hidden="1" customHeight="1" x14ac:dyDescent="0.2">
      <c r="A239" s="198"/>
      <c r="B239" s="199"/>
      <c r="C239" s="219"/>
      <c r="D239" s="232" t="s">
        <v>288</v>
      </c>
      <c r="E239" s="200"/>
      <c r="F239" s="343"/>
      <c r="G239" s="200"/>
      <c r="H239" s="296"/>
      <c r="I239" s="195"/>
    </row>
    <row r="240" spans="1:9" s="260" customFormat="1" ht="12.75" hidden="1" customHeight="1" x14ac:dyDescent="0.2">
      <c r="A240" s="198"/>
      <c r="B240" s="199"/>
      <c r="C240" s="219"/>
      <c r="D240" s="232" t="s">
        <v>257</v>
      </c>
      <c r="E240" s="200"/>
      <c r="F240" s="343"/>
      <c r="G240" s="200"/>
      <c r="H240" s="296"/>
      <c r="I240" s="333"/>
    </row>
    <row r="241" spans="1:9" s="260" customFormat="1" ht="12.75" hidden="1" customHeight="1" x14ac:dyDescent="0.2">
      <c r="A241" s="198"/>
      <c r="B241" s="199"/>
      <c r="C241" s="219"/>
      <c r="D241" s="232" t="s">
        <v>302</v>
      </c>
      <c r="E241" s="200"/>
      <c r="F241" s="343"/>
      <c r="G241" s="200"/>
      <c r="H241" s="296"/>
      <c r="I241" s="284"/>
    </row>
    <row r="242" spans="1:9" s="260" customFormat="1" ht="12.75" hidden="1" customHeight="1" x14ac:dyDescent="0.2">
      <c r="A242" s="198"/>
      <c r="B242" s="199"/>
      <c r="C242" s="219"/>
      <c r="D242" s="278" t="s">
        <v>345</v>
      </c>
      <c r="E242" s="200"/>
      <c r="F242" s="343"/>
      <c r="G242" s="200"/>
      <c r="H242" s="296"/>
      <c r="I242" s="338"/>
    </row>
    <row r="243" spans="1:9" s="260" customFormat="1" ht="12.75" customHeight="1" x14ac:dyDescent="0.2">
      <c r="A243" s="194">
        <f>A234+1</f>
        <v>26</v>
      </c>
      <c r="B243" s="195">
        <v>3924</v>
      </c>
      <c r="C243" s="261" t="s">
        <v>376</v>
      </c>
      <c r="D243" s="512" t="str">
        <f>$D$12</f>
        <v>FTE August 2025</v>
      </c>
      <c r="E243" s="197">
        <f>'3924'!I$145</f>
        <v>308213.52</v>
      </c>
      <c r="F243" s="344"/>
      <c r="G243" s="197">
        <f>SUBTOTAL(109,E243:F252)</f>
        <v>308213.52</v>
      </c>
      <c r="H243" s="296"/>
    </row>
    <row r="244" spans="1:9" s="260" customFormat="1" ht="12.75" hidden="1" customHeight="1" x14ac:dyDescent="0.2">
      <c r="A244" s="194"/>
      <c r="B244" s="195"/>
      <c r="C244" s="218"/>
      <c r="D244" s="231" t="s">
        <v>537</v>
      </c>
      <c r="E244" s="197"/>
      <c r="F244" s="344"/>
      <c r="G244" s="197"/>
      <c r="H244" s="296"/>
    </row>
    <row r="245" spans="1:9" s="260" customFormat="1" ht="12.75" hidden="1" customHeight="1" x14ac:dyDescent="0.2">
      <c r="A245" s="194"/>
      <c r="B245" s="195"/>
      <c r="C245" s="218"/>
      <c r="D245" s="354" t="s">
        <v>487</v>
      </c>
      <c r="E245" s="197"/>
      <c r="F245" s="344"/>
      <c r="G245" s="197"/>
      <c r="H245" s="296"/>
    </row>
    <row r="246" spans="1:9" s="260" customFormat="1" ht="12.75" hidden="1" customHeight="1" x14ac:dyDescent="0.2">
      <c r="A246" s="194"/>
      <c r="B246" s="195"/>
      <c r="C246" s="218"/>
      <c r="D246" s="354" t="s">
        <v>361</v>
      </c>
      <c r="E246" s="197"/>
      <c r="F246" s="344"/>
      <c r="G246" s="197"/>
      <c r="H246" s="259"/>
      <c r="I246" s="230"/>
    </row>
    <row r="247" spans="1:9" s="260" customFormat="1" ht="12.75" hidden="1" customHeight="1" x14ac:dyDescent="0.2">
      <c r="A247" s="194"/>
      <c r="B247" s="195"/>
      <c r="C247" s="218"/>
      <c r="D247" s="231" t="s">
        <v>280</v>
      </c>
      <c r="E247" s="197"/>
      <c r="F247" s="344"/>
      <c r="G247" s="197"/>
      <c r="H247" s="296"/>
    </row>
    <row r="248" spans="1:9" s="260" customFormat="1" ht="12.75" hidden="1" customHeight="1" x14ac:dyDescent="0.2">
      <c r="A248" s="194"/>
      <c r="B248" s="195"/>
      <c r="C248" s="218"/>
      <c r="D248" s="231" t="s">
        <v>279</v>
      </c>
      <c r="E248" s="197"/>
      <c r="F248" s="344"/>
      <c r="G248" s="197"/>
      <c r="H248" s="296"/>
    </row>
    <row r="249" spans="1:9" s="260" customFormat="1" ht="12.75" hidden="1" customHeight="1" x14ac:dyDescent="0.2">
      <c r="A249" s="194"/>
      <c r="B249" s="195"/>
      <c r="C249" s="218"/>
      <c r="D249" s="231" t="s">
        <v>288</v>
      </c>
      <c r="E249" s="197"/>
      <c r="F249" s="344"/>
      <c r="G249" s="197"/>
      <c r="H249" s="296"/>
      <c r="I249" s="195"/>
    </row>
    <row r="250" spans="1:9" s="260" customFormat="1" ht="12.75" hidden="1" customHeight="1" x14ac:dyDescent="0.2">
      <c r="A250" s="194"/>
      <c r="B250" s="195"/>
      <c r="C250" s="218"/>
      <c r="D250" s="231" t="s">
        <v>257</v>
      </c>
      <c r="E250" s="197"/>
      <c r="F250" s="344"/>
      <c r="G250" s="197"/>
      <c r="H250" s="259"/>
      <c r="I250" s="333"/>
    </row>
    <row r="251" spans="1:9" s="260" customFormat="1" ht="12.75" hidden="1" customHeight="1" x14ac:dyDescent="0.2">
      <c r="A251" s="194"/>
      <c r="B251" s="195"/>
      <c r="C251" s="230"/>
      <c r="D251" s="355" t="s">
        <v>358</v>
      </c>
      <c r="E251" s="197"/>
      <c r="F251" s="344"/>
      <c r="G251" s="197"/>
      <c r="H251" s="296"/>
    </row>
    <row r="252" spans="1:9" s="260" customFormat="1" ht="12.75" hidden="1" customHeight="1" x14ac:dyDescent="0.2">
      <c r="A252" s="194"/>
      <c r="B252" s="195"/>
      <c r="C252" s="218"/>
      <c r="D252" s="276" t="s">
        <v>386</v>
      </c>
      <c r="E252" s="197"/>
      <c r="F252" s="344"/>
      <c r="G252" s="197"/>
      <c r="H252" s="296"/>
    </row>
    <row r="253" spans="1:9" s="260" customFormat="1" ht="12.75" customHeight="1" x14ac:dyDescent="0.2">
      <c r="A253" s="198">
        <f>A243+1</f>
        <v>27</v>
      </c>
      <c r="B253" s="199" t="s">
        <v>180</v>
      </c>
      <c r="C253" s="219" t="s">
        <v>191</v>
      </c>
      <c r="D253" s="277" t="str">
        <f>$D$12</f>
        <v>FTE August 2025</v>
      </c>
      <c r="E253" s="200">
        <f>'3941'!I$145</f>
        <v>168521.9</v>
      </c>
      <c r="F253" s="343"/>
      <c r="G253" s="200">
        <f>SUBTOTAL(109,E253:F262)</f>
        <v>168521.9</v>
      </c>
      <c r="H253" s="296"/>
    </row>
    <row r="254" spans="1:9" s="260" customFormat="1" ht="12.75" hidden="1" customHeight="1" x14ac:dyDescent="0.2">
      <c r="A254" s="198"/>
      <c r="B254" s="199"/>
      <c r="C254" s="219"/>
      <c r="D254" s="232" t="s">
        <v>278</v>
      </c>
      <c r="E254" s="200"/>
      <c r="F254" s="343"/>
      <c r="G254" s="200"/>
      <c r="H254" s="296"/>
    </row>
    <row r="255" spans="1:9" s="260" customFormat="1" ht="12.75" hidden="1" customHeight="1" x14ac:dyDescent="0.2">
      <c r="A255" s="198"/>
      <c r="B255" s="199"/>
      <c r="C255" s="219"/>
      <c r="D255" s="391" t="s">
        <v>487</v>
      </c>
      <c r="E255" s="200"/>
      <c r="F255" s="343"/>
      <c r="G255" s="200"/>
      <c r="H255" s="296"/>
      <c r="I255" s="195"/>
    </row>
    <row r="256" spans="1:9" s="260" customFormat="1" ht="12.75" hidden="1" customHeight="1" x14ac:dyDescent="0.2">
      <c r="A256" s="198"/>
      <c r="B256" s="199"/>
      <c r="C256" s="219"/>
      <c r="D256" s="232" t="s">
        <v>280</v>
      </c>
      <c r="E256" s="200"/>
      <c r="F256" s="343"/>
      <c r="G256" s="200"/>
      <c r="H256" s="296"/>
      <c r="I256" s="195"/>
    </row>
    <row r="257" spans="1:9" s="260" customFormat="1" ht="12.75" hidden="1" customHeight="1" x14ac:dyDescent="0.2">
      <c r="A257" s="198"/>
      <c r="B257" s="199"/>
      <c r="C257" s="219"/>
      <c r="D257" s="232" t="s">
        <v>279</v>
      </c>
      <c r="E257" s="200"/>
      <c r="F257" s="343"/>
      <c r="G257" s="200"/>
      <c r="H257" s="296"/>
    </row>
    <row r="258" spans="1:9" s="260" customFormat="1" ht="12.75" hidden="1" customHeight="1" x14ac:dyDescent="0.2">
      <c r="A258" s="198"/>
      <c r="B258" s="199"/>
      <c r="C258" s="219"/>
      <c r="D258" s="232" t="s">
        <v>288</v>
      </c>
      <c r="E258" s="200"/>
      <c r="F258" s="343"/>
      <c r="G258" s="200"/>
      <c r="H258" s="296"/>
    </row>
    <row r="259" spans="1:9" s="260" customFormat="1" ht="12.75" hidden="1" customHeight="1" x14ac:dyDescent="0.2">
      <c r="A259" s="198"/>
      <c r="B259" s="199"/>
      <c r="C259" s="219"/>
      <c r="D259" s="232" t="s">
        <v>257</v>
      </c>
      <c r="E259" s="200"/>
      <c r="F259" s="343"/>
      <c r="G259" s="200"/>
      <c r="H259" s="296"/>
    </row>
    <row r="260" spans="1:9" s="260" customFormat="1" ht="12.75" hidden="1" customHeight="1" x14ac:dyDescent="0.2">
      <c r="A260" s="198"/>
      <c r="B260" s="199"/>
      <c r="C260" s="219"/>
      <c r="D260" s="232" t="s">
        <v>339</v>
      </c>
      <c r="E260" s="200"/>
      <c r="F260" s="343"/>
      <c r="G260" s="200"/>
      <c r="H260" s="296"/>
      <c r="I260" s="333"/>
    </row>
    <row r="261" spans="1:9" s="260" customFormat="1" ht="12.75" hidden="1" customHeight="1" x14ac:dyDescent="0.2">
      <c r="A261" s="198"/>
      <c r="B261" s="199"/>
      <c r="C261" s="219"/>
      <c r="D261" s="232" t="s">
        <v>358</v>
      </c>
      <c r="E261" s="200"/>
      <c r="F261" s="343"/>
      <c r="G261" s="200"/>
      <c r="H261" s="296"/>
      <c r="I261" s="338"/>
    </row>
    <row r="262" spans="1:9" s="260" customFormat="1" ht="12.75" hidden="1" customHeight="1" x14ac:dyDescent="0.2">
      <c r="A262" s="198"/>
      <c r="B262" s="199"/>
      <c r="C262" s="219"/>
      <c r="D262" s="232"/>
      <c r="E262" s="200"/>
      <c r="F262" s="343"/>
      <c r="G262" s="200"/>
      <c r="H262" s="296"/>
      <c r="I262" s="333"/>
    </row>
    <row r="263" spans="1:9" s="260" customFormat="1" ht="12.75" customHeight="1" x14ac:dyDescent="0.2">
      <c r="A263" s="194">
        <f>A253+1</f>
        <v>28</v>
      </c>
      <c r="B263" s="195" t="s">
        <v>181</v>
      </c>
      <c r="C263" s="218" t="s">
        <v>201</v>
      </c>
      <c r="D263" s="512" t="str">
        <f>$D$12</f>
        <v>FTE August 2025</v>
      </c>
      <c r="E263" s="197">
        <f>'3961'!I$145</f>
        <v>0</v>
      </c>
      <c r="F263" s="344"/>
      <c r="G263" s="197">
        <f>SUBTOTAL(109,E263:F270)</f>
        <v>0</v>
      </c>
      <c r="H263" s="296"/>
    </row>
    <row r="264" spans="1:9" s="260" customFormat="1" ht="12.75" hidden="1" customHeight="1" x14ac:dyDescent="0.2">
      <c r="A264" s="194"/>
      <c r="B264" s="195"/>
      <c r="C264" s="218"/>
      <c r="D264" s="231" t="s">
        <v>537</v>
      </c>
      <c r="E264" s="197"/>
      <c r="F264" s="344"/>
      <c r="G264" s="197"/>
      <c r="H264" s="296"/>
    </row>
    <row r="265" spans="1:9" s="260" customFormat="1" ht="12.75" hidden="1" customHeight="1" x14ac:dyDescent="0.2">
      <c r="A265" s="194"/>
      <c r="B265" s="195"/>
      <c r="C265" s="218"/>
      <c r="D265" s="354" t="s">
        <v>487</v>
      </c>
      <c r="E265" s="197"/>
      <c r="F265" s="344"/>
      <c r="G265" s="197"/>
      <c r="H265" s="296"/>
      <c r="I265" s="195"/>
    </row>
    <row r="266" spans="1:9" s="260" customFormat="1" ht="12.75" hidden="1" customHeight="1" x14ac:dyDescent="0.2">
      <c r="A266" s="194"/>
      <c r="B266" s="195"/>
      <c r="C266" s="218"/>
      <c r="D266" s="231" t="s">
        <v>280</v>
      </c>
      <c r="E266" s="197"/>
      <c r="F266" s="344"/>
      <c r="G266" s="197"/>
      <c r="H266" s="296"/>
    </row>
    <row r="267" spans="1:9" s="260" customFormat="1" ht="12.75" hidden="1" customHeight="1" x14ac:dyDescent="0.2">
      <c r="A267" s="194"/>
      <c r="B267" s="195"/>
      <c r="C267" s="218"/>
      <c r="D267" s="231" t="s">
        <v>279</v>
      </c>
      <c r="E267" s="197"/>
      <c r="F267" s="344"/>
      <c r="G267" s="197"/>
      <c r="H267" s="296"/>
    </row>
    <row r="268" spans="1:9" s="260" customFormat="1" ht="12.75" hidden="1" customHeight="1" x14ac:dyDescent="0.2">
      <c r="A268" s="194"/>
      <c r="B268" s="195"/>
      <c r="C268" s="218"/>
      <c r="D268" s="231" t="s">
        <v>288</v>
      </c>
      <c r="E268" s="197"/>
      <c r="F268" s="344"/>
      <c r="G268" s="197"/>
      <c r="H268" s="296"/>
    </row>
    <row r="269" spans="1:9" s="260" customFormat="1" ht="12.75" hidden="1" customHeight="1" x14ac:dyDescent="0.2">
      <c r="A269" s="194"/>
      <c r="B269" s="195"/>
      <c r="C269" s="218"/>
      <c r="D269" s="231" t="s">
        <v>257</v>
      </c>
      <c r="E269" s="197"/>
      <c r="F269" s="344"/>
      <c r="G269" s="197"/>
      <c r="H269" s="259"/>
      <c r="I269" s="333"/>
    </row>
    <row r="270" spans="1:9" s="260" customFormat="1" ht="12.75" hidden="1" customHeight="1" x14ac:dyDescent="0.2">
      <c r="A270" s="194"/>
      <c r="B270" s="195"/>
      <c r="C270" s="230"/>
      <c r="D270" s="276" t="s">
        <v>359</v>
      </c>
      <c r="E270" s="197"/>
      <c r="F270" s="344"/>
      <c r="G270" s="197"/>
      <c r="H270" s="259"/>
      <c r="I270" s="333"/>
    </row>
    <row r="271" spans="1:9" s="260" customFormat="1" ht="12.75" customHeight="1" x14ac:dyDescent="0.2">
      <c r="A271" s="198">
        <f>A263+1</f>
        <v>29</v>
      </c>
      <c r="B271" s="199" t="s">
        <v>182</v>
      </c>
      <c r="C271" s="219" t="s">
        <v>340</v>
      </c>
      <c r="D271" s="277" t="str">
        <f>$D$12</f>
        <v>FTE August 2025</v>
      </c>
      <c r="E271" s="200">
        <f>'3971'!I$145</f>
        <v>425546.45</v>
      </c>
      <c r="F271" s="343"/>
      <c r="G271" s="200">
        <f>SUBTOTAL(109,E271:F278)</f>
        <v>425546.45</v>
      </c>
      <c r="H271" s="259"/>
      <c r="I271" s="333"/>
    </row>
    <row r="272" spans="1:9" s="260" customFormat="1" ht="12.75" hidden="1" customHeight="1" x14ac:dyDescent="0.2">
      <c r="A272" s="198"/>
      <c r="B272" s="199"/>
      <c r="C272" s="219"/>
      <c r="D272" s="232" t="s">
        <v>278</v>
      </c>
      <c r="E272" s="200"/>
      <c r="F272" s="343"/>
      <c r="G272" s="200"/>
      <c r="H272" s="296"/>
    </row>
    <row r="273" spans="1:9" s="260" customFormat="1" ht="12.75" hidden="1" customHeight="1" x14ac:dyDescent="0.2">
      <c r="A273" s="198"/>
      <c r="B273" s="199"/>
      <c r="C273" s="219"/>
      <c r="D273" s="391" t="s">
        <v>487</v>
      </c>
      <c r="E273" s="200"/>
      <c r="F273" s="343"/>
      <c r="G273" s="200"/>
      <c r="H273" s="296"/>
    </row>
    <row r="274" spans="1:9" s="260" customFormat="1" ht="12.75" hidden="1" customHeight="1" x14ac:dyDescent="0.2">
      <c r="A274" s="198"/>
      <c r="B274" s="199"/>
      <c r="C274" s="219"/>
      <c r="D274" s="232" t="s">
        <v>280</v>
      </c>
      <c r="E274" s="200"/>
      <c r="F274" s="343"/>
      <c r="G274" s="200"/>
      <c r="H274" s="296"/>
    </row>
    <row r="275" spans="1:9" s="260" customFormat="1" ht="12.75" hidden="1" customHeight="1" x14ac:dyDescent="0.2">
      <c r="A275" s="198"/>
      <c r="B275" s="199"/>
      <c r="C275" s="219"/>
      <c r="D275" s="232" t="s">
        <v>279</v>
      </c>
      <c r="E275" s="200"/>
      <c r="F275" s="343"/>
      <c r="G275" s="200"/>
      <c r="H275" s="296"/>
      <c r="I275" s="195"/>
    </row>
    <row r="276" spans="1:9" s="260" customFormat="1" ht="12.75" hidden="1" customHeight="1" x14ac:dyDescent="0.2">
      <c r="A276" s="198"/>
      <c r="B276" s="199"/>
      <c r="C276" s="219"/>
      <c r="D276" s="232" t="s">
        <v>288</v>
      </c>
      <c r="E276" s="200"/>
      <c r="F276" s="343"/>
      <c r="G276" s="200"/>
      <c r="H276" s="296"/>
    </row>
    <row r="277" spans="1:9" s="260" customFormat="1" ht="12.75" hidden="1" customHeight="1" x14ac:dyDescent="0.2">
      <c r="A277" s="198"/>
      <c r="B277" s="199"/>
      <c r="C277" s="219"/>
      <c r="D277" s="232" t="s">
        <v>257</v>
      </c>
      <c r="E277" s="200"/>
      <c r="F277" s="343"/>
      <c r="G277" s="200"/>
      <c r="H277" s="296"/>
    </row>
    <row r="278" spans="1:9" s="260" customFormat="1" ht="12.75" hidden="1" customHeight="1" x14ac:dyDescent="0.2">
      <c r="A278" s="198"/>
      <c r="B278" s="199"/>
      <c r="C278" s="219"/>
      <c r="D278" s="278" t="s">
        <v>365</v>
      </c>
      <c r="E278" s="200"/>
      <c r="F278" s="343"/>
      <c r="G278" s="200"/>
      <c r="H278" s="296"/>
      <c r="I278" s="188"/>
    </row>
    <row r="279" spans="1:9" s="260" customFormat="1" ht="12.75" customHeight="1" x14ac:dyDescent="0.2">
      <c r="A279" s="194">
        <f>A271+1</f>
        <v>30</v>
      </c>
      <c r="B279" s="195" t="s">
        <v>183</v>
      </c>
      <c r="C279" s="218" t="s">
        <v>219</v>
      </c>
      <c r="D279" s="512" t="str">
        <f>$D$12</f>
        <v>FTE August 2025</v>
      </c>
      <c r="E279" s="383">
        <f>'4001'!I$145</f>
        <v>493503.39</v>
      </c>
      <c r="F279" s="344"/>
      <c r="G279" s="197">
        <f>SUBTOTAL(109,E279:F287)</f>
        <v>493503.39</v>
      </c>
      <c r="H279" s="296"/>
      <c r="I279" s="333"/>
    </row>
    <row r="280" spans="1:9" ht="12.75" hidden="1" customHeight="1" x14ac:dyDescent="0.2">
      <c r="A280" s="194"/>
      <c r="B280" s="195"/>
      <c r="C280" s="218"/>
      <c r="D280" s="231" t="s">
        <v>537</v>
      </c>
      <c r="E280" s="197"/>
      <c r="F280" s="454"/>
      <c r="G280" s="197"/>
      <c r="H280" s="297"/>
      <c r="I280" s="260"/>
    </row>
    <row r="281" spans="1:9" s="260" customFormat="1" ht="12.75" hidden="1" customHeight="1" x14ac:dyDescent="0.2">
      <c r="A281" s="194"/>
      <c r="B281" s="195"/>
      <c r="C281" s="218"/>
      <c r="D281" s="354" t="s">
        <v>487</v>
      </c>
      <c r="E281" s="197"/>
      <c r="F281" s="344"/>
      <c r="G281" s="197"/>
      <c r="H281" s="296"/>
    </row>
    <row r="282" spans="1:9" s="260" customFormat="1" ht="12.75" hidden="1" customHeight="1" x14ac:dyDescent="0.2">
      <c r="A282" s="194"/>
      <c r="B282" s="195"/>
      <c r="C282" s="218"/>
      <c r="D282" s="231" t="s">
        <v>280</v>
      </c>
      <c r="E282" s="197"/>
      <c r="F282" s="344"/>
      <c r="G282" s="197"/>
      <c r="H282" s="296"/>
    </row>
    <row r="283" spans="1:9" s="260" customFormat="1" ht="12.75" hidden="1" customHeight="1" x14ac:dyDescent="0.2">
      <c r="A283" s="194"/>
      <c r="B283" s="195"/>
      <c r="C283" s="218"/>
      <c r="D283" s="231" t="s">
        <v>279</v>
      </c>
      <c r="E283" s="197"/>
      <c r="F283" s="344"/>
      <c r="G283" s="197"/>
      <c r="H283" s="296"/>
      <c r="I283" s="195"/>
    </row>
    <row r="284" spans="1:9" s="260" customFormat="1" ht="12.75" hidden="1" customHeight="1" x14ac:dyDescent="0.2">
      <c r="A284" s="194"/>
      <c r="B284" s="195"/>
      <c r="C284" s="218"/>
      <c r="D284" s="231" t="s">
        <v>288</v>
      </c>
      <c r="E284" s="197"/>
      <c r="F284" s="344"/>
      <c r="G284" s="197"/>
      <c r="H284" s="296"/>
    </row>
    <row r="285" spans="1:9" s="260" customFormat="1" ht="12.75" hidden="1" customHeight="1" x14ac:dyDescent="0.2">
      <c r="A285" s="194"/>
      <c r="B285" s="195"/>
      <c r="C285" s="218"/>
      <c r="D285" s="231" t="s">
        <v>257</v>
      </c>
      <c r="E285" s="197"/>
      <c r="F285" s="344"/>
      <c r="G285" s="197"/>
      <c r="H285" s="296"/>
    </row>
    <row r="286" spans="1:9" s="260" customFormat="1" ht="12.75" hidden="1" customHeight="1" x14ac:dyDescent="0.2">
      <c r="A286" s="194"/>
      <c r="B286" s="195"/>
      <c r="C286" s="218"/>
      <c r="D286" s="231" t="s">
        <v>358</v>
      </c>
      <c r="E286" s="197"/>
      <c r="F286" s="344"/>
      <c r="G286" s="197"/>
      <c r="H286" s="296"/>
    </row>
    <row r="287" spans="1:9" s="260" customFormat="1" ht="12.75" hidden="1" customHeight="1" x14ac:dyDescent="0.2">
      <c r="A287" s="194"/>
      <c r="B287" s="195"/>
      <c r="C287" s="218"/>
      <c r="D287" s="276" t="s">
        <v>345</v>
      </c>
      <c r="E287" s="197"/>
      <c r="F287" s="344"/>
      <c r="G287" s="197"/>
      <c r="H287" s="259"/>
      <c r="I287" s="333"/>
    </row>
    <row r="288" spans="1:9" s="260" customFormat="1" ht="12.75" customHeight="1" x14ac:dyDescent="0.2">
      <c r="A288" s="198">
        <f>A279+1</f>
        <v>31</v>
      </c>
      <c r="B288" s="199">
        <v>4002</v>
      </c>
      <c r="C288" s="219" t="s">
        <v>218</v>
      </c>
      <c r="D288" s="277" t="str">
        <f>$D$12</f>
        <v>FTE August 2025</v>
      </c>
      <c r="E288" s="200">
        <f>'4002'!I$145</f>
        <v>715174.9</v>
      </c>
      <c r="F288" s="343"/>
      <c r="G288" s="200">
        <f>SUBTOTAL(109,E288:F297)</f>
        <v>715174.9</v>
      </c>
      <c r="H288" s="296"/>
    </row>
    <row r="289" spans="1:9" s="260" customFormat="1" ht="12.75" hidden="1" customHeight="1" x14ac:dyDescent="0.2">
      <c r="A289" s="198"/>
      <c r="B289" s="199"/>
      <c r="C289" s="219"/>
      <c r="D289" s="232" t="s">
        <v>278</v>
      </c>
      <c r="E289" s="200"/>
      <c r="F289" s="343"/>
      <c r="G289" s="200"/>
      <c r="H289" s="296"/>
    </row>
    <row r="290" spans="1:9" s="260" customFormat="1" ht="12.75" hidden="1" customHeight="1" x14ac:dyDescent="0.2">
      <c r="A290" s="198"/>
      <c r="B290" s="199"/>
      <c r="C290" s="219"/>
      <c r="D290" s="391" t="s">
        <v>487</v>
      </c>
      <c r="E290" s="200"/>
      <c r="F290" s="343"/>
      <c r="G290" s="200"/>
      <c r="H290" s="296"/>
    </row>
    <row r="291" spans="1:9" s="260" customFormat="1" ht="12.75" hidden="1" customHeight="1" x14ac:dyDescent="0.2">
      <c r="A291" s="198"/>
      <c r="B291" s="199"/>
      <c r="C291" s="219"/>
      <c r="D291" s="232" t="s">
        <v>280</v>
      </c>
      <c r="E291" s="200"/>
      <c r="F291" s="343"/>
      <c r="G291" s="200"/>
      <c r="H291" s="296"/>
      <c r="I291" s="195"/>
    </row>
    <row r="292" spans="1:9" s="260" customFormat="1" ht="12.75" hidden="1" customHeight="1" x14ac:dyDescent="0.2">
      <c r="A292" s="198"/>
      <c r="B292" s="199"/>
      <c r="C292" s="219"/>
      <c r="D292" s="232" t="s">
        <v>279</v>
      </c>
      <c r="E292" s="200"/>
      <c r="F292" s="343"/>
      <c r="G292" s="200"/>
      <c r="H292" s="296"/>
    </row>
    <row r="293" spans="1:9" s="260" customFormat="1" ht="12.75" hidden="1" customHeight="1" x14ac:dyDescent="0.2">
      <c r="A293" s="198"/>
      <c r="B293" s="199"/>
      <c r="C293" s="219"/>
      <c r="D293" s="232" t="s">
        <v>288</v>
      </c>
      <c r="E293" s="200"/>
      <c r="F293" s="343"/>
      <c r="G293" s="200"/>
      <c r="H293" s="296"/>
    </row>
    <row r="294" spans="1:9" s="260" customFormat="1" ht="12.75" hidden="1" customHeight="1" x14ac:dyDescent="0.2">
      <c r="A294" s="198"/>
      <c r="B294" s="199"/>
      <c r="C294" s="219"/>
      <c r="D294" s="232" t="s">
        <v>257</v>
      </c>
      <c r="E294" s="200"/>
      <c r="F294" s="343"/>
      <c r="G294" s="200"/>
      <c r="H294" s="296"/>
    </row>
    <row r="295" spans="1:9" s="260" customFormat="1" ht="12.75" hidden="1" customHeight="1" x14ac:dyDescent="0.2">
      <c r="A295" s="198"/>
      <c r="B295" s="199"/>
      <c r="C295" s="219"/>
      <c r="D295" s="232" t="s">
        <v>357</v>
      </c>
      <c r="E295" s="200"/>
      <c r="F295" s="343"/>
      <c r="G295" s="200"/>
      <c r="H295" s="259"/>
      <c r="I295" s="333"/>
    </row>
    <row r="296" spans="1:9" s="260" customFormat="1" ht="12.75" hidden="1" customHeight="1" x14ac:dyDescent="0.2">
      <c r="A296" s="198"/>
      <c r="B296" s="199"/>
      <c r="C296" s="219"/>
      <c r="D296" s="232" t="s">
        <v>358</v>
      </c>
      <c r="E296" s="200"/>
      <c r="F296" s="343"/>
      <c r="G296" s="200"/>
      <c r="H296" s="296"/>
      <c r="I296" s="333"/>
    </row>
    <row r="297" spans="1:9" s="260" customFormat="1" ht="12.75" hidden="1" customHeight="1" x14ac:dyDescent="0.2">
      <c r="A297" s="198"/>
      <c r="B297" s="199"/>
      <c r="C297" s="219"/>
      <c r="D297" s="232" t="s">
        <v>355</v>
      </c>
      <c r="E297" s="200"/>
      <c r="F297" s="343"/>
      <c r="G297" s="200"/>
      <c r="H297" s="296"/>
    </row>
    <row r="298" spans="1:9" s="260" customFormat="1" ht="12.75" customHeight="1" x14ac:dyDescent="0.2">
      <c r="A298" s="194">
        <f>A288+1</f>
        <v>32</v>
      </c>
      <c r="B298" s="195">
        <v>4012</v>
      </c>
      <c r="C298" s="218" t="s">
        <v>221</v>
      </c>
      <c r="D298" s="512" t="str">
        <f>$D$12</f>
        <v>FTE August 2025</v>
      </c>
      <c r="E298" s="197">
        <f>'4012'!I$145</f>
        <v>409405.4</v>
      </c>
      <c r="F298" s="344"/>
      <c r="G298" s="197">
        <f>SUBTOTAL(109,E298:F305)</f>
        <v>409405.4</v>
      </c>
      <c r="H298" s="296"/>
    </row>
    <row r="299" spans="1:9" s="260" customFormat="1" ht="12.75" hidden="1" customHeight="1" x14ac:dyDescent="0.2">
      <c r="A299" s="194"/>
      <c r="B299" s="195"/>
      <c r="C299" s="218"/>
      <c r="D299" s="231" t="s">
        <v>537</v>
      </c>
      <c r="E299" s="197"/>
      <c r="F299" s="344"/>
      <c r="G299" s="197"/>
      <c r="H299" s="296"/>
    </row>
    <row r="300" spans="1:9" s="260" customFormat="1" ht="12.75" hidden="1" customHeight="1" x14ac:dyDescent="0.2">
      <c r="A300" s="194"/>
      <c r="B300" s="195"/>
      <c r="C300" s="218"/>
      <c r="D300" s="231" t="s">
        <v>487</v>
      </c>
      <c r="E300" s="197"/>
      <c r="F300" s="344"/>
      <c r="G300" s="197"/>
      <c r="H300" s="296"/>
      <c r="I300" s="195"/>
    </row>
    <row r="301" spans="1:9" s="260" customFormat="1" ht="12.75" hidden="1" customHeight="1" x14ac:dyDescent="0.2">
      <c r="A301" s="194"/>
      <c r="B301" s="195"/>
      <c r="C301" s="218"/>
      <c r="D301" s="231" t="s">
        <v>354</v>
      </c>
      <c r="E301" s="197"/>
      <c r="F301" s="344"/>
      <c r="G301" s="197"/>
      <c r="H301" s="296"/>
    </row>
    <row r="302" spans="1:9" s="260" customFormat="1" ht="12.75" hidden="1" customHeight="1" x14ac:dyDescent="0.2">
      <c r="A302" s="194"/>
      <c r="B302" s="195"/>
      <c r="C302" s="218"/>
      <c r="D302" s="231" t="s">
        <v>288</v>
      </c>
      <c r="E302" s="197"/>
      <c r="F302" s="344"/>
      <c r="G302" s="197"/>
      <c r="H302" s="296"/>
    </row>
    <row r="303" spans="1:9" s="260" customFormat="1" ht="12.75" hidden="1" customHeight="1" x14ac:dyDescent="0.2">
      <c r="A303" s="194"/>
      <c r="B303" s="195"/>
      <c r="C303" s="218"/>
      <c r="D303" s="231" t="s">
        <v>257</v>
      </c>
      <c r="E303" s="197"/>
      <c r="F303" s="344"/>
      <c r="G303" s="197"/>
      <c r="H303" s="296"/>
    </row>
    <row r="304" spans="1:9" s="260" customFormat="1" ht="12.75" hidden="1" customHeight="1" x14ac:dyDescent="0.2">
      <c r="A304" s="194"/>
      <c r="B304" s="195"/>
      <c r="C304" s="218"/>
      <c r="D304" s="231" t="s">
        <v>302</v>
      </c>
      <c r="E304" s="197"/>
      <c r="F304" s="344"/>
      <c r="G304" s="197"/>
      <c r="H304" s="296"/>
    </row>
    <row r="305" spans="1:9" s="260" customFormat="1" ht="12.75" hidden="1" customHeight="1" x14ac:dyDescent="0.2">
      <c r="A305" s="194"/>
      <c r="B305" s="195"/>
      <c r="C305" s="218"/>
      <c r="D305" s="276" t="s">
        <v>345</v>
      </c>
      <c r="E305" s="197"/>
      <c r="F305" s="344"/>
      <c r="G305" s="197"/>
      <c r="H305" s="296"/>
      <c r="I305" s="335"/>
    </row>
    <row r="306" spans="1:9" s="260" customFormat="1" ht="12.75" customHeight="1" x14ac:dyDescent="0.2">
      <c r="A306" s="198">
        <f>A298+1</f>
        <v>33</v>
      </c>
      <c r="B306" s="199">
        <v>4013</v>
      </c>
      <c r="C306" s="219" t="s">
        <v>223</v>
      </c>
      <c r="D306" s="277" t="str">
        <f>$D$12</f>
        <v>FTE August 2025</v>
      </c>
      <c r="E306" s="200">
        <f>'4013'!I$145</f>
        <v>677472.72</v>
      </c>
      <c r="F306" s="343"/>
      <c r="G306" s="200">
        <f>SUBTOTAL(109,E306:F314)</f>
        <v>677472.72</v>
      </c>
      <c r="H306" s="296"/>
      <c r="I306" s="335"/>
    </row>
    <row r="307" spans="1:9" s="260" customFormat="1" ht="12.75" hidden="1" customHeight="1" x14ac:dyDescent="0.2">
      <c r="A307" s="198"/>
      <c r="B307" s="199"/>
      <c r="C307" s="219"/>
      <c r="D307" s="232" t="s">
        <v>278</v>
      </c>
      <c r="E307" s="200"/>
      <c r="F307" s="343"/>
      <c r="G307" s="200"/>
      <c r="H307" s="296"/>
    </row>
    <row r="308" spans="1:9" s="260" customFormat="1" ht="12.75" hidden="1" customHeight="1" x14ac:dyDescent="0.2">
      <c r="A308" s="198"/>
      <c r="B308" s="199"/>
      <c r="C308" s="219"/>
      <c r="D308" s="391" t="s">
        <v>487</v>
      </c>
      <c r="E308" s="200"/>
      <c r="F308" s="343"/>
      <c r="G308" s="200"/>
      <c r="H308" s="296"/>
    </row>
    <row r="309" spans="1:9" s="260" customFormat="1" ht="12.75" hidden="1" customHeight="1" x14ac:dyDescent="0.2">
      <c r="A309" s="198"/>
      <c r="B309" s="199"/>
      <c r="C309" s="219"/>
      <c r="D309" s="232" t="s">
        <v>280</v>
      </c>
      <c r="E309" s="200"/>
      <c r="F309" s="343"/>
      <c r="G309" s="200"/>
      <c r="H309" s="296"/>
    </row>
    <row r="310" spans="1:9" s="260" customFormat="1" ht="12.75" hidden="1" customHeight="1" x14ac:dyDescent="0.2">
      <c r="A310" s="198"/>
      <c r="B310" s="199"/>
      <c r="C310" s="219"/>
      <c r="D310" s="232" t="s">
        <v>354</v>
      </c>
      <c r="E310" s="200"/>
      <c r="F310" s="343"/>
      <c r="G310" s="200"/>
      <c r="H310" s="296"/>
    </row>
    <row r="311" spans="1:9" s="260" customFormat="1" ht="12.75" hidden="1" customHeight="1" x14ac:dyDescent="0.2">
      <c r="A311" s="198"/>
      <c r="B311" s="199"/>
      <c r="C311" s="219"/>
      <c r="D311" s="232" t="s">
        <v>288</v>
      </c>
      <c r="E311" s="200"/>
      <c r="F311" s="343"/>
      <c r="G311" s="200"/>
      <c r="H311" s="296"/>
    </row>
    <row r="312" spans="1:9" s="260" customFormat="1" ht="12.75" hidden="1" customHeight="1" x14ac:dyDescent="0.2">
      <c r="A312" s="198"/>
      <c r="B312" s="199"/>
      <c r="C312" s="219"/>
      <c r="D312" s="232" t="s">
        <v>257</v>
      </c>
      <c r="E312" s="200"/>
      <c r="F312" s="343"/>
      <c r="G312" s="200"/>
      <c r="H312" s="296"/>
    </row>
    <row r="313" spans="1:9" s="260" customFormat="1" ht="12.75" hidden="1" customHeight="1" x14ac:dyDescent="0.2">
      <c r="A313" s="198"/>
      <c r="B313" s="199"/>
      <c r="C313" s="219"/>
      <c r="D313" s="232" t="s">
        <v>358</v>
      </c>
      <c r="E313" s="200"/>
      <c r="F313" s="343"/>
      <c r="G313" s="200"/>
      <c r="H313" s="259"/>
      <c r="I313" s="333"/>
    </row>
    <row r="314" spans="1:9" s="260" customFormat="1" ht="12.75" hidden="1" customHeight="1" x14ac:dyDescent="0.2">
      <c r="A314" s="198"/>
      <c r="B314" s="199"/>
      <c r="C314" s="219"/>
      <c r="D314" s="232" t="s">
        <v>345</v>
      </c>
      <c r="E314" s="200"/>
      <c r="F314" s="343"/>
      <c r="G314" s="200"/>
      <c r="H314" s="296"/>
      <c r="I314" s="306"/>
    </row>
    <row r="315" spans="1:9" s="260" customFormat="1" ht="12.75" customHeight="1" x14ac:dyDescent="0.2">
      <c r="A315" s="194">
        <f>A306+1</f>
        <v>34</v>
      </c>
      <c r="B315" s="195">
        <v>4020</v>
      </c>
      <c r="C315" s="261" t="s">
        <v>347</v>
      </c>
      <c r="D315" s="512" t="str">
        <f>$D$12</f>
        <v>FTE August 2025</v>
      </c>
      <c r="E315" s="197">
        <f>'4020'!I$145</f>
        <v>906770.45</v>
      </c>
      <c r="F315" s="344"/>
      <c r="G315" s="197">
        <f>SUBTOTAL(109,E315:F323)</f>
        <v>906770.45</v>
      </c>
      <c r="H315" s="296"/>
      <c r="I315" s="306"/>
    </row>
    <row r="316" spans="1:9" s="260" customFormat="1" ht="12.75" hidden="1" customHeight="1" x14ac:dyDescent="0.2">
      <c r="A316" s="194"/>
      <c r="B316" s="195"/>
      <c r="C316" s="218"/>
      <c r="D316" s="231" t="s">
        <v>537</v>
      </c>
      <c r="E316" s="197"/>
      <c r="F316" s="344"/>
      <c r="G316" s="197"/>
      <c r="H316" s="296"/>
    </row>
    <row r="317" spans="1:9" s="260" customFormat="1" ht="12.75" hidden="1" customHeight="1" x14ac:dyDescent="0.2">
      <c r="A317" s="194"/>
      <c r="B317" s="195"/>
      <c r="C317" s="218"/>
      <c r="D317" s="354" t="s">
        <v>487</v>
      </c>
      <c r="E317" s="197"/>
      <c r="F317" s="344"/>
      <c r="G317" s="197"/>
      <c r="H317" s="296"/>
    </row>
    <row r="318" spans="1:9" s="260" customFormat="1" ht="12.75" hidden="1" customHeight="1" x14ac:dyDescent="0.2">
      <c r="A318" s="194"/>
      <c r="B318" s="195"/>
      <c r="C318" s="218"/>
      <c r="D318" s="231" t="s">
        <v>280</v>
      </c>
      <c r="E318" s="197"/>
      <c r="F318" s="344"/>
      <c r="G318" s="197"/>
      <c r="H318" s="296"/>
      <c r="I318" s="195"/>
    </row>
    <row r="319" spans="1:9" s="260" customFormat="1" ht="12.75" hidden="1" customHeight="1" x14ac:dyDescent="0.2">
      <c r="A319" s="194"/>
      <c r="B319" s="195"/>
      <c r="C319" s="218"/>
      <c r="D319" s="231" t="s">
        <v>354</v>
      </c>
      <c r="E319" s="197"/>
      <c r="F319" s="344"/>
      <c r="G319" s="197"/>
      <c r="H319" s="296"/>
    </row>
    <row r="320" spans="1:9" s="260" customFormat="1" ht="12.75" hidden="1" customHeight="1" x14ac:dyDescent="0.2">
      <c r="A320" s="194"/>
      <c r="B320" s="195"/>
      <c r="C320" s="218"/>
      <c r="D320" s="231" t="s">
        <v>288</v>
      </c>
      <c r="E320" s="197"/>
      <c r="F320" s="344"/>
      <c r="G320" s="197"/>
      <c r="H320" s="296"/>
    </row>
    <row r="321" spans="1:9" s="260" customFormat="1" ht="12.75" hidden="1" customHeight="1" x14ac:dyDescent="0.2">
      <c r="A321" s="194"/>
      <c r="B321" s="195"/>
      <c r="C321" s="218"/>
      <c r="D321" s="231" t="s">
        <v>257</v>
      </c>
      <c r="E321" s="197"/>
      <c r="F321" s="344"/>
      <c r="G321" s="197"/>
      <c r="H321" s="296"/>
    </row>
    <row r="322" spans="1:9" s="260" customFormat="1" ht="12.75" hidden="1" customHeight="1" x14ac:dyDescent="0.2">
      <c r="A322" s="194"/>
      <c r="B322" s="195"/>
      <c r="C322" s="218"/>
      <c r="D322" s="231" t="s">
        <v>357</v>
      </c>
      <c r="E322" s="197"/>
      <c r="F322" s="344"/>
      <c r="G322" s="197"/>
      <c r="H322" s="296"/>
    </row>
    <row r="323" spans="1:9" s="260" customFormat="1" ht="12.75" hidden="1" customHeight="1" x14ac:dyDescent="0.2">
      <c r="A323" s="194"/>
      <c r="B323" s="195"/>
      <c r="C323" s="218"/>
      <c r="D323" s="276" t="s">
        <v>345</v>
      </c>
      <c r="E323" s="197"/>
      <c r="F323" s="344"/>
      <c r="G323" s="197"/>
      <c r="H323" s="296"/>
      <c r="I323" s="335"/>
    </row>
    <row r="324" spans="1:9" s="260" customFormat="1" ht="12.75" customHeight="1" x14ac:dyDescent="0.2">
      <c r="A324" s="198">
        <f>A315+1</f>
        <v>35</v>
      </c>
      <c r="B324" s="199">
        <v>4030</v>
      </c>
      <c r="C324" s="219" t="s">
        <v>335</v>
      </c>
      <c r="D324" s="277" t="str">
        <f>$D$12</f>
        <v>FTE August 2025</v>
      </c>
      <c r="E324" s="200">
        <f>'4030'!I$145</f>
        <v>218407.85</v>
      </c>
      <c r="F324" s="343"/>
      <c r="G324" s="200">
        <f>SUBTOTAL(109,E324:F333)</f>
        <v>214627.80000000002</v>
      </c>
      <c r="H324" s="296"/>
    </row>
    <row r="325" spans="1:9" s="260" customFormat="1" ht="12.75" hidden="1" customHeight="1" x14ac:dyDescent="0.2">
      <c r="A325" s="198"/>
      <c r="B325" s="199"/>
      <c r="C325" s="219"/>
      <c r="D325" s="232" t="s">
        <v>278</v>
      </c>
      <c r="E325" s="200"/>
      <c r="F325" s="343"/>
      <c r="G325" s="200"/>
      <c r="H325" s="296"/>
    </row>
    <row r="326" spans="1:9" s="260" customFormat="1" ht="12.75" hidden="1" customHeight="1" x14ac:dyDescent="0.2">
      <c r="A326" s="198"/>
      <c r="B326" s="199"/>
      <c r="C326" s="219"/>
      <c r="D326" s="391" t="s">
        <v>487</v>
      </c>
      <c r="E326" s="200"/>
      <c r="F326" s="343"/>
      <c r="G326" s="200"/>
      <c r="H326" s="296"/>
    </row>
    <row r="327" spans="1:9" s="260" customFormat="1" ht="12.75" hidden="1" customHeight="1" x14ac:dyDescent="0.2">
      <c r="A327" s="198"/>
      <c r="B327" s="199"/>
      <c r="C327" s="219"/>
      <c r="D327" s="391" t="s">
        <v>361</v>
      </c>
      <c r="E327" s="200"/>
      <c r="F327" s="343"/>
      <c r="G327" s="200"/>
      <c r="H327" s="296"/>
      <c r="I327" s="195"/>
    </row>
    <row r="328" spans="1:9" s="260" customFormat="1" ht="12.75" customHeight="1" x14ac:dyDescent="0.2">
      <c r="A328" s="198"/>
      <c r="B328" s="199"/>
      <c r="C328" s="219"/>
      <c r="D328" s="219" t="s">
        <v>548</v>
      </c>
      <c r="E328" s="200"/>
      <c r="F328" s="343">
        <v>-3780.05</v>
      </c>
      <c r="G328" s="200"/>
      <c r="H328" s="296"/>
    </row>
    <row r="329" spans="1:9" s="260" customFormat="1" ht="12.75" hidden="1" customHeight="1" x14ac:dyDescent="0.2">
      <c r="A329" s="198"/>
      <c r="B329" s="199"/>
      <c r="C329" s="219"/>
      <c r="D329" s="232" t="s">
        <v>279</v>
      </c>
      <c r="E329" s="200"/>
      <c r="F329" s="343"/>
      <c r="G329" s="200"/>
      <c r="H329" s="296"/>
    </row>
    <row r="330" spans="1:9" s="260" customFormat="1" ht="12.75" hidden="1" customHeight="1" x14ac:dyDescent="0.2">
      <c r="A330" s="198"/>
      <c r="B330" s="199"/>
      <c r="C330" s="219"/>
      <c r="D330" s="232" t="s">
        <v>288</v>
      </c>
      <c r="E330" s="200"/>
      <c r="F330" s="343"/>
      <c r="G330" s="200"/>
      <c r="H330" s="296"/>
    </row>
    <row r="331" spans="1:9" s="260" customFormat="1" ht="12.75" hidden="1" customHeight="1" x14ac:dyDescent="0.2">
      <c r="A331" s="198"/>
      <c r="B331" s="199"/>
      <c r="C331" s="219"/>
      <c r="D331" s="232" t="s">
        <v>257</v>
      </c>
      <c r="E331" s="200"/>
      <c r="F331" s="343"/>
      <c r="G331" s="200"/>
      <c r="H331" s="259"/>
      <c r="I331" s="333"/>
    </row>
    <row r="332" spans="1:9" s="260" customFormat="1" ht="12.75" hidden="1" customHeight="1" x14ac:dyDescent="0.2">
      <c r="A332" s="198"/>
      <c r="B332" s="199"/>
      <c r="C332" s="219"/>
      <c r="D332" s="232" t="s">
        <v>358</v>
      </c>
      <c r="E332" s="200"/>
      <c r="F332" s="343"/>
      <c r="G332" s="200"/>
      <c r="H332" s="296"/>
      <c r="I332" s="335"/>
    </row>
    <row r="333" spans="1:9" s="260" customFormat="1" ht="12.75" hidden="1" customHeight="1" x14ac:dyDescent="0.2">
      <c r="A333" s="198"/>
      <c r="B333" s="199"/>
      <c r="C333" s="219"/>
      <c r="D333" s="232" t="s">
        <v>345</v>
      </c>
      <c r="E333" s="200"/>
      <c r="F333" s="343"/>
      <c r="G333" s="200"/>
      <c r="H333" s="296"/>
    </row>
    <row r="334" spans="1:9" s="260" customFormat="1" ht="12.75" customHeight="1" x14ac:dyDescent="0.2">
      <c r="A334" s="194">
        <f>A324+1</f>
        <v>36</v>
      </c>
      <c r="B334" s="195">
        <v>4031</v>
      </c>
      <c r="C334" s="261" t="s">
        <v>352</v>
      </c>
      <c r="D334" s="512" t="str">
        <f>$D$12</f>
        <v>FTE August 2025</v>
      </c>
      <c r="E334" s="197">
        <f>'4031'!I$145</f>
        <v>326575.68</v>
      </c>
      <c r="F334" s="344"/>
      <c r="G334" s="197">
        <f>SUBTOTAL(109,E334:F343)</f>
        <v>326575.68</v>
      </c>
      <c r="H334" s="296"/>
    </row>
    <row r="335" spans="1:9" s="260" customFormat="1" ht="12.75" hidden="1" customHeight="1" x14ac:dyDescent="0.2">
      <c r="A335" s="194"/>
      <c r="B335" s="195"/>
      <c r="C335" s="218"/>
      <c r="D335" s="231" t="s">
        <v>537</v>
      </c>
      <c r="E335" s="197"/>
      <c r="F335" s="344"/>
      <c r="G335" s="197"/>
      <c r="H335" s="296"/>
    </row>
    <row r="336" spans="1:9" s="260" customFormat="1" ht="12.75" hidden="1" customHeight="1" x14ac:dyDescent="0.2">
      <c r="A336" s="194"/>
      <c r="B336" s="195"/>
      <c r="C336" s="218"/>
      <c r="D336" s="354" t="s">
        <v>487</v>
      </c>
      <c r="E336" s="197"/>
      <c r="F336" s="344"/>
      <c r="G336" s="197"/>
      <c r="H336" s="296"/>
      <c r="I336" s="195"/>
    </row>
    <row r="337" spans="1:9" s="260" customFormat="1" ht="12.75" hidden="1" customHeight="1" x14ac:dyDescent="0.2">
      <c r="A337" s="194"/>
      <c r="B337" s="195"/>
      <c r="C337" s="218"/>
      <c r="D337" s="354" t="s">
        <v>361</v>
      </c>
      <c r="E337" s="197"/>
      <c r="F337" s="344"/>
      <c r="G337" s="197"/>
      <c r="H337" s="296"/>
      <c r="I337" s="195"/>
    </row>
    <row r="338" spans="1:9" s="260" customFormat="1" ht="12.75" hidden="1" customHeight="1" x14ac:dyDescent="0.2">
      <c r="A338" s="194"/>
      <c r="B338" s="195"/>
      <c r="C338" s="218"/>
      <c r="D338" s="231" t="s">
        <v>280</v>
      </c>
      <c r="E338" s="197"/>
      <c r="F338" s="344"/>
      <c r="G338" s="197"/>
      <c r="H338" s="296"/>
    </row>
    <row r="339" spans="1:9" s="260" customFormat="1" ht="12.75" hidden="1" customHeight="1" x14ac:dyDescent="0.2">
      <c r="A339" s="194"/>
      <c r="B339" s="195"/>
      <c r="C339" s="218"/>
      <c r="D339" s="231" t="s">
        <v>279</v>
      </c>
      <c r="E339" s="197"/>
      <c r="F339" s="344"/>
      <c r="G339" s="197"/>
      <c r="H339" s="296"/>
    </row>
    <row r="340" spans="1:9" s="260" customFormat="1" ht="12.75" hidden="1" customHeight="1" x14ac:dyDescent="0.2">
      <c r="A340" s="194"/>
      <c r="B340" s="195"/>
      <c r="C340" s="218"/>
      <c r="D340" s="231" t="s">
        <v>288</v>
      </c>
      <c r="E340" s="197"/>
      <c r="F340" s="344"/>
      <c r="G340" s="197"/>
      <c r="H340" s="296"/>
    </row>
    <row r="341" spans="1:9" s="260" customFormat="1" ht="12.75" hidden="1" customHeight="1" x14ac:dyDescent="0.2">
      <c r="A341" s="194"/>
      <c r="B341" s="195"/>
      <c r="C341" s="218"/>
      <c r="D341" s="231" t="s">
        <v>257</v>
      </c>
      <c r="E341" s="197"/>
      <c r="F341" s="344"/>
      <c r="G341" s="197"/>
      <c r="H341" s="296"/>
    </row>
    <row r="342" spans="1:9" s="260" customFormat="1" ht="12.75" hidden="1" customHeight="1" x14ac:dyDescent="0.2">
      <c r="A342" s="194"/>
      <c r="B342" s="195"/>
      <c r="C342" s="218"/>
      <c r="D342" s="231" t="s">
        <v>358</v>
      </c>
      <c r="E342" s="197"/>
      <c r="F342" s="344"/>
      <c r="G342" s="197"/>
      <c r="H342" s="296"/>
      <c r="I342" s="335"/>
    </row>
    <row r="343" spans="1:9" s="260" customFormat="1" ht="12.75" hidden="1" customHeight="1" x14ac:dyDescent="0.2">
      <c r="A343" s="194"/>
      <c r="B343" s="195"/>
      <c r="C343" s="218"/>
      <c r="D343" s="276" t="s">
        <v>345</v>
      </c>
      <c r="E343" s="197"/>
      <c r="F343" s="344"/>
      <c r="G343" s="197"/>
      <c r="H343" s="296"/>
    </row>
    <row r="344" spans="1:9" s="260" customFormat="1" ht="12.75" customHeight="1" x14ac:dyDescent="0.2">
      <c r="A344" s="198">
        <f>A334+1</f>
        <v>37</v>
      </c>
      <c r="B344" s="199">
        <v>4041</v>
      </c>
      <c r="C344" s="219" t="s">
        <v>225</v>
      </c>
      <c r="D344" s="277" t="str">
        <f>$D$12</f>
        <v>FTE August 2025</v>
      </c>
      <c r="E344" s="200">
        <f>'4041'!I$145</f>
        <v>64770.19</v>
      </c>
      <c r="F344" s="343"/>
      <c r="G344" s="200">
        <f>SUBTOTAL(109,E344:F354)</f>
        <v>64770.19</v>
      </c>
      <c r="H344" s="296"/>
    </row>
    <row r="345" spans="1:9" s="260" customFormat="1" ht="12.75" hidden="1" customHeight="1" x14ac:dyDescent="0.2">
      <c r="A345" s="198"/>
      <c r="B345" s="199"/>
      <c r="C345" s="219"/>
      <c r="D345" s="232" t="s">
        <v>278</v>
      </c>
      <c r="E345" s="200"/>
      <c r="F345" s="343"/>
      <c r="G345" s="200"/>
      <c r="H345" s="296"/>
    </row>
    <row r="346" spans="1:9" s="260" customFormat="1" ht="12.75" hidden="1" customHeight="1" x14ac:dyDescent="0.2">
      <c r="A346" s="198"/>
      <c r="B346" s="199"/>
      <c r="C346" s="219"/>
      <c r="D346" s="391" t="s">
        <v>487</v>
      </c>
      <c r="E346" s="200"/>
      <c r="F346" s="343"/>
      <c r="G346" s="200"/>
      <c r="H346" s="296"/>
      <c r="I346" s="195"/>
    </row>
    <row r="347" spans="1:9" s="260" customFormat="1" ht="12.75" hidden="1" customHeight="1" x14ac:dyDescent="0.2">
      <c r="A347" s="198"/>
      <c r="B347" s="199"/>
      <c r="C347" s="219"/>
      <c r="D347" s="391" t="s">
        <v>361</v>
      </c>
      <c r="E347" s="200"/>
      <c r="F347" s="343"/>
      <c r="G347" s="200"/>
      <c r="H347" s="296"/>
      <c r="I347" s="195"/>
    </row>
    <row r="348" spans="1:9" s="260" customFormat="1" ht="12.75" hidden="1" customHeight="1" x14ac:dyDescent="0.2">
      <c r="A348" s="198"/>
      <c r="B348" s="199"/>
      <c r="C348" s="219"/>
      <c r="D348" s="232" t="s">
        <v>280</v>
      </c>
      <c r="E348" s="200"/>
      <c r="F348" s="343"/>
      <c r="G348" s="200"/>
      <c r="H348" s="296"/>
    </row>
    <row r="349" spans="1:9" s="260" customFormat="1" ht="12.75" hidden="1" customHeight="1" x14ac:dyDescent="0.2">
      <c r="A349" s="198"/>
      <c r="B349" s="199"/>
      <c r="C349" s="219"/>
      <c r="D349" s="232" t="s">
        <v>279</v>
      </c>
      <c r="E349" s="200"/>
      <c r="F349" s="343"/>
      <c r="G349" s="200"/>
      <c r="H349" s="296"/>
    </row>
    <row r="350" spans="1:9" s="260" customFormat="1" ht="12.75" hidden="1" customHeight="1" x14ac:dyDescent="0.2">
      <c r="A350" s="198"/>
      <c r="B350" s="199"/>
      <c r="C350" s="219"/>
      <c r="D350" s="232" t="s">
        <v>288</v>
      </c>
      <c r="E350" s="200"/>
      <c r="F350" s="343"/>
      <c r="G350" s="200"/>
      <c r="H350" s="296"/>
      <c r="I350" s="195"/>
    </row>
    <row r="351" spans="1:9" s="260" customFormat="1" ht="12.75" hidden="1" customHeight="1" x14ac:dyDescent="0.2">
      <c r="A351" s="198"/>
      <c r="B351" s="199"/>
      <c r="C351" s="219"/>
      <c r="D351" s="232" t="s">
        <v>257</v>
      </c>
      <c r="E351" s="200"/>
      <c r="F351" s="343"/>
      <c r="G351" s="200"/>
      <c r="H351" s="296"/>
      <c r="I351" s="333"/>
    </row>
    <row r="352" spans="1:9" s="260" customFormat="1" ht="12.75" hidden="1" customHeight="1" x14ac:dyDescent="0.2">
      <c r="A352" s="198"/>
      <c r="B352" s="199"/>
      <c r="C352" s="219"/>
      <c r="D352" s="232" t="s">
        <v>302</v>
      </c>
      <c r="E352" s="200"/>
      <c r="F352" s="343"/>
      <c r="G352" s="200"/>
      <c r="H352" s="296"/>
      <c r="I352" s="335"/>
    </row>
    <row r="353" spans="1:9" s="260" customFormat="1" ht="12.75" hidden="1" customHeight="1" x14ac:dyDescent="0.2">
      <c r="A353" s="198"/>
      <c r="B353" s="199"/>
      <c r="C353" s="219"/>
      <c r="D353" s="232" t="s">
        <v>358</v>
      </c>
      <c r="E353" s="200"/>
      <c r="F353" s="343"/>
      <c r="G353" s="200"/>
      <c r="H353" s="296"/>
    </row>
    <row r="354" spans="1:9" s="260" customFormat="1" ht="12.75" hidden="1" customHeight="1" x14ac:dyDescent="0.2">
      <c r="A354" s="198"/>
      <c r="B354" s="199"/>
      <c r="C354" s="219"/>
      <c r="D354" s="232" t="s">
        <v>345</v>
      </c>
      <c r="E354" s="200"/>
      <c r="F354" s="343"/>
      <c r="G354" s="200"/>
      <c r="H354" s="296"/>
    </row>
    <row r="355" spans="1:9" s="260" customFormat="1" ht="12.75" customHeight="1" x14ac:dyDescent="0.2">
      <c r="A355" s="194">
        <f>A344+1</f>
        <v>38</v>
      </c>
      <c r="B355" s="263">
        <v>4050</v>
      </c>
      <c r="C355" s="264" t="s">
        <v>216</v>
      </c>
      <c r="D355" s="512" t="str">
        <f>$D$12</f>
        <v>FTE August 2025</v>
      </c>
      <c r="E355" s="197">
        <f>'4050'!I$145</f>
        <v>519597.92</v>
      </c>
      <c r="F355" s="344"/>
      <c r="G355" s="197">
        <f>SUBTOTAL(109,E355:F361)</f>
        <v>519597.92</v>
      </c>
      <c r="H355" s="296"/>
    </row>
    <row r="356" spans="1:9" s="260" customFormat="1" ht="12.75" hidden="1" customHeight="1" x14ac:dyDescent="0.2">
      <c r="A356" s="194"/>
      <c r="B356" s="263"/>
      <c r="C356" s="264"/>
      <c r="D356" s="231" t="s">
        <v>537</v>
      </c>
      <c r="E356" s="197"/>
      <c r="F356" s="344"/>
      <c r="G356" s="197"/>
      <c r="H356" s="296"/>
      <c r="I356" s="195"/>
    </row>
    <row r="357" spans="1:9" s="260" customFormat="1" ht="12.75" hidden="1" customHeight="1" x14ac:dyDescent="0.2">
      <c r="A357" s="194"/>
      <c r="B357" s="263"/>
      <c r="C357" s="264"/>
      <c r="D357" s="231" t="s">
        <v>487</v>
      </c>
      <c r="E357" s="197"/>
      <c r="F357" s="344"/>
      <c r="G357" s="197"/>
      <c r="H357" s="296"/>
      <c r="I357" s="195"/>
    </row>
    <row r="358" spans="1:9" s="260" customFormat="1" ht="12.75" hidden="1" customHeight="1" x14ac:dyDescent="0.2">
      <c r="A358" s="194"/>
      <c r="B358" s="195"/>
      <c r="C358" s="218"/>
      <c r="D358" s="231" t="s">
        <v>279</v>
      </c>
      <c r="E358" s="197"/>
      <c r="F358" s="344"/>
      <c r="G358" s="197"/>
      <c r="H358" s="296"/>
    </row>
    <row r="359" spans="1:9" s="260" customFormat="1" ht="12.75" hidden="1" customHeight="1" x14ac:dyDescent="0.2">
      <c r="A359" s="194"/>
      <c r="B359" s="195"/>
      <c r="C359" s="218"/>
      <c r="D359" s="231" t="s">
        <v>288</v>
      </c>
      <c r="E359" s="197"/>
      <c r="F359" s="344"/>
      <c r="G359" s="197"/>
      <c r="H359" s="296"/>
    </row>
    <row r="360" spans="1:9" s="260" customFormat="1" ht="12.75" hidden="1" customHeight="1" x14ac:dyDescent="0.2">
      <c r="A360" s="194"/>
      <c r="B360" s="195"/>
      <c r="C360" s="218"/>
      <c r="D360" s="231" t="s">
        <v>257</v>
      </c>
      <c r="E360" s="197"/>
      <c r="F360" s="344"/>
      <c r="G360" s="197"/>
      <c r="H360" s="296"/>
    </row>
    <row r="361" spans="1:9" s="260" customFormat="1" ht="12.75" hidden="1" customHeight="1" x14ac:dyDescent="0.2">
      <c r="A361" s="194"/>
      <c r="B361" s="195"/>
      <c r="C361" s="218"/>
      <c r="D361" s="276" t="s">
        <v>345</v>
      </c>
      <c r="E361" s="197"/>
      <c r="F361" s="344"/>
      <c r="G361" s="197"/>
      <c r="H361" s="296"/>
    </row>
    <row r="362" spans="1:9" s="260" customFormat="1" ht="12.75" customHeight="1" x14ac:dyDescent="0.2">
      <c r="A362" s="198">
        <f>A355+1</f>
        <v>39</v>
      </c>
      <c r="B362" s="199">
        <v>4051</v>
      </c>
      <c r="C362" s="219" t="s">
        <v>214</v>
      </c>
      <c r="D362" s="277" t="str">
        <f>$D$12</f>
        <v>FTE August 2025</v>
      </c>
      <c r="E362" s="200">
        <f>'4051'!I$145</f>
        <v>548429.27</v>
      </c>
      <c r="F362" s="343"/>
      <c r="G362" s="200">
        <f>SUBTOTAL(109,E362:F370)</f>
        <v>548429.27</v>
      </c>
      <c r="H362" s="296"/>
    </row>
    <row r="363" spans="1:9" s="260" customFormat="1" ht="12.75" hidden="1" customHeight="1" x14ac:dyDescent="0.2">
      <c r="A363" s="198"/>
      <c r="B363" s="199"/>
      <c r="C363" s="219"/>
      <c r="D363" s="232" t="s">
        <v>278</v>
      </c>
      <c r="E363" s="200"/>
      <c r="F363" s="343"/>
      <c r="G363" s="200"/>
      <c r="H363" s="296"/>
      <c r="I363" s="335"/>
    </row>
    <row r="364" spans="1:9" s="260" customFormat="1" ht="12.75" hidden="1" customHeight="1" x14ac:dyDescent="0.2">
      <c r="A364" s="198"/>
      <c r="B364" s="199"/>
      <c r="C364" s="219"/>
      <c r="D364" s="232" t="s">
        <v>487</v>
      </c>
      <c r="E364" s="200"/>
      <c r="F364" s="343"/>
      <c r="G364" s="200"/>
      <c r="H364" s="296"/>
    </row>
    <row r="365" spans="1:9" s="260" customFormat="1" ht="12.75" hidden="1" customHeight="1" x14ac:dyDescent="0.2">
      <c r="A365" s="198"/>
      <c r="B365" s="199"/>
      <c r="C365" s="219"/>
      <c r="D365" s="232" t="s">
        <v>279</v>
      </c>
      <c r="E365" s="200"/>
      <c r="F365" s="343"/>
      <c r="G365" s="200"/>
      <c r="H365" s="296"/>
    </row>
    <row r="366" spans="1:9" s="260" customFormat="1" ht="12.75" hidden="1" customHeight="1" x14ac:dyDescent="0.2">
      <c r="A366" s="198"/>
      <c r="B366" s="199"/>
      <c r="C366" s="219"/>
      <c r="D366" s="232" t="s">
        <v>288</v>
      </c>
      <c r="E366" s="200"/>
      <c r="F366" s="343"/>
      <c r="G366" s="200"/>
      <c r="H366" s="296"/>
    </row>
    <row r="367" spans="1:9" s="260" customFormat="1" ht="12.75" hidden="1" customHeight="1" x14ac:dyDescent="0.2">
      <c r="A367" s="198"/>
      <c r="B367" s="199"/>
      <c r="C367" s="219"/>
      <c r="D367" s="232" t="s">
        <v>257</v>
      </c>
      <c r="E367" s="200"/>
      <c r="F367" s="343"/>
      <c r="G367" s="200"/>
      <c r="H367" s="296"/>
    </row>
    <row r="368" spans="1:9" s="260" customFormat="1" ht="12.75" hidden="1" customHeight="1" x14ac:dyDescent="0.2">
      <c r="A368" s="198"/>
      <c r="B368" s="199"/>
      <c r="C368" s="219"/>
      <c r="D368" s="232" t="s">
        <v>302</v>
      </c>
      <c r="E368" s="200"/>
      <c r="F368" s="343"/>
      <c r="G368" s="200"/>
      <c r="H368" s="296"/>
    </row>
    <row r="369" spans="1:9" s="260" customFormat="1" ht="12.75" hidden="1" customHeight="1" x14ac:dyDescent="0.2">
      <c r="A369" s="198"/>
      <c r="B369" s="199"/>
      <c r="C369" s="219"/>
      <c r="D369" s="232" t="s">
        <v>357</v>
      </c>
      <c r="E369" s="200"/>
      <c r="F369" s="343"/>
      <c r="G369" s="200"/>
      <c r="H369" s="296"/>
    </row>
    <row r="370" spans="1:9" s="260" customFormat="1" ht="12.75" hidden="1" customHeight="1" x14ac:dyDescent="0.2">
      <c r="A370" s="198"/>
      <c r="B370" s="199"/>
      <c r="C370" s="219"/>
      <c r="D370" s="232"/>
      <c r="E370" s="200"/>
      <c r="F370" s="343"/>
      <c r="G370" s="200"/>
      <c r="H370" s="296"/>
      <c r="I370" s="333"/>
    </row>
    <row r="371" spans="1:9" s="260" customFormat="1" ht="12.75" customHeight="1" x14ac:dyDescent="0.2">
      <c r="A371" s="194">
        <f>A362+1</f>
        <v>40</v>
      </c>
      <c r="B371" s="263">
        <v>4061</v>
      </c>
      <c r="C371" s="265" t="s">
        <v>349</v>
      </c>
      <c r="D371" s="512" t="str">
        <f>$D$12</f>
        <v>FTE August 2025</v>
      </c>
      <c r="E371" s="197">
        <f>'4061'!I$145</f>
        <v>697323.13</v>
      </c>
      <c r="F371" s="344"/>
      <c r="G371" s="197">
        <f>SUBTOTAL(109,E371:F379)</f>
        <v>697323.13</v>
      </c>
      <c r="H371" s="296"/>
    </row>
    <row r="372" spans="1:9" s="260" customFormat="1" ht="12.75" hidden="1" customHeight="1" x14ac:dyDescent="0.2">
      <c r="A372" s="194"/>
      <c r="B372" s="263"/>
      <c r="C372" s="264"/>
      <c r="D372" s="231" t="s">
        <v>537</v>
      </c>
      <c r="E372" s="197"/>
      <c r="F372" s="344"/>
      <c r="G372" s="197"/>
      <c r="H372" s="296"/>
    </row>
    <row r="373" spans="1:9" s="260" customFormat="1" ht="12.75" hidden="1" customHeight="1" x14ac:dyDescent="0.2">
      <c r="A373" s="194"/>
      <c r="B373" s="195"/>
      <c r="C373" s="218"/>
      <c r="D373" s="354" t="s">
        <v>487</v>
      </c>
      <c r="E373" s="197"/>
      <c r="F373" s="344"/>
      <c r="G373" s="197"/>
      <c r="H373" s="296"/>
    </row>
    <row r="374" spans="1:9" s="260" customFormat="1" ht="12.75" hidden="1" customHeight="1" x14ac:dyDescent="0.2">
      <c r="A374" s="194"/>
      <c r="B374" s="263"/>
      <c r="C374" s="264"/>
      <c r="D374" s="231" t="s">
        <v>278</v>
      </c>
      <c r="E374" s="197"/>
      <c r="F374" s="344"/>
      <c r="G374" s="197"/>
      <c r="H374" s="296"/>
    </row>
    <row r="375" spans="1:9" s="260" customFormat="1" ht="12.75" hidden="1" customHeight="1" x14ac:dyDescent="0.2">
      <c r="A375" s="194"/>
      <c r="B375" s="263"/>
      <c r="C375" s="264"/>
      <c r="D375" s="231" t="s">
        <v>280</v>
      </c>
      <c r="E375" s="197"/>
      <c r="F375" s="344"/>
      <c r="G375" s="197"/>
      <c r="H375" s="296"/>
    </row>
    <row r="376" spans="1:9" s="260" customFormat="1" ht="12.75" hidden="1" customHeight="1" x14ac:dyDescent="0.2">
      <c r="A376" s="194"/>
      <c r="B376" s="195"/>
      <c r="C376" s="218"/>
      <c r="D376" s="231" t="s">
        <v>279</v>
      </c>
      <c r="E376" s="197"/>
      <c r="F376" s="344"/>
      <c r="G376" s="197"/>
      <c r="H376" s="296"/>
    </row>
    <row r="377" spans="1:9" s="260" customFormat="1" ht="12.75" hidden="1" customHeight="1" x14ac:dyDescent="0.2">
      <c r="A377" s="194"/>
      <c r="B377" s="195"/>
      <c r="C377" s="218"/>
      <c r="D377" s="231" t="s">
        <v>288</v>
      </c>
      <c r="E377" s="197"/>
      <c r="F377" s="344"/>
      <c r="G377" s="197"/>
      <c r="H377" s="296"/>
    </row>
    <row r="378" spans="1:9" s="260" customFormat="1" ht="12.75" hidden="1" customHeight="1" x14ac:dyDescent="0.2">
      <c r="A378" s="194"/>
      <c r="B378" s="195"/>
      <c r="C378" s="218"/>
      <c r="D378" s="231" t="s">
        <v>257</v>
      </c>
      <c r="E378" s="197"/>
      <c r="F378" s="344"/>
      <c r="G378" s="197"/>
      <c r="H378" s="296"/>
    </row>
    <row r="379" spans="1:9" s="260" customFormat="1" ht="12.75" hidden="1" customHeight="1" x14ac:dyDescent="0.2">
      <c r="A379" s="194"/>
      <c r="B379" s="195"/>
      <c r="C379" s="218"/>
      <c r="D379" s="455" t="s">
        <v>450</v>
      </c>
      <c r="E379" s="454"/>
      <c r="F379" s="344"/>
      <c r="G379" s="197"/>
      <c r="H379" s="296"/>
      <c r="I379" s="335"/>
    </row>
    <row r="380" spans="1:9" s="260" customFormat="1" ht="12.75" customHeight="1" x14ac:dyDescent="0.2">
      <c r="A380" s="198">
        <f>A371+1</f>
        <v>41</v>
      </c>
      <c r="B380" s="199">
        <v>4080</v>
      </c>
      <c r="C380" s="219" t="s">
        <v>237</v>
      </c>
      <c r="D380" s="277" t="str">
        <f>$D$12</f>
        <v>FTE August 2025</v>
      </c>
      <c r="E380" s="200">
        <f>'4080'!I$145</f>
        <v>0</v>
      </c>
      <c r="F380" s="343"/>
      <c r="G380" s="200">
        <f>SUBTOTAL(109,E380:F386)</f>
        <v>0</v>
      </c>
      <c r="H380" s="296"/>
      <c r="I380" s="740" t="s">
        <v>550</v>
      </c>
    </row>
    <row r="381" spans="1:9" s="260" customFormat="1" ht="12.75" hidden="1" customHeight="1" x14ac:dyDescent="0.2">
      <c r="A381" s="198"/>
      <c r="B381" s="199"/>
      <c r="C381" s="219"/>
      <c r="D381" s="232" t="s">
        <v>278</v>
      </c>
      <c r="E381" s="200"/>
      <c r="F381" s="343"/>
      <c r="G381" s="200"/>
      <c r="H381" s="296"/>
    </row>
    <row r="382" spans="1:9" s="260" customFormat="1" ht="12.75" hidden="1" customHeight="1" x14ac:dyDescent="0.2">
      <c r="A382" s="198"/>
      <c r="B382" s="199"/>
      <c r="C382" s="219"/>
      <c r="D382" s="232" t="s">
        <v>487</v>
      </c>
      <c r="E382" s="200"/>
      <c r="F382" s="343"/>
      <c r="G382" s="200"/>
      <c r="H382" s="296"/>
    </row>
    <row r="383" spans="1:9" s="260" customFormat="1" ht="12.75" hidden="1" customHeight="1" x14ac:dyDescent="0.2">
      <c r="A383" s="198"/>
      <c r="B383" s="199"/>
      <c r="C383" s="219"/>
      <c r="D383" s="232" t="s">
        <v>279</v>
      </c>
      <c r="E383" s="200"/>
      <c r="F383" s="343"/>
      <c r="G383" s="200"/>
      <c r="H383" s="296"/>
      <c r="I383" s="195"/>
    </row>
    <row r="384" spans="1:9" s="260" customFormat="1" ht="12.75" hidden="1" customHeight="1" x14ac:dyDescent="0.2">
      <c r="A384" s="198"/>
      <c r="B384" s="199"/>
      <c r="C384" s="219"/>
      <c r="D384" s="232" t="s">
        <v>288</v>
      </c>
      <c r="E384" s="200"/>
      <c r="F384" s="343"/>
      <c r="G384" s="200"/>
      <c r="H384" s="296"/>
    </row>
    <row r="385" spans="1:12" s="260" customFormat="1" ht="12.75" hidden="1" customHeight="1" x14ac:dyDescent="0.2">
      <c r="A385" s="198"/>
      <c r="B385" s="199"/>
      <c r="C385" s="219"/>
      <c r="D385" s="232" t="s">
        <v>257</v>
      </c>
      <c r="E385" s="200"/>
      <c r="F385" s="343"/>
      <c r="G385" s="200"/>
      <c r="H385" s="296"/>
    </row>
    <row r="386" spans="1:12" s="260" customFormat="1" ht="12.75" hidden="1" customHeight="1" x14ac:dyDescent="0.2">
      <c r="A386" s="198"/>
      <c r="B386" s="199"/>
      <c r="C386" s="219"/>
      <c r="D386" s="232" t="s">
        <v>345</v>
      </c>
      <c r="E386" s="200"/>
      <c r="F386" s="343"/>
      <c r="G386" s="200"/>
      <c r="H386" s="296"/>
      <c r="I386" s="195"/>
    </row>
    <row r="387" spans="1:12" s="260" customFormat="1" ht="12.75" customHeight="1" x14ac:dyDescent="0.2">
      <c r="A387" s="194">
        <f>1+A380</f>
        <v>42</v>
      </c>
      <c r="B387" s="263">
        <v>4081</v>
      </c>
      <c r="C387" s="265" t="s">
        <v>234</v>
      </c>
      <c r="D387" s="512" t="str">
        <f>$D$12</f>
        <v>FTE August 2025</v>
      </c>
      <c r="E387" s="197">
        <f>'4081'!I$145</f>
        <v>84667.61</v>
      </c>
      <c r="F387" s="344"/>
      <c r="G387" s="197">
        <f>SUBTOTAL(109,E387:F395)</f>
        <v>84667.61</v>
      </c>
      <c r="H387" s="296"/>
    </row>
    <row r="388" spans="1:12" s="260" customFormat="1" ht="12.75" hidden="1" customHeight="1" x14ac:dyDescent="0.2">
      <c r="A388" s="194"/>
      <c r="B388" s="263"/>
      <c r="C388" s="265"/>
      <c r="D388" s="231" t="s">
        <v>537</v>
      </c>
      <c r="E388" s="197"/>
      <c r="F388" s="344"/>
      <c r="G388" s="197"/>
      <c r="H388" s="296"/>
      <c r="I388" s="333"/>
    </row>
    <row r="389" spans="1:12" s="260" customFormat="1" ht="12.75" hidden="1" customHeight="1" x14ac:dyDescent="0.2">
      <c r="A389" s="194"/>
      <c r="B389" s="195"/>
      <c r="C389" s="218"/>
      <c r="D389" s="354" t="s">
        <v>487</v>
      </c>
      <c r="E389" s="197"/>
      <c r="F389" s="344"/>
      <c r="G389" s="197"/>
      <c r="H389" s="296"/>
      <c r="I389" s="333"/>
    </row>
    <row r="390" spans="1:12" s="260" customFormat="1" ht="12.75" hidden="1" customHeight="1" x14ac:dyDescent="0.2">
      <c r="A390" s="194"/>
      <c r="B390" s="263"/>
      <c r="C390" s="265"/>
      <c r="D390" s="231" t="s">
        <v>280</v>
      </c>
      <c r="E390" s="197"/>
      <c r="F390" s="344"/>
      <c r="G390" s="197"/>
      <c r="H390" s="296"/>
    </row>
    <row r="391" spans="1:12" s="260" customFormat="1" ht="12.75" hidden="1" customHeight="1" x14ac:dyDescent="0.2">
      <c r="A391" s="194"/>
      <c r="B391" s="263"/>
      <c r="C391" s="265"/>
      <c r="D391" s="231" t="s">
        <v>279</v>
      </c>
      <c r="E391" s="197"/>
      <c r="F391" s="344"/>
      <c r="G391" s="197"/>
      <c r="H391" s="296"/>
    </row>
    <row r="392" spans="1:12" s="260" customFormat="1" ht="12.75" hidden="1" customHeight="1" x14ac:dyDescent="0.2">
      <c r="A392" s="194"/>
      <c r="B392" s="263"/>
      <c r="C392" s="265"/>
      <c r="D392" s="231" t="s">
        <v>288</v>
      </c>
      <c r="E392" s="197"/>
      <c r="F392" s="344"/>
      <c r="G392" s="197"/>
      <c r="H392" s="296"/>
    </row>
    <row r="393" spans="1:12" s="260" customFormat="1" ht="12.75" hidden="1" customHeight="1" x14ac:dyDescent="0.2">
      <c r="A393" s="194"/>
      <c r="B393" s="195"/>
      <c r="C393" s="218"/>
      <c r="D393" s="231" t="s">
        <v>257</v>
      </c>
      <c r="E393" s="197"/>
      <c r="F393" s="344"/>
      <c r="G393" s="197"/>
      <c r="H393" s="296"/>
    </row>
    <row r="394" spans="1:12" s="260" customFormat="1" ht="12.75" hidden="1" customHeight="1" x14ac:dyDescent="0.2">
      <c r="A394" s="194"/>
      <c r="B394" s="195"/>
      <c r="C394" s="218"/>
      <c r="D394" s="231" t="s">
        <v>358</v>
      </c>
      <c r="E394" s="197"/>
      <c r="F394" s="344"/>
      <c r="G394" s="197"/>
      <c r="H394" s="296"/>
    </row>
    <row r="395" spans="1:12" s="260" customFormat="1" ht="12.75" hidden="1" customHeight="1" x14ac:dyDescent="0.2">
      <c r="A395" s="194"/>
      <c r="B395" s="195"/>
      <c r="C395" s="218"/>
      <c r="D395" s="276" t="s">
        <v>345</v>
      </c>
      <c r="E395" s="197"/>
      <c r="F395" s="344"/>
      <c r="G395" s="197"/>
      <c r="H395" s="296"/>
    </row>
    <row r="396" spans="1:12" s="260" customFormat="1" ht="12.75" customHeight="1" x14ac:dyDescent="0.2">
      <c r="A396" s="198">
        <f>1+A387</f>
        <v>43</v>
      </c>
      <c r="B396" s="199">
        <v>4090</v>
      </c>
      <c r="C396" s="219" t="s">
        <v>274</v>
      </c>
      <c r="D396" s="277" t="str">
        <f>$D$12</f>
        <v>FTE August 2025</v>
      </c>
      <c r="E396" s="200">
        <f>'4090'!I$145</f>
        <v>185341.43</v>
      </c>
      <c r="F396" s="343"/>
      <c r="G396" s="200">
        <f>SUBTOTAL(109,E396:F405)</f>
        <v>185341.43</v>
      </c>
      <c r="H396" s="296"/>
    </row>
    <row r="397" spans="1:12" s="260" customFormat="1" ht="12.75" hidden="1" customHeight="1" x14ac:dyDescent="0.2">
      <c r="A397" s="198"/>
      <c r="B397" s="199"/>
      <c r="C397" s="219"/>
      <c r="D397" s="232" t="s">
        <v>278</v>
      </c>
      <c r="E397" s="200"/>
      <c r="F397" s="343"/>
      <c r="G397" s="200"/>
      <c r="H397" s="296"/>
      <c r="L397" s="334"/>
    </row>
    <row r="398" spans="1:12" s="260" customFormat="1" ht="12.75" hidden="1" customHeight="1" x14ac:dyDescent="0.2">
      <c r="A398" s="198"/>
      <c r="B398" s="199"/>
      <c r="C398" s="219"/>
      <c r="D398" s="391" t="s">
        <v>362</v>
      </c>
      <c r="E398" s="200"/>
      <c r="F398" s="343"/>
      <c r="G398" s="200"/>
      <c r="H398" s="296"/>
    </row>
    <row r="399" spans="1:12" s="260" customFormat="1" ht="12.75" hidden="1" customHeight="1" x14ac:dyDescent="0.2">
      <c r="A399" s="198"/>
      <c r="B399" s="199"/>
      <c r="C399" s="219"/>
      <c r="D399" s="391" t="s">
        <v>361</v>
      </c>
      <c r="E399" s="200"/>
      <c r="F399" s="343"/>
      <c r="G399" s="200"/>
      <c r="H399" s="296"/>
      <c r="I399" s="195"/>
    </row>
    <row r="400" spans="1:12" s="260" customFormat="1" ht="12.75" hidden="1" customHeight="1" x14ac:dyDescent="0.2">
      <c r="A400" s="198"/>
      <c r="B400" s="199"/>
      <c r="C400" s="219"/>
      <c r="D400" s="232" t="s">
        <v>280</v>
      </c>
      <c r="E400" s="200"/>
      <c r="F400" s="343"/>
      <c r="G400" s="200"/>
      <c r="H400" s="296"/>
    </row>
    <row r="401" spans="1:13" s="260" customFormat="1" ht="12.75" hidden="1" customHeight="1" x14ac:dyDescent="0.2">
      <c r="A401" s="198"/>
      <c r="B401" s="199"/>
      <c r="C401" s="219"/>
      <c r="D401" s="232" t="s">
        <v>279</v>
      </c>
      <c r="E401" s="200"/>
      <c r="F401" s="343"/>
      <c r="G401" s="200"/>
      <c r="H401" s="296"/>
    </row>
    <row r="402" spans="1:13" s="260" customFormat="1" ht="12.75" hidden="1" customHeight="1" x14ac:dyDescent="0.2">
      <c r="A402" s="198"/>
      <c r="B402" s="199"/>
      <c r="C402" s="219"/>
      <c r="D402" s="232" t="s">
        <v>288</v>
      </c>
      <c r="E402" s="200"/>
      <c r="F402" s="343"/>
      <c r="G402" s="200"/>
      <c r="H402" s="296"/>
    </row>
    <row r="403" spans="1:13" s="260" customFormat="1" ht="12.75" hidden="1" customHeight="1" x14ac:dyDescent="0.2">
      <c r="A403" s="198"/>
      <c r="B403" s="199"/>
      <c r="C403" s="219"/>
      <c r="D403" s="232" t="s">
        <v>257</v>
      </c>
      <c r="E403" s="200"/>
      <c r="F403" s="343"/>
      <c r="G403" s="200"/>
      <c r="H403" s="296"/>
      <c r="I403" s="333"/>
    </row>
    <row r="404" spans="1:13" s="260" customFormat="1" ht="12.75" hidden="1" customHeight="1" x14ac:dyDescent="0.2">
      <c r="A404" s="198"/>
      <c r="B404" s="199"/>
      <c r="C404" s="219"/>
      <c r="D404" s="232" t="s">
        <v>358</v>
      </c>
      <c r="E404" s="200"/>
      <c r="F404" s="343"/>
      <c r="G404" s="200"/>
      <c r="H404" s="296"/>
      <c r="I404" s="335"/>
    </row>
    <row r="405" spans="1:13" s="260" customFormat="1" ht="12.75" hidden="1" customHeight="1" x14ac:dyDescent="0.2">
      <c r="A405" s="198"/>
      <c r="B405" s="199"/>
      <c r="C405" s="219"/>
      <c r="D405" s="232" t="s">
        <v>540</v>
      </c>
      <c r="E405" s="200"/>
      <c r="F405" s="343"/>
      <c r="G405" s="200"/>
      <c r="H405" s="296"/>
      <c r="I405" s="333"/>
    </row>
    <row r="406" spans="1:13" s="260" customFormat="1" ht="12.75" customHeight="1" x14ac:dyDescent="0.2">
      <c r="A406" s="194">
        <f>1+A396</f>
        <v>44</v>
      </c>
      <c r="B406" s="263">
        <v>4091</v>
      </c>
      <c r="C406" s="265" t="s">
        <v>275</v>
      </c>
      <c r="D406" s="512" t="str">
        <f>$D$12</f>
        <v>FTE August 2025</v>
      </c>
      <c r="E406" s="197">
        <f>'4091'!I$145</f>
        <v>288895.8</v>
      </c>
      <c r="F406" s="344"/>
      <c r="G406" s="197">
        <f>SUBTOTAL(109,E406:F415)</f>
        <v>288895.8</v>
      </c>
      <c r="H406" s="296"/>
      <c r="L406" s="334"/>
    </row>
    <row r="407" spans="1:13" s="260" customFormat="1" ht="12.75" hidden="1" customHeight="1" x14ac:dyDescent="0.2">
      <c r="A407" s="194"/>
      <c r="B407" s="263"/>
      <c r="C407" s="265"/>
      <c r="D407" s="231" t="s">
        <v>537</v>
      </c>
      <c r="E407" s="197"/>
      <c r="F407" s="344"/>
      <c r="G407" s="197"/>
      <c r="H407" s="296"/>
    </row>
    <row r="408" spans="1:13" s="260" customFormat="1" ht="12.75" hidden="1" customHeight="1" x14ac:dyDescent="0.2">
      <c r="A408" s="194"/>
      <c r="B408" s="195"/>
      <c r="C408" s="218"/>
      <c r="D408" s="354" t="s">
        <v>487</v>
      </c>
      <c r="E408" s="197"/>
      <c r="F408" s="344"/>
      <c r="G408" s="197"/>
      <c r="H408" s="296"/>
      <c r="I408" s="195"/>
    </row>
    <row r="409" spans="1:13" s="260" customFormat="1" ht="12.75" hidden="1" customHeight="1" x14ac:dyDescent="0.2">
      <c r="A409" s="194"/>
      <c r="B409" s="263"/>
      <c r="C409" s="265"/>
      <c r="D409" s="231" t="s">
        <v>280</v>
      </c>
      <c r="E409" s="197"/>
      <c r="F409" s="344"/>
      <c r="G409" s="197"/>
      <c r="H409" s="296"/>
      <c r="I409" s="195"/>
    </row>
    <row r="410" spans="1:13" s="260" customFormat="1" ht="12.75" hidden="1" customHeight="1" x14ac:dyDescent="0.2">
      <c r="A410" s="194"/>
      <c r="B410" s="263"/>
      <c r="C410" s="265"/>
      <c r="D410" s="231" t="s">
        <v>279</v>
      </c>
      <c r="E410" s="197"/>
      <c r="F410" s="344"/>
      <c r="G410" s="197"/>
      <c r="H410" s="296"/>
    </row>
    <row r="411" spans="1:13" s="260" customFormat="1" ht="12.75" hidden="1" customHeight="1" x14ac:dyDescent="0.2">
      <c r="A411" s="194"/>
      <c r="B411" s="263"/>
      <c r="C411" s="265"/>
      <c r="D411" s="231" t="s">
        <v>288</v>
      </c>
      <c r="E411" s="197"/>
      <c r="F411" s="344"/>
      <c r="G411" s="197"/>
      <c r="H411" s="296"/>
    </row>
    <row r="412" spans="1:13" s="260" customFormat="1" ht="12.75" hidden="1" customHeight="1" x14ac:dyDescent="0.2">
      <c r="A412" s="194"/>
      <c r="B412" s="195"/>
      <c r="C412" s="218"/>
      <c r="D412" s="231" t="s">
        <v>257</v>
      </c>
      <c r="E412" s="197"/>
      <c r="F412" s="344"/>
      <c r="G412" s="197"/>
      <c r="H412" s="296"/>
    </row>
    <row r="413" spans="1:13" s="260" customFormat="1" ht="12.75" hidden="1" customHeight="1" x14ac:dyDescent="0.2">
      <c r="A413" s="194"/>
      <c r="B413" s="195"/>
      <c r="C413" s="218"/>
      <c r="D413" s="231" t="s">
        <v>358</v>
      </c>
      <c r="E413" s="197"/>
      <c r="F413" s="344"/>
      <c r="G413" s="197"/>
      <c r="H413" s="296"/>
    </row>
    <row r="414" spans="1:13" s="260" customFormat="1" ht="12.75" hidden="1" customHeight="1" x14ac:dyDescent="0.2">
      <c r="A414" s="194"/>
      <c r="B414" s="195"/>
      <c r="C414" s="218"/>
      <c r="D414" s="276" t="s">
        <v>488</v>
      </c>
      <c r="E414" s="197"/>
      <c r="F414" s="344"/>
      <c r="G414" s="197"/>
      <c r="H414" s="296"/>
    </row>
    <row r="415" spans="1:13" s="260" customFormat="1" ht="12.75" hidden="1" customHeight="1" x14ac:dyDescent="0.2">
      <c r="A415" s="194"/>
      <c r="B415" s="195"/>
      <c r="C415" s="218"/>
      <c r="D415" s="355" t="s">
        <v>543</v>
      </c>
      <c r="E415" s="197"/>
      <c r="F415" s="344"/>
      <c r="G415" s="197"/>
      <c r="H415" s="296"/>
    </row>
    <row r="416" spans="1:13" s="260" customFormat="1" ht="12.75" customHeight="1" x14ac:dyDescent="0.2">
      <c r="A416" s="198">
        <f>1+A406</f>
        <v>45</v>
      </c>
      <c r="B416" s="199">
        <v>4100</v>
      </c>
      <c r="C416" s="219" t="s">
        <v>267</v>
      </c>
      <c r="D416" s="277" t="str">
        <f>$D$12</f>
        <v>FTE August 2025</v>
      </c>
      <c r="E416" s="200">
        <f>'4100'!I$145</f>
        <v>321124.13</v>
      </c>
      <c r="F416" s="343"/>
      <c r="G416" s="200">
        <f>SUBTOTAL(109,E416:F424)</f>
        <v>321124.13</v>
      </c>
      <c r="H416" s="296"/>
      <c r="M416" s="334"/>
    </row>
    <row r="417" spans="1:9" s="260" customFormat="1" ht="12.75" hidden="1" customHeight="1" x14ac:dyDescent="0.2">
      <c r="A417" s="198"/>
      <c r="B417" s="199"/>
      <c r="C417" s="219"/>
      <c r="D417" s="232" t="s">
        <v>278</v>
      </c>
      <c r="E417" s="200"/>
      <c r="F417" s="343"/>
      <c r="G417" s="200"/>
      <c r="H417" s="296"/>
    </row>
    <row r="418" spans="1:9" s="260" customFormat="1" ht="12.75" hidden="1" customHeight="1" x14ac:dyDescent="0.2">
      <c r="A418" s="198"/>
      <c r="B418" s="199"/>
      <c r="C418" s="219"/>
      <c r="D418" s="391" t="s">
        <v>487</v>
      </c>
      <c r="E418" s="200"/>
      <c r="F418" s="343"/>
      <c r="G418" s="200"/>
      <c r="H418" s="296"/>
      <c r="I418" s="195"/>
    </row>
    <row r="419" spans="1:9" s="260" customFormat="1" ht="12.75" hidden="1" customHeight="1" x14ac:dyDescent="0.2">
      <c r="A419" s="198"/>
      <c r="B419" s="199"/>
      <c r="C419" s="219"/>
      <c r="D419" s="232" t="s">
        <v>280</v>
      </c>
      <c r="E419" s="200"/>
      <c r="F419" s="343"/>
      <c r="G419" s="200"/>
      <c r="H419" s="296"/>
    </row>
    <row r="420" spans="1:9" s="260" customFormat="1" ht="12.75" hidden="1" customHeight="1" x14ac:dyDescent="0.2">
      <c r="A420" s="198"/>
      <c r="B420" s="199"/>
      <c r="C420" s="219"/>
      <c r="D420" s="232" t="s">
        <v>279</v>
      </c>
      <c r="E420" s="200"/>
      <c r="F420" s="343"/>
      <c r="G420" s="200"/>
      <c r="H420" s="296"/>
    </row>
    <row r="421" spans="1:9" s="260" customFormat="1" ht="12.75" hidden="1" customHeight="1" x14ac:dyDescent="0.2">
      <c r="A421" s="198"/>
      <c r="B421" s="199"/>
      <c r="C421" s="219"/>
      <c r="D421" s="232" t="s">
        <v>288</v>
      </c>
      <c r="E421" s="200"/>
      <c r="F421" s="343"/>
      <c r="G421" s="200"/>
      <c r="H421" s="296"/>
    </row>
    <row r="422" spans="1:9" s="260" customFormat="1" ht="12.75" hidden="1" customHeight="1" x14ac:dyDescent="0.2">
      <c r="A422" s="198"/>
      <c r="B422" s="199"/>
      <c r="C422" s="219"/>
      <c r="D422" s="232" t="s">
        <v>257</v>
      </c>
      <c r="E422" s="200"/>
      <c r="F422" s="343"/>
      <c r="G422" s="200"/>
      <c r="H422" s="296"/>
      <c r="I422" s="333"/>
    </row>
    <row r="423" spans="1:9" s="260" customFormat="1" ht="12.75" hidden="1" customHeight="1" x14ac:dyDescent="0.2">
      <c r="A423" s="198"/>
      <c r="B423" s="199"/>
      <c r="C423" s="219"/>
      <c r="D423" s="232" t="s">
        <v>358</v>
      </c>
      <c r="E423" s="200"/>
      <c r="F423" s="343"/>
      <c r="G423" s="200"/>
      <c r="H423" s="296"/>
      <c r="I423" s="335"/>
    </row>
    <row r="424" spans="1:9" s="260" customFormat="1" ht="12.75" hidden="1" customHeight="1" x14ac:dyDescent="0.2">
      <c r="A424" s="198"/>
      <c r="B424" s="199"/>
      <c r="C424" s="219"/>
      <c r="D424" s="232" t="s">
        <v>345</v>
      </c>
      <c r="E424" s="200"/>
      <c r="F424" s="343"/>
      <c r="G424" s="200"/>
      <c r="H424" s="296"/>
    </row>
    <row r="425" spans="1:9" s="260" customFormat="1" ht="12.75" customHeight="1" x14ac:dyDescent="0.2">
      <c r="A425" s="194">
        <f>1+A416</f>
        <v>46</v>
      </c>
      <c r="B425" s="263">
        <v>4102</v>
      </c>
      <c r="C425" s="265" t="s">
        <v>282</v>
      </c>
      <c r="D425" s="512" t="str">
        <f>$D$12</f>
        <v>FTE August 2025</v>
      </c>
      <c r="E425" s="658">
        <f>'4102'!I$145</f>
        <v>97565.26</v>
      </c>
      <c r="F425" s="344"/>
      <c r="G425" s="197">
        <f>SUBTOTAL(109,E425:F432)</f>
        <v>96823.360000000001</v>
      </c>
      <c r="H425" s="296"/>
    </row>
    <row r="426" spans="1:9" s="260" customFormat="1" ht="12.75" hidden="1" customHeight="1" x14ac:dyDescent="0.2">
      <c r="A426" s="194"/>
      <c r="B426" s="263"/>
      <c r="C426" s="265"/>
      <c r="D426" s="231" t="s">
        <v>537</v>
      </c>
      <c r="E426" s="197"/>
      <c r="F426" s="344">
        <v>0</v>
      </c>
      <c r="G426" s="197"/>
      <c r="H426" s="296"/>
    </row>
    <row r="427" spans="1:9" s="260" customFormat="1" ht="12.75" hidden="1" customHeight="1" x14ac:dyDescent="0.2">
      <c r="A427" s="194"/>
      <c r="B427" s="195"/>
      <c r="C427" s="218"/>
      <c r="D427" s="354"/>
      <c r="E427" s="454"/>
      <c r="F427" s="344"/>
      <c r="G427" s="197"/>
      <c r="H427" s="296"/>
    </row>
    <row r="428" spans="1:9" s="260" customFormat="1" ht="12.75" customHeight="1" x14ac:dyDescent="0.2">
      <c r="A428" s="194"/>
      <c r="B428" s="263"/>
      <c r="C428" s="265"/>
      <c r="D428" s="354" t="s">
        <v>548</v>
      </c>
      <c r="E428" s="197"/>
      <c r="F428" s="344">
        <v>-741.9</v>
      </c>
      <c r="G428" s="197"/>
      <c r="H428" s="296"/>
      <c r="I428" s="195"/>
    </row>
    <row r="429" spans="1:9" s="260" customFormat="1" ht="12.75" hidden="1" customHeight="1" x14ac:dyDescent="0.2">
      <c r="A429" s="194"/>
      <c r="B429" s="263"/>
      <c r="C429" s="265"/>
      <c r="D429" s="231" t="s">
        <v>279</v>
      </c>
      <c r="E429" s="197"/>
      <c r="F429" s="344"/>
      <c r="G429" s="197"/>
      <c r="H429" s="296"/>
    </row>
    <row r="430" spans="1:9" s="260" customFormat="1" ht="12.75" hidden="1" customHeight="1" x14ac:dyDescent="0.2">
      <c r="A430" s="194"/>
      <c r="B430" s="263"/>
      <c r="C430" s="265"/>
      <c r="D430" s="231" t="s">
        <v>288</v>
      </c>
      <c r="E430" s="197"/>
      <c r="F430" s="344"/>
      <c r="G430" s="197"/>
      <c r="H430" s="296"/>
    </row>
    <row r="431" spans="1:9" s="260" customFormat="1" ht="12.75" hidden="1" customHeight="1" x14ac:dyDescent="0.2">
      <c r="A431" s="194"/>
      <c r="B431" s="195"/>
      <c r="C431" s="218"/>
      <c r="D431" s="231" t="s">
        <v>257</v>
      </c>
      <c r="E431" s="197"/>
      <c r="F431" s="344"/>
      <c r="G431" s="197"/>
      <c r="H431" s="296"/>
    </row>
    <row r="432" spans="1:9" s="260" customFormat="1" ht="12.75" hidden="1" customHeight="1" x14ac:dyDescent="0.2">
      <c r="A432" s="194"/>
      <c r="B432" s="195"/>
      <c r="C432" s="218"/>
      <c r="D432" s="276"/>
      <c r="E432" s="197"/>
      <c r="F432" s="344"/>
      <c r="G432" s="197"/>
      <c r="H432" s="296"/>
    </row>
    <row r="433" spans="1:9" s="260" customFormat="1" ht="12.75" customHeight="1" x14ac:dyDescent="0.2">
      <c r="A433" s="198">
        <f>A425+1</f>
        <v>47</v>
      </c>
      <c r="B433" s="199">
        <v>4103</v>
      </c>
      <c r="C433" s="219" t="s">
        <v>323</v>
      </c>
      <c r="D433" s="277" t="str">
        <f>$D$12</f>
        <v>FTE August 2025</v>
      </c>
      <c r="E433" s="200">
        <f>'4103'!I$145</f>
        <v>670046.88</v>
      </c>
      <c r="F433" s="343"/>
      <c r="G433" s="200">
        <f>SUBTOTAL(109,E433:F442)</f>
        <v>670046.88</v>
      </c>
      <c r="H433" s="296"/>
    </row>
    <row r="434" spans="1:9" s="260" customFormat="1" ht="12.75" hidden="1" customHeight="1" x14ac:dyDescent="0.2">
      <c r="A434" s="198"/>
      <c r="B434" s="199"/>
      <c r="C434" s="219"/>
      <c r="D434" s="232" t="s">
        <v>278</v>
      </c>
      <c r="E434" s="200"/>
      <c r="F434" s="343"/>
      <c r="G434" s="200"/>
      <c r="H434" s="296"/>
    </row>
    <row r="435" spans="1:9" s="260" customFormat="1" ht="12.75" hidden="1" customHeight="1" x14ac:dyDescent="0.2">
      <c r="A435" s="198"/>
      <c r="B435" s="199"/>
      <c r="C435" s="219"/>
      <c r="D435" s="391" t="s">
        <v>487</v>
      </c>
      <c r="E435" s="200"/>
      <c r="F435" s="343"/>
      <c r="G435" s="200"/>
      <c r="H435" s="296"/>
    </row>
    <row r="436" spans="1:9" s="260" customFormat="1" ht="12.75" hidden="1" customHeight="1" x14ac:dyDescent="0.2">
      <c r="A436" s="198"/>
      <c r="B436" s="199"/>
      <c r="C436" s="219"/>
      <c r="D436" s="391" t="s">
        <v>361</v>
      </c>
      <c r="E436" s="200"/>
      <c r="F436" s="343"/>
      <c r="G436" s="200"/>
      <c r="H436" s="296"/>
    </row>
    <row r="437" spans="1:9" s="260" customFormat="1" ht="12.75" hidden="1" customHeight="1" x14ac:dyDescent="0.2">
      <c r="A437" s="198"/>
      <c r="B437" s="199"/>
      <c r="C437" s="219"/>
      <c r="D437" s="232" t="s">
        <v>280</v>
      </c>
      <c r="E437" s="200"/>
      <c r="F437" s="343"/>
      <c r="G437" s="200"/>
      <c r="H437" s="296"/>
      <c r="I437" s="195"/>
    </row>
    <row r="438" spans="1:9" s="260" customFormat="1" ht="12.75" hidden="1" customHeight="1" x14ac:dyDescent="0.2">
      <c r="A438" s="198"/>
      <c r="B438" s="199"/>
      <c r="C438" s="219"/>
      <c r="D438" s="232" t="s">
        <v>279</v>
      </c>
      <c r="E438" s="200"/>
      <c r="F438" s="343"/>
      <c r="G438" s="200"/>
      <c r="H438" s="296"/>
    </row>
    <row r="439" spans="1:9" s="260" customFormat="1" ht="12.75" hidden="1" customHeight="1" x14ac:dyDescent="0.2">
      <c r="A439" s="198"/>
      <c r="B439" s="199"/>
      <c r="C439" s="219"/>
      <c r="D439" s="232" t="s">
        <v>288</v>
      </c>
      <c r="E439" s="200"/>
      <c r="F439" s="343"/>
      <c r="G439" s="200"/>
      <c r="H439" s="296"/>
    </row>
    <row r="440" spans="1:9" s="260" customFormat="1" ht="12.75" hidden="1" customHeight="1" x14ac:dyDescent="0.2">
      <c r="A440" s="198"/>
      <c r="B440" s="199"/>
      <c r="C440" s="219"/>
      <c r="D440" s="232" t="s">
        <v>257</v>
      </c>
      <c r="E440" s="200"/>
      <c r="F440" s="343"/>
      <c r="G440" s="200"/>
      <c r="H440" s="296"/>
      <c r="I440" s="188"/>
    </row>
    <row r="441" spans="1:9" s="260" customFormat="1" ht="12.75" hidden="1" customHeight="1" x14ac:dyDescent="0.2">
      <c r="A441" s="198"/>
      <c r="B441" s="199"/>
      <c r="C441" s="219"/>
      <c r="D441" s="232" t="s">
        <v>358</v>
      </c>
      <c r="E441" s="200"/>
      <c r="F441" s="343"/>
      <c r="G441" s="200"/>
      <c r="H441" s="296"/>
      <c r="I441" s="333"/>
    </row>
    <row r="442" spans="1:9" s="260" customFormat="1" ht="12.75" hidden="1" customHeight="1" x14ac:dyDescent="0.2">
      <c r="A442" s="198"/>
      <c r="B442" s="199"/>
      <c r="C442" s="219"/>
      <c r="D442" s="232" t="s">
        <v>345</v>
      </c>
      <c r="E442" s="200"/>
      <c r="F442" s="343"/>
      <c r="G442" s="200"/>
      <c r="H442" s="296"/>
      <c r="I442" s="333"/>
    </row>
    <row r="443" spans="1:9" s="260" customFormat="1" ht="12.75" customHeight="1" x14ac:dyDescent="0.2">
      <c r="A443" s="194">
        <f>1+A433</f>
        <v>48</v>
      </c>
      <c r="B443" s="263">
        <v>4111</v>
      </c>
      <c r="C443" s="265" t="s">
        <v>342</v>
      </c>
      <c r="D443" s="512" t="str">
        <f>$D$12</f>
        <v>FTE August 2025</v>
      </c>
      <c r="E443" s="197">
        <f>'4111'!I$145</f>
        <v>202649.33</v>
      </c>
      <c r="F443" s="344"/>
      <c r="G443" s="197">
        <f>SUBTOTAL(109,E443:F451)</f>
        <v>202649.33</v>
      </c>
      <c r="H443" s="296"/>
    </row>
    <row r="444" spans="1:9" s="260" customFormat="1" ht="12.75" hidden="1" customHeight="1" x14ac:dyDescent="0.2">
      <c r="A444" s="194"/>
      <c r="B444" s="263"/>
      <c r="C444" s="265"/>
      <c r="D444" s="231" t="s">
        <v>537</v>
      </c>
      <c r="E444" s="197"/>
      <c r="F444" s="344"/>
      <c r="G444" s="197"/>
      <c r="H444" s="296"/>
    </row>
    <row r="445" spans="1:9" s="260" customFormat="1" ht="12.75" hidden="1" customHeight="1" x14ac:dyDescent="0.2">
      <c r="A445" s="194"/>
      <c r="B445" s="195"/>
      <c r="C445" s="218"/>
      <c r="D445" s="354" t="s">
        <v>487</v>
      </c>
      <c r="E445" s="197"/>
      <c r="F445" s="344"/>
      <c r="G445" s="197"/>
      <c r="H445" s="296"/>
      <c r="I445" s="195"/>
    </row>
    <row r="446" spans="1:9" s="260" customFormat="1" ht="12.75" hidden="1" customHeight="1" x14ac:dyDescent="0.2">
      <c r="A446" s="194"/>
      <c r="B446" s="263"/>
      <c r="C446" s="265"/>
      <c r="D446" s="231" t="s">
        <v>280</v>
      </c>
      <c r="E446" s="197"/>
      <c r="F446" s="344"/>
      <c r="G446" s="197"/>
      <c r="H446" s="296"/>
      <c r="I446" s="195"/>
    </row>
    <row r="447" spans="1:9" s="260" customFormat="1" ht="12.75" hidden="1" customHeight="1" x14ac:dyDescent="0.2">
      <c r="A447" s="194"/>
      <c r="B447" s="263"/>
      <c r="C447" s="265"/>
      <c r="D447" s="231" t="s">
        <v>279</v>
      </c>
      <c r="E447" s="197"/>
      <c r="F447" s="344"/>
      <c r="G447" s="197"/>
      <c r="H447" s="296"/>
    </row>
    <row r="448" spans="1:9" s="260" customFormat="1" ht="12.75" hidden="1" customHeight="1" x14ac:dyDescent="0.2">
      <c r="A448" s="194"/>
      <c r="B448" s="263"/>
      <c r="C448" s="265"/>
      <c r="D448" s="231" t="s">
        <v>288</v>
      </c>
      <c r="E448" s="197"/>
      <c r="F448" s="344"/>
      <c r="G448" s="197"/>
      <c r="H448" s="296"/>
    </row>
    <row r="449" spans="1:9" s="260" customFormat="1" ht="12.75" hidden="1" customHeight="1" x14ac:dyDescent="0.2">
      <c r="A449" s="194"/>
      <c r="B449" s="195"/>
      <c r="C449" s="218"/>
      <c r="D449" s="231" t="s">
        <v>257</v>
      </c>
      <c r="E449" s="197"/>
      <c r="F449" s="344"/>
      <c r="G449" s="197"/>
      <c r="H449" s="296"/>
    </row>
    <row r="450" spans="1:9" s="260" customFormat="1" hidden="1" x14ac:dyDescent="0.2">
      <c r="A450" s="194"/>
      <c r="B450" s="195"/>
      <c r="C450" s="218"/>
      <c r="D450" s="231" t="s">
        <v>358</v>
      </c>
      <c r="E450" s="197"/>
      <c r="F450" s="344"/>
      <c r="G450" s="197"/>
      <c r="H450" s="296"/>
    </row>
    <row r="451" spans="1:9" s="260" customFormat="1" hidden="1" x14ac:dyDescent="0.2">
      <c r="A451" s="194"/>
      <c r="B451" s="195"/>
      <c r="C451" s="218"/>
      <c r="D451" s="276" t="s">
        <v>345</v>
      </c>
      <c r="E451" s="197"/>
      <c r="F451" s="344"/>
      <c r="G451" s="197"/>
      <c r="H451" s="296"/>
    </row>
    <row r="452" spans="1:9" s="260" customFormat="1" ht="12.75" customHeight="1" x14ac:dyDescent="0.2">
      <c r="A452" s="198">
        <f>1+A443</f>
        <v>49</v>
      </c>
      <c r="B452" s="396">
        <v>4131</v>
      </c>
      <c r="C452" s="397" t="s">
        <v>374</v>
      </c>
      <c r="D452" s="277" t="str">
        <f>$D$12</f>
        <v>FTE August 2025</v>
      </c>
      <c r="E452" s="200">
        <f>'4131'!I$145</f>
        <v>67065.63</v>
      </c>
      <c r="F452" s="343"/>
      <c r="G452" s="200">
        <f>SUBTOTAL(109,E452:F460)</f>
        <v>67065.63</v>
      </c>
      <c r="H452" s="296"/>
    </row>
    <row r="453" spans="1:9" s="260" customFormat="1" ht="12.75" hidden="1" customHeight="1" x14ac:dyDescent="0.2">
      <c r="A453" s="198"/>
      <c r="B453" s="396"/>
      <c r="C453" s="397"/>
      <c r="D453" s="232" t="s">
        <v>278</v>
      </c>
      <c r="E453" s="200"/>
      <c r="F453" s="343"/>
      <c r="G453" s="200"/>
      <c r="H453" s="296"/>
    </row>
    <row r="454" spans="1:9" s="260" customFormat="1" ht="12.75" hidden="1" customHeight="1" x14ac:dyDescent="0.2">
      <c r="A454" s="198"/>
      <c r="B454" s="199"/>
      <c r="C454" s="219"/>
      <c r="D454" s="391" t="s">
        <v>362</v>
      </c>
      <c r="E454" s="200"/>
      <c r="F454" s="343"/>
      <c r="G454" s="200"/>
      <c r="H454" s="296"/>
    </row>
    <row r="455" spans="1:9" s="260" customFormat="1" ht="12.75" hidden="1" customHeight="1" x14ac:dyDescent="0.2">
      <c r="A455" s="198"/>
      <c r="B455" s="396"/>
      <c r="C455" s="397"/>
      <c r="D455" s="232" t="s">
        <v>280</v>
      </c>
      <c r="E455" s="200"/>
      <c r="F455" s="343"/>
      <c r="G455" s="200"/>
      <c r="H455" s="296"/>
      <c r="I455" s="195"/>
    </row>
    <row r="456" spans="1:9" s="260" customFormat="1" ht="12.75" hidden="1" customHeight="1" x14ac:dyDescent="0.2">
      <c r="A456" s="198"/>
      <c r="B456" s="396"/>
      <c r="C456" s="397"/>
      <c r="D456" s="232" t="s">
        <v>279</v>
      </c>
      <c r="E456" s="200"/>
      <c r="F456" s="343"/>
      <c r="G456" s="200"/>
      <c r="H456" s="296"/>
    </row>
    <row r="457" spans="1:9" s="260" customFormat="1" ht="12.75" hidden="1" customHeight="1" x14ac:dyDescent="0.2">
      <c r="A457" s="198"/>
      <c r="B457" s="396"/>
      <c r="C457" s="397"/>
      <c r="D457" s="232" t="s">
        <v>288</v>
      </c>
      <c r="E457" s="200"/>
      <c r="F457" s="343"/>
      <c r="G457" s="200"/>
      <c r="H457" s="296"/>
    </row>
    <row r="458" spans="1:9" s="260" customFormat="1" ht="12.75" hidden="1" customHeight="1" x14ac:dyDescent="0.2">
      <c r="A458" s="198"/>
      <c r="B458" s="199"/>
      <c r="C458" s="219"/>
      <c r="D458" s="232" t="s">
        <v>257</v>
      </c>
      <c r="E458" s="200"/>
      <c r="F458" s="343"/>
      <c r="G458" s="200"/>
      <c r="H458" s="296"/>
      <c r="I458" s="188"/>
    </row>
    <row r="459" spans="1:9" s="260" customFormat="1" ht="12.75" hidden="1" customHeight="1" x14ac:dyDescent="0.2">
      <c r="A459" s="198"/>
      <c r="B459" s="199"/>
      <c r="C459" s="219"/>
      <c r="D459" s="232" t="s">
        <v>358</v>
      </c>
      <c r="E459" s="200"/>
      <c r="F459" s="343"/>
      <c r="G459" s="200"/>
      <c r="H459" s="296"/>
      <c r="I459" s="333"/>
    </row>
    <row r="460" spans="1:9" s="260" customFormat="1" ht="12.75" hidden="1" customHeight="1" x14ac:dyDescent="0.2">
      <c r="A460" s="198"/>
      <c r="B460" s="199"/>
      <c r="C460" s="219"/>
      <c r="D460" s="278" t="s">
        <v>345</v>
      </c>
      <c r="E460" s="200"/>
      <c r="F460" s="343"/>
      <c r="G460" s="200"/>
      <c r="H460" s="296"/>
      <c r="I460" s="335"/>
    </row>
    <row r="461" spans="1:9" s="260" customFormat="1" ht="12.75" customHeight="1" x14ac:dyDescent="0.2">
      <c r="A461" s="191"/>
      <c r="B461" s="188"/>
      <c r="C461" s="188"/>
      <c r="D461" s="280"/>
      <c r="E461" s="188"/>
      <c r="F461" s="345"/>
      <c r="G461" s="188"/>
      <c r="H461" s="296"/>
      <c r="I461" s="333"/>
    </row>
    <row r="462" spans="1:9" s="260" customFormat="1" ht="12.75" customHeight="1" thickBot="1" x14ac:dyDescent="0.25">
      <c r="A462" s="188"/>
      <c r="B462" s="190"/>
      <c r="C462" s="217"/>
      <c r="D462" s="280" t="s">
        <v>184</v>
      </c>
      <c r="E462" s="202">
        <f>SUBTOTAL(109,E5:E461)</f>
        <v>16991468.589999996</v>
      </c>
      <c r="F462" s="202">
        <f>SUBTOTAL(109,F12:F461)</f>
        <v>178895.59</v>
      </c>
      <c r="G462" s="202">
        <f>ROUND(SUM(G5:G461),2)</f>
        <v>17170364.18</v>
      </c>
      <c r="H462" s="296"/>
    </row>
    <row r="463" spans="1:9" s="260" customFormat="1" ht="12.75" customHeight="1" thickTop="1" x14ac:dyDescent="0.2">
      <c r="A463" s="188"/>
      <c r="B463" s="190"/>
      <c r="C463" s="217"/>
      <c r="D463" s="188"/>
      <c r="E463" s="188"/>
      <c r="F463" s="238"/>
      <c r="G463" s="201">
        <f>ROUND(G462-E462-F462,2)</f>
        <v>0</v>
      </c>
      <c r="H463" s="296"/>
    </row>
    <row r="464" spans="1:9" s="260" customFormat="1" ht="12.75" customHeight="1" x14ac:dyDescent="0.2">
      <c r="A464" s="188"/>
      <c r="B464" s="190"/>
      <c r="C464" s="217"/>
      <c r="D464" s="188"/>
      <c r="E464" s="188"/>
      <c r="F464" s="238"/>
      <c r="G464" s="188"/>
      <c r="H464" s="296"/>
      <c r="I464" s="195"/>
    </row>
    <row r="465" spans="1:10" s="260" customFormat="1" ht="12.75" customHeight="1" x14ac:dyDescent="0.2">
      <c r="A465" s="188"/>
      <c r="B465" s="190"/>
      <c r="C465" s="217"/>
      <c r="D465" s="188"/>
      <c r="E465" s="188"/>
      <c r="F465" s="238"/>
      <c r="G465" s="188"/>
      <c r="H465" s="296"/>
    </row>
    <row r="466" spans="1:10" s="260" customFormat="1" ht="12.75" customHeight="1" x14ac:dyDescent="0.2">
      <c r="A466" s="188"/>
      <c r="B466" s="190"/>
      <c r="C466" s="217"/>
      <c r="D466" s="188"/>
      <c r="E466" s="188"/>
      <c r="F466" s="238"/>
      <c r="G466" s="188"/>
      <c r="H466" s="296"/>
    </row>
    <row r="467" spans="1:10" s="260" customFormat="1" ht="12.75" customHeight="1" x14ac:dyDescent="0.2">
      <c r="A467" s="188"/>
      <c r="B467" s="190"/>
      <c r="C467" s="217"/>
      <c r="D467" s="188"/>
      <c r="E467" s="188"/>
      <c r="F467" s="238"/>
      <c r="G467" s="188"/>
      <c r="H467" s="296"/>
      <c r="I467" s="188"/>
    </row>
    <row r="468" spans="1:10" s="260" customFormat="1" ht="12.75" customHeight="1" x14ac:dyDescent="0.2">
      <c r="A468" s="188"/>
      <c r="B468" s="190"/>
      <c r="C468" s="217"/>
      <c r="D468" s="188"/>
      <c r="E468" s="188"/>
      <c r="F468" s="238"/>
      <c r="G468" s="188"/>
      <c r="H468" s="296"/>
      <c r="I468" s="333"/>
    </row>
    <row r="469" spans="1:10" s="260" customFormat="1" ht="12.75" customHeight="1" x14ac:dyDescent="0.2">
      <c r="A469" s="269"/>
      <c r="B469" s="190"/>
      <c r="C469" s="241"/>
      <c r="D469" s="269" t="s">
        <v>254</v>
      </c>
      <c r="E469" s="201">
        <f>Consolidated!I146</f>
        <v>16991468.589999996</v>
      </c>
      <c r="F469" s="238"/>
      <c r="G469" s="201">
        <f>E469+F469</f>
        <v>16991468.589999996</v>
      </c>
      <c r="H469" s="296"/>
      <c r="I469" s="335"/>
    </row>
    <row r="470" spans="1:10" s="260" customFormat="1" ht="12.75" customHeight="1" x14ac:dyDescent="0.2">
      <c r="A470" s="188"/>
      <c r="B470" s="188"/>
      <c r="C470" s="188"/>
      <c r="D470" s="196" t="s">
        <v>278</v>
      </c>
      <c r="E470" s="188"/>
      <c r="F470" s="678">
        <f>F453+F444+F434+F417+F407+F397+F388+F381+F372+F363+F356+F345+F335+F325+F316+F307+F299+F289+F280+F264+F272+F254+F244+F235+F225+F214+F206+F195+F187+F180+F172+F163+F153+F135+F126+F119++F102+F91+F81+F73+F62+F61+F54+F38+F13</f>
        <v>0</v>
      </c>
      <c r="G470" s="201">
        <f t="shared" ref="G470:G474" si="0">E470+F470</f>
        <v>0</v>
      </c>
      <c r="H470" s="296"/>
      <c r="I470" s="522"/>
    </row>
    <row r="471" spans="1:10" ht="12.75" hidden="1" customHeight="1" x14ac:dyDescent="0.2">
      <c r="D471" s="518" t="s">
        <v>487</v>
      </c>
      <c r="F471" s="259">
        <f t="shared" ref="F471:F489" si="1">SUM(SUMIF(D$12:D$461,D471,F$12:F$461))</f>
        <v>0</v>
      </c>
      <c r="G471" s="201">
        <f t="shared" si="0"/>
        <v>0</v>
      </c>
      <c r="H471" s="297"/>
    </row>
    <row r="472" spans="1:10" ht="12.75" hidden="1" customHeight="1" x14ac:dyDescent="0.2">
      <c r="D472" s="196" t="s">
        <v>363</v>
      </c>
      <c r="F472" s="259">
        <f t="shared" si="1"/>
        <v>0</v>
      </c>
      <c r="G472" s="201">
        <f t="shared" si="0"/>
        <v>0</v>
      </c>
    </row>
    <row r="473" spans="1:10" ht="12.75" hidden="1" customHeight="1" x14ac:dyDescent="0.2">
      <c r="D473" s="196" t="s">
        <v>364</v>
      </c>
      <c r="F473" s="259">
        <f t="shared" si="1"/>
        <v>0</v>
      </c>
      <c r="G473" s="201">
        <f t="shared" si="0"/>
        <v>0</v>
      </c>
    </row>
    <row r="474" spans="1:10" ht="12.75" hidden="1" customHeight="1" x14ac:dyDescent="0.2">
      <c r="D474" s="390" t="s">
        <v>361</v>
      </c>
      <c r="F474" s="259">
        <f t="shared" si="1"/>
        <v>0</v>
      </c>
      <c r="G474" s="201">
        <f t="shared" si="0"/>
        <v>0</v>
      </c>
    </row>
    <row r="475" spans="1:10" ht="12.75" hidden="1" customHeight="1" x14ac:dyDescent="0.2">
      <c r="D475" s="196" t="s">
        <v>280</v>
      </c>
      <c r="F475" s="259">
        <f t="shared" si="1"/>
        <v>0</v>
      </c>
      <c r="G475" s="201">
        <f t="shared" ref="G475:G480" si="2">E475+F475</f>
        <v>0</v>
      </c>
    </row>
    <row r="476" spans="1:10" ht="12.75" hidden="1" customHeight="1" x14ac:dyDescent="0.2">
      <c r="D476" s="196" t="s">
        <v>354</v>
      </c>
      <c r="F476" s="259">
        <f t="shared" si="1"/>
        <v>0</v>
      </c>
      <c r="G476" s="201">
        <f t="shared" si="2"/>
        <v>0</v>
      </c>
    </row>
    <row r="477" spans="1:10" ht="12.75" hidden="1" customHeight="1" x14ac:dyDescent="0.2">
      <c r="D477" s="188" t="s">
        <v>288</v>
      </c>
      <c r="F477" s="259">
        <f t="shared" si="1"/>
        <v>0</v>
      </c>
      <c r="G477" s="201">
        <f t="shared" si="2"/>
        <v>0</v>
      </c>
    </row>
    <row r="478" spans="1:10" ht="12.75" hidden="1" customHeight="1" x14ac:dyDescent="0.2">
      <c r="A478" s="194"/>
      <c r="B478" s="195"/>
      <c r="C478" s="218"/>
      <c r="D478" s="196" t="s">
        <v>257</v>
      </c>
      <c r="E478" s="197"/>
      <c r="F478" s="259">
        <f t="shared" si="1"/>
        <v>0</v>
      </c>
      <c r="G478" s="201">
        <f t="shared" si="2"/>
        <v>0</v>
      </c>
    </row>
    <row r="479" spans="1:10" ht="12.75" hidden="1" customHeight="1" x14ac:dyDescent="0.2">
      <c r="D479" s="314" t="s">
        <v>315</v>
      </c>
      <c r="F479" s="259">
        <f t="shared" si="1"/>
        <v>0</v>
      </c>
      <c r="G479" s="201">
        <f t="shared" si="2"/>
        <v>0</v>
      </c>
      <c r="J479" s="201"/>
    </row>
    <row r="480" spans="1:10" ht="12.75" customHeight="1" x14ac:dyDescent="0.2">
      <c r="D480" s="314" t="s">
        <v>284</v>
      </c>
      <c r="F480" s="259">
        <f t="shared" si="1"/>
        <v>208541.64</v>
      </c>
      <c r="G480" s="201">
        <f t="shared" si="2"/>
        <v>208541.64</v>
      </c>
      <c r="J480" s="201"/>
    </row>
    <row r="481" spans="1:10" ht="12.75" customHeight="1" x14ac:dyDescent="0.2">
      <c r="D481" s="188" t="s">
        <v>229</v>
      </c>
      <c r="F481" s="259">
        <f t="shared" si="1"/>
        <v>0</v>
      </c>
      <c r="G481" s="201">
        <f t="shared" ref="G481:G491" si="3">E481+F481</f>
        <v>0</v>
      </c>
      <c r="J481" s="201"/>
    </row>
    <row r="482" spans="1:10" ht="12.75" customHeight="1" x14ac:dyDescent="0.2">
      <c r="D482" s="188" t="s">
        <v>230</v>
      </c>
      <c r="F482" s="259">
        <f t="shared" si="1"/>
        <v>-421.76</v>
      </c>
      <c r="G482" s="201">
        <f t="shared" si="3"/>
        <v>-421.76</v>
      </c>
      <c r="J482" s="201"/>
    </row>
    <row r="483" spans="1:10" ht="12.75" customHeight="1" x14ac:dyDescent="0.2">
      <c r="D483" s="241" t="s">
        <v>449</v>
      </c>
      <c r="F483" s="259">
        <f t="shared" si="1"/>
        <v>-188.96</v>
      </c>
      <c r="G483" s="201">
        <f t="shared" si="3"/>
        <v>-188.96</v>
      </c>
    </row>
    <row r="484" spans="1:10" ht="12.75" customHeight="1" x14ac:dyDescent="0.2">
      <c r="D484" s="188" t="s">
        <v>337</v>
      </c>
      <c r="F484" s="259">
        <f t="shared" si="1"/>
        <v>-180</v>
      </c>
      <c r="G484" s="201">
        <f>E484+F484</f>
        <v>-180</v>
      </c>
      <c r="J484" s="201"/>
    </row>
    <row r="485" spans="1:10" ht="12.75" customHeight="1" x14ac:dyDescent="0.2">
      <c r="D485" s="241" t="s">
        <v>548</v>
      </c>
      <c r="F485" s="259">
        <f t="shared" si="1"/>
        <v>-28049.08</v>
      </c>
      <c r="G485" s="201">
        <f>E485+F485</f>
        <v>-28049.08</v>
      </c>
      <c r="J485" s="201"/>
    </row>
    <row r="486" spans="1:10" ht="12.75" hidden="1" customHeight="1" x14ac:dyDescent="0.2">
      <c r="A486" s="194"/>
      <c r="B486" s="195"/>
      <c r="C486" s="218"/>
      <c r="D486" s="196" t="s">
        <v>302</v>
      </c>
      <c r="E486" s="197"/>
      <c r="F486" s="259">
        <f t="shared" si="1"/>
        <v>0</v>
      </c>
      <c r="G486" s="201">
        <f t="shared" si="3"/>
        <v>0</v>
      </c>
    </row>
    <row r="487" spans="1:10" ht="12.75" hidden="1" customHeight="1" x14ac:dyDescent="0.2">
      <c r="D487" s="241" t="s">
        <v>357</v>
      </c>
      <c r="F487" s="259">
        <f t="shared" si="1"/>
        <v>0</v>
      </c>
      <c r="G487" s="201">
        <f t="shared" si="3"/>
        <v>0</v>
      </c>
    </row>
    <row r="488" spans="1:10" ht="12.75" hidden="1" customHeight="1" x14ac:dyDescent="0.2">
      <c r="D488" s="241" t="s">
        <v>356</v>
      </c>
      <c r="F488" s="259">
        <f t="shared" si="1"/>
        <v>0</v>
      </c>
      <c r="G488" s="201">
        <f t="shared" si="3"/>
        <v>0</v>
      </c>
    </row>
    <row r="489" spans="1:10" s="260" customFormat="1" ht="12.75" hidden="1" customHeight="1" x14ac:dyDescent="0.2">
      <c r="A489" s="188"/>
      <c r="B489" s="188"/>
      <c r="C489" s="188"/>
      <c r="D489" s="241" t="s">
        <v>358</v>
      </c>
      <c r="E489" s="188"/>
      <c r="F489" s="259">
        <f t="shared" si="1"/>
        <v>0</v>
      </c>
      <c r="G489" s="201">
        <f t="shared" si="3"/>
        <v>0</v>
      </c>
      <c r="H489" s="296"/>
      <c r="I489" s="333"/>
    </row>
    <row r="490" spans="1:10" ht="12.75" customHeight="1" x14ac:dyDescent="0.2">
      <c r="D490" s="196" t="s">
        <v>516</v>
      </c>
      <c r="F490" s="346">
        <f>SUM(SUMIF(D$12:D$461,"*WPB*",F$12:F$461))</f>
        <v>-806.25</v>
      </c>
      <c r="G490" s="201">
        <f t="shared" si="3"/>
        <v>-806.25</v>
      </c>
    </row>
    <row r="491" spans="1:10" ht="12.75" hidden="1" customHeight="1" x14ac:dyDescent="0.2">
      <c r="D491" s="196" t="s">
        <v>520</v>
      </c>
      <c r="F491" s="346">
        <f>SUM(SUMIF(D$12:D$461,"*FEFP ADJ*",F$12:F$461))</f>
        <v>0</v>
      </c>
      <c r="G491" s="201">
        <f t="shared" si="3"/>
        <v>0</v>
      </c>
    </row>
    <row r="492" spans="1:10" ht="12.75" customHeight="1" x14ac:dyDescent="0.2">
      <c r="D492" s="196"/>
      <c r="F492" s="346"/>
      <c r="G492" s="201"/>
    </row>
    <row r="493" spans="1:10" ht="12.75" customHeight="1" thickBot="1" x14ac:dyDescent="0.25">
      <c r="D493" s="283" t="s">
        <v>249</v>
      </c>
      <c r="E493" s="202">
        <f>SUM(E469:E491)</f>
        <v>16991468.589999996</v>
      </c>
      <c r="F493" s="202">
        <f>SUM(F469:F491)</f>
        <v>178895.59000000003</v>
      </c>
      <c r="G493" s="202">
        <f>SUM(G469:G492)</f>
        <v>17170364.179999996</v>
      </c>
    </row>
    <row r="494" spans="1:10" ht="12.75" customHeight="1" thickTop="1" x14ac:dyDescent="0.2">
      <c r="D494" s="283"/>
      <c r="E494" s="519"/>
      <c r="F494" s="519"/>
      <c r="G494" s="519"/>
    </row>
    <row r="495" spans="1:10" ht="12.75" customHeight="1" x14ac:dyDescent="0.2">
      <c r="D495" s="283"/>
      <c r="E495" s="519"/>
      <c r="F495" s="519">
        <f>F493-F462</f>
        <v>0</v>
      </c>
      <c r="G495" s="519">
        <f>G462-G493</f>
        <v>0</v>
      </c>
    </row>
    <row r="496" spans="1:10" ht="12" customHeight="1" x14ac:dyDescent="0.2">
      <c r="D496" s="283"/>
      <c r="E496" s="519"/>
      <c r="F496" s="519"/>
      <c r="G496" s="519"/>
    </row>
    <row r="497" spans="1:9" ht="12.75" customHeight="1" thickBot="1" x14ac:dyDescent="0.25">
      <c r="E497" s="201"/>
      <c r="F497" s="201"/>
      <c r="G497" s="201"/>
    </row>
    <row r="498" spans="1:9" ht="12.75" customHeight="1" thickBot="1" x14ac:dyDescent="0.25">
      <c r="C498" s="768" t="s">
        <v>277</v>
      </c>
      <c r="D498" s="769"/>
      <c r="E498" s="769"/>
      <c r="F498" s="769"/>
      <c r="G498" s="770"/>
    </row>
    <row r="499" spans="1:9" s="260" customFormat="1" ht="12.75" customHeight="1" x14ac:dyDescent="0.2">
      <c r="A499" s="188"/>
      <c r="B499" s="188"/>
      <c r="C499" s="387"/>
      <c r="D499" s="388"/>
      <c r="E499" s="388"/>
      <c r="F499" s="513"/>
      <c r="G499" s="514"/>
      <c r="H499" s="296"/>
      <c r="I499" s="188"/>
    </row>
    <row r="500" spans="1:9" ht="12.75" customHeight="1" x14ac:dyDescent="0.2">
      <c r="C500" s="456" t="s">
        <v>573</v>
      </c>
      <c r="D500" s="535"/>
      <c r="E500" s="535"/>
      <c r="F500" s="513"/>
      <c r="G500" s="515"/>
    </row>
    <row r="501" spans="1:9" ht="12.75" customHeight="1" x14ac:dyDescent="0.2">
      <c r="C501" s="698" t="s">
        <v>546</v>
      </c>
      <c r="D501" s="535"/>
      <c r="E501" s="535"/>
      <c r="F501" s="513"/>
      <c r="G501" s="515"/>
    </row>
    <row r="502" spans="1:9" ht="12.75" customHeight="1" x14ac:dyDescent="0.2">
      <c r="C502" s="698"/>
      <c r="D502" s="388"/>
      <c r="E502" s="388"/>
      <c r="F502" s="513"/>
      <c r="G502" s="515"/>
    </row>
    <row r="503" spans="1:9" ht="12.75" customHeight="1" x14ac:dyDescent="0.2">
      <c r="C503" s="578" t="s">
        <v>571</v>
      </c>
      <c r="D503" s="576"/>
      <c r="E503" s="576"/>
      <c r="F503" s="576"/>
      <c r="G503" s="577"/>
      <c r="H503" s="307"/>
      <c r="I503" s="260"/>
    </row>
    <row r="504" spans="1:9" ht="12.75" customHeight="1" x14ac:dyDescent="0.2">
      <c r="C504" s="699" t="s">
        <v>570</v>
      </c>
      <c r="D504" s="576"/>
      <c r="E504" s="576"/>
      <c r="F504" s="576"/>
      <c r="G504" s="577"/>
      <c r="H504" s="307"/>
      <c r="I504" s="260"/>
    </row>
    <row r="505" spans="1:9" ht="12.75" customHeight="1" x14ac:dyDescent="0.2">
      <c r="C505" s="401"/>
      <c r="D505" s="520"/>
      <c r="E505" s="520"/>
      <c r="F505" s="520"/>
      <c r="G505" s="521"/>
      <c r="H505" s="307"/>
      <c r="I505" s="260"/>
    </row>
    <row r="506" spans="1:9" ht="12.75" customHeight="1" x14ac:dyDescent="0.2">
      <c r="C506" s="456" t="s">
        <v>572</v>
      </c>
      <c r="D506" s="520"/>
      <c r="E506" s="520"/>
      <c r="F506" s="520"/>
      <c r="G506" s="521"/>
      <c r="H506" s="307"/>
      <c r="I506" s="260"/>
    </row>
    <row r="507" spans="1:9" ht="12.75" customHeight="1" x14ac:dyDescent="0.2">
      <c r="C507" s="698" t="s">
        <v>545</v>
      </c>
      <c r="D507" s="520"/>
      <c r="E507" s="520"/>
      <c r="F507" s="520"/>
      <c r="G507" s="521"/>
      <c r="H507" s="307"/>
      <c r="I507" s="260"/>
    </row>
    <row r="508" spans="1:9" ht="12.75" customHeight="1" x14ac:dyDescent="0.2">
      <c r="C508" s="401"/>
      <c r="D508" s="520"/>
      <c r="E508" s="520"/>
      <c r="F508" s="520"/>
      <c r="G508" s="521"/>
      <c r="H508" s="307"/>
      <c r="I508" s="260"/>
    </row>
    <row r="509" spans="1:9" ht="12.75" customHeight="1" x14ac:dyDescent="0.2">
      <c r="C509" s="771"/>
      <c r="D509" s="772"/>
      <c r="E509" s="772"/>
      <c r="F509" s="772"/>
      <c r="G509" s="773"/>
      <c r="H509" s="307"/>
      <c r="I509" s="260"/>
    </row>
    <row r="510" spans="1:9" ht="12.75" customHeight="1" x14ac:dyDescent="0.2">
      <c r="C510" s="771"/>
      <c r="D510" s="772"/>
      <c r="E510" s="772"/>
      <c r="F510" s="772"/>
      <c r="G510" s="773"/>
      <c r="H510" s="307"/>
      <c r="I510" s="260"/>
    </row>
    <row r="511" spans="1:9" ht="12.75" customHeight="1" x14ac:dyDescent="0.2">
      <c r="C511" s="771"/>
      <c r="D511" s="772"/>
      <c r="E511" s="772"/>
      <c r="F511" s="772"/>
      <c r="G511" s="773"/>
      <c r="H511" s="307"/>
      <c r="I511" s="260"/>
    </row>
    <row r="512" spans="1:9" ht="26.45" customHeight="1" x14ac:dyDescent="0.2">
      <c r="C512" s="771"/>
      <c r="D512" s="772"/>
      <c r="E512" s="772"/>
      <c r="F512" s="772"/>
      <c r="G512" s="773"/>
      <c r="H512" s="307"/>
      <c r="I512" s="260"/>
    </row>
    <row r="513" spans="3:11" ht="12.75" customHeight="1" x14ac:dyDescent="0.2">
      <c r="C513" s="401"/>
      <c r="D513" s="520"/>
      <c r="E513" s="520"/>
      <c r="F513" s="520"/>
      <c r="G513" s="521"/>
      <c r="H513" s="307"/>
      <c r="I513" s="260"/>
    </row>
    <row r="514" spans="3:11" ht="12.75" customHeight="1" thickBot="1" x14ac:dyDescent="0.25">
      <c r="C514" s="398"/>
      <c r="D514" s="389"/>
      <c r="E514" s="389"/>
      <c r="F514" s="389"/>
      <c r="G514" s="516"/>
      <c r="H514" s="307"/>
      <c r="I514" s="260"/>
    </row>
    <row r="515" spans="3:11" ht="12.75" customHeight="1" x14ac:dyDescent="0.2">
      <c r="H515" s="307"/>
      <c r="I515" s="260"/>
    </row>
    <row r="516" spans="3:11" ht="12.75" customHeight="1" x14ac:dyDescent="0.2">
      <c r="H516" s="307"/>
      <c r="I516" s="260"/>
    </row>
    <row r="517" spans="3:11" ht="12.75" customHeight="1" x14ac:dyDescent="0.2">
      <c r="H517" s="307"/>
      <c r="I517" s="260"/>
    </row>
    <row r="518" spans="3:11" ht="12.75" customHeight="1" x14ac:dyDescent="0.2">
      <c r="H518" s="307"/>
      <c r="I518" s="260"/>
    </row>
    <row r="519" spans="3:11" ht="12.75" customHeight="1" x14ac:dyDescent="0.2">
      <c r="H519" s="307"/>
      <c r="I519" s="260"/>
    </row>
    <row r="520" spans="3:11" ht="12.75" customHeight="1" x14ac:dyDescent="0.2">
      <c r="H520" s="307"/>
      <c r="I520" s="260"/>
    </row>
    <row r="521" spans="3:11" ht="12.75" customHeight="1" x14ac:dyDescent="0.2">
      <c r="H521" s="307"/>
      <c r="I521" s="260"/>
    </row>
    <row r="522" spans="3:11" ht="12.75" customHeight="1" x14ac:dyDescent="0.2">
      <c r="H522" s="307"/>
      <c r="I522" s="260"/>
    </row>
    <row r="523" spans="3:11" ht="12.75" customHeight="1" x14ac:dyDescent="0.2">
      <c r="H523" s="307"/>
      <c r="I523" s="260"/>
    </row>
    <row r="524" spans="3:11" ht="12.75" customHeight="1" x14ac:dyDescent="0.2">
      <c r="H524" s="251"/>
    </row>
    <row r="525" spans="3:11" ht="12.75" customHeight="1" x14ac:dyDescent="0.2">
      <c r="E525" s="295"/>
      <c r="F525" s="188"/>
    </row>
    <row r="526" spans="3:11" ht="12.75" customHeight="1" x14ac:dyDescent="0.2">
      <c r="E526" s="295"/>
      <c r="F526" s="188"/>
    </row>
    <row r="528" spans="3:11" ht="12.75" customHeight="1" x14ac:dyDescent="0.2">
      <c r="K528" s="295"/>
    </row>
    <row r="529" spans="8:11" ht="12.75" customHeight="1" x14ac:dyDescent="0.2">
      <c r="K529" s="295"/>
    </row>
    <row r="535" spans="8:11" ht="12.75" customHeight="1" x14ac:dyDescent="0.2">
      <c r="H535" s="188"/>
    </row>
    <row r="536" spans="8:11" ht="12.75" customHeight="1" x14ac:dyDescent="0.2">
      <c r="H536" s="188"/>
    </row>
  </sheetData>
  <mergeCells count="3">
    <mergeCell ref="F3:G3"/>
    <mergeCell ref="C498:G498"/>
    <mergeCell ref="C509:G512"/>
  </mergeCells>
  <conditionalFormatting sqref="A12:A461">
    <cfRule type="cellIs" dxfId="16" priority="1" operator="equal">
      <formula>0</formula>
    </cfRule>
  </conditionalFormatting>
  <conditionalFormatting sqref="A478">
    <cfRule type="cellIs" dxfId="15" priority="178" operator="equal">
      <formula>0</formula>
    </cfRule>
  </conditionalFormatting>
  <conditionalFormatting sqref="A486">
    <cfRule type="cellIs" dxfId="14" priority="307" operator="equal">
      <formula>0</formula>
    </cfRule>
  </conditionalFormatting>
  <conditionalFormatting sqref="H480:H488 H490:H498">
    <cfRule type="cellIs" dxfId="13" priority="301" stopIfTrue="1" operator="notEqual">
      <formula>0</formula>
    </cfRule>
    <cfRule type="cellIs" dxfId="12" priority="302" stopIfTrue="1" operator="equal">
      <formula>0</formula>
    </cfRule>
  </conditionalFormatting>
  <conditionalFormatting sqref="H500:H502">
    <cfRule type="cellIs" dxfId="11" priority="299" stopIfTrue="1" operator="notEqual">
      <formula>0</formula>
    </cfRule>
    <cfRule type="cellIs" dxfId="10" priority="300" stopIfTrue="1" operator="equal">
      <formula>0</formula>
    </cfRule>
  </conditionalFormatting>
  <pageMargins left="1" right="0.1" top="0.5" bottom="0.5" header="0" footer="0.1"/>
  <pageSetup fitToHeight="0" orientation="landscape" r:id="rId1"/>
  <headerFooter>
    <oddFooter>&amp;L&amp;8&amp;Z&amp;F&amp;R&amp;8&amp;P / &amp;N</oddFooter>
  </headerFooter>
  <ignoredErrors>
    <ignoredError sqref="B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Z65"/>
  <sheetViews>
    <sheetView topLeftCell="A34" workbookViewId="0">
      <selection activeCell="W62" sqref="W62"/>
    </sheetView>
    <sheetView workbookViewId="1">
      <selection activeCell="L6" sqref="L6:L54"/>
    </sheetView>
  </sheetViews>
  <sheetFormatPr defaultColWidth="9.140625" defaultRowHeight="12.75" x14ac:dyDescent="0.2"/>
  <cols>
    <col min="1" max="1" width="4" style="188" bestFit="1" customWidth="1"/>
    <col min="2" max="2" width="6" style="188" customWidth="1"/>
    <col min="3" max="3" width="36.28515625" style="188" bestFit="1" customWidth="1"/>
    <col min="4" max="4" width="4" style="191" bestFit="1" customWidth="1"/>
    <col min="5" max="5" width="4.28515625" style="191" bestFit="1" customWidth="1"/>
    <col min="6" max="7" width="9.140625" style="188"/>
    <col min="8" max="8" width="2.7109375" style="188" customWidth="1"/>
    <col min="9" max="10" width="14.5703125" style="188" bestFit="1" customWidth="1"/>
    <col min="11" max="11" width="13.140625" style="188" bestFit="1" customWidth="1"/>
    <col min="12" max="13" width="14.5703125" style="188" bestFit="1" customWidth="1"/>
    <col min="14" max="14" width="2.7109375" style="188" customWidth="1"/>
    <col min="15" max="15" width="10" style="188" bestFit="1" customWidth="1"/>
    <col min="16" max="16" width="2.7109375" style="188" customWidth="1"/>
    <col min="17" max="17" width="11" style="238" bestFit="1" customWidth="1"/>
    <col min="18" max="18" width="8.140625" style="238" bestFit="1" customWidth="1"/>
    <col min="19" max="19" width="10" style="238" bestFit="1" customWidth="1"/>
    <col min="20" max="20" width="2.7109375" style="188" customWidth="1"/>
    <col min="21" max="21" width="9.140625" style="188"/>
    <col min="22" max="23" width="10" style="188" bestFit="1" customWidth="1"/>
    <col min="24" max="16384" width="9.140625" style="188"/>
  </cols>
  <sheetData>
    <row r="4" spans="1:23" x14ac:dyDescent="0.2">
      <c r="D4" s="316"/>
      <c r="E4" s="325">
        <v>0.75</v>
      </c>
      <c r="F4" s="316" t="s">
        <v>289</v>
      </c>
      <c r="G4" s="316" t="s">
        <v>291</v>
      </c>
      <c r="H4" s="317"/>
      <c r="I4" s="774" t="s">
        <v>290</v>
      </c>
      <c r="J4" s="775"/>
      <c r="K4" s="775"/>
      <c r="L4" s="776"/>
      <c r="M4" s="316" t="s">
        <v>312</v>
      </c>
      <c r="N4" s="194"/>
      <c r="Q4" s="777" t="s">
        <v>325</v>
      </c>
      <c r="R4" s="777"/>
      <c r="S4" s="777"/>
      <c r="U4" s="778" t="s">
        <v>310</v>
      </c>
      <c r="V4" s="778"/>
      <c r="W4" s="778"/>
    </row>
    <row r="5" spans="1:23" x14ac:dyDescent="0.2">
      <c r="A5" s="188" t="s">
        <v>328</v>
      </c>
      <c r="B5" s="188" t="s">
        <v>328</v>
      </c>
      <c r="C5" s="188" t="s">
        <v>328</v>
      </c>
      <c r="D5" s="318" t="s">
        <v>304</v>
      </c>
      <c r="E5" s="318" t="s">
        <v>303</v>
      </c>
      <c r="F5" s="318" t="s">
        <v>291</v>
      </c>
      <c r="G5" s="400" t="s">
        <v>379</v>
      </c>
      <c r="H5" s="317" t="s">
        <v>328</v>
      </c>
      <c r="I5" s="233" t="s">
        <v>292</v>
      </c>
      <c r="J5" s="233" t="s">
        <v>378</v>
      </c>
      <c r="K5" s="233" t="s">
        <v>293</v>
      </c>
      <c r="L5" s="319" t="s">
        <v>294</v>
      </c>
      <c r="M5" s="676" t="s">
        <v>313</v>
      </c>
      <c r="N5" s="194" t="s">
        <v>328</v>
      </c>
      <c r="O5" s="233" t="s">
        <v>305</v>
      </c>
      <c r="P5" s="188" t="s">
        <v>328</v>
      </c>
      <c r="Q5" s="328" t="s">
        <v>306</v>
      </c>
      <c r="R5" s="328" t="s">
        <v>307</v>
      </c>
      <c r="S5" s="328" t="s">
        <v>308</v>
      </c>
      <c r="T5" s="188" t="s">
        <v>328</v>
      </c>
      <c r="U5" s="233" t="s">
        <v>304</v>
      </c>
      <c r="V5" s="233" t="s">
        <v>309</v>
      </c>
      <c r="W5" s="233" t="s">
        <v>311</v>
      </c>
    </row>
    <row r="6" spans="1:23" x14ac:dyDescent="0.2">
      <c r="A6" s="191">
        <v>1</v>
      </c>
      <c r="B6" s="682" t="s">
        <v>526</v>
      </c>
      <c r="C6" s="321" t="s">
        <v>529</v>
      </c>
      <c r="D6" s="377">
        <v>0</v>
      </c>
      <c r="E6" s="377"/>
      <c r="F6" s="329">
        <f>-K6/I6</f>
        <v>4.763992812868325E-2</v>
      </c>
      <c r="G6" s="399">
        <f>-K6/J6</f>
        <v>5.0000003353836676E-2</v>
      </c>
      <c r="H6" s="322"/>
      <c r="I6" s="330">
        <f>'0040'!I$128</f>
        <v>312937.07999999996</v>
      </c>
      <c r="J6" s="330">
        <f>I6-'0040'!I$53</f>
        <v>298165.98</v>
      </c>
      <c r="K6" s="330">
        <f>'0040'!I$135</f>
        <v>-14908.3</v>
      </c>
      <c r="L6" s="330">
        <f>I6+K6</f>
        <v>298028.77999999997</v>
      </c>
      <c r="M6" s="331">
        <f>'0040'!I$145</f>
        <v>24870.66</v>
      </c>
      <c r="N6" s="201"/>
      <c r="O6" s="330">
        <f>'0040'!E30</f>
        <v>36</v>
      </c>
      <c r="Q6" s="331">
        <f>I6/O6</f>
        <v>8692.6966666666649</v>
      </c>
      <c r="R6" s="331">
        <f>K6/O6</f>
        <v>-414.11944444444441</v>
      </c>
      <c r="S6" s="331">
        <f>L6/O6</f>
        <v>8278.5772222222222</v>
      </c>
      <c r="U6" s="331">
        <f>IF(D6="H",S6,0)</f>
        <v>0</v>
      </c>
      <c r="V6" s="331">
        <f t="shared" ref="V6:V7" si="0">ROUND(IF(E6=1,S6,0),2)</f>
        <v>0</v>
      </c>
      <c r="W6" s="331">
        <f t="shared" ref="W6:W7" si="1">IF(AND(U6=0,V6=0),S6,)</f>
        <v>8278.5772222222222</v>
      </c>
    </row>
    <row r="7" spans="1:23" x14ac:dyDescent="0.2">
      <c r="A7" s="191">
        <v>2</v>
      </c>
      <c r="B7" s="683" t="s">
        <v>527</v>
      </c>
      <c r="C7" s="188" t="s">
        <v>530</v>
      </c>
      <c r="D7" s="377">
        <v>0</v>
      </c>
      <c r="E7" s="650"/>
      <c r="F7" s="329">
        <f>-K7/I7</f>
        <v>1.5590390355171846E-2</v>
      </c>
      <c r="G7" s="399">
        <f t="shared" ref="G7:G56" si="2">-K7/J7</f>
        <v>1.6425826952354752E-2</v>
      </c>
      <c r="H7" s="650"/>
      <c r="I7" s="330">
        <f>'0100'!I$128</f>
        <v>271492.24</v>
      </c>
      <c r="J7" s="330">
        <f>I7-'0100'!I$53</f>
        <v>257683.83</v>
      </c>
      <c r="K7" s="330">
        <f>'0100'!I$135</f>
        <v>-4232.67</v>
      </c>
      <c r="L7" s="330">
        <f>I7+K7</f>
        <v>267259.57</v>
      </c>
      <c r="M7" s="331">
        <f>'0100'!I$145</f>
        <v>22269.68</v>
      </c>
      <c r="N7" s="194"/>
      <c r="O7" s="659">
        <f>'0100'!E30</f>
        <v>11</v>
      </c>
      <c r="Q7" s="331">
        <f>I7/O7</f>
        <v>24681.112727272728</v>
      </c>
      <c r="R7" s="331">
        <f t="shared" ref="R7:R50" si="3">K7/O7</f>
        <v>-384.78818181818184</v>
      </c>
      <c r="S7" s="331">
        <f>L7/O7</f>
        <v>24296.324545454547</v>
      </c>
      <c r="U7" s="331">
        <f>IF(D7="H",S7,0)</f>
        <v>0</v>
      </c>
      <c r="V7" s="331">
        <f t="shared" si="0"/>
        <v>0</v>
      </c>
      <c r="W7" s="331">
        <f t="shared" si="1"/>
        <v>24296.324545454547</v>
      </c>
    </row>
    <row r="8" spans="1:23" x14ac:dyDescent="0.2">
      <c r="A8" s="191">
        <v>3</v>
      </c>
      <c r="B8" s="684" t="s">
        <v>158</v>
      </c>
      <c r="C8" s="321" t="s">
        <v>190</v>
      </c>
      <c r="D8" s="377" t="str">
        <f>'1461'!G$135</f>
        <v>H</v>
      </c>
      <c r="E8" s="377" t="str">
        <f>'1461'!H$133</f>
        <v/>
      </c>
      <c r="F8" s="329">
        <f>-K8/I8</f>
        <v>6.8124488056667768E-3</v>
      </c>
      <c r="G8" s="399">
        <f t="shared" si="2"/>
        <v>7.1491898651091443E-3</v>
      </c>
      <c r="H8" s="322"/>
      <c r="I8" s="330">
        <f>'1461'!I$128</f>
        <v>5946239.1800000006</v>
      </c>
      <c r="J8" s="330">
        <f>I8-'1461'!I$53</f>
        <v>5666159.4900000002</v>
      </c>
      <c r="K8" s="330">
        <f>'1461'!I$135</f>
        <v>-40508.449999999997</v>
      </c>
      <c r="L8" s="330">
        <f>I8+K8</f>
        <v>5905730.7300000004</v>
      </c>
      <c r="M8" s="331">
        <f>'1461'!I$145</f>
        <v>492757.49</v>
      </c>
      <c r="N8" s="201"/>
      <c r="O8" s="330">
        <f>'1461'!E$30</f>
        <v>699.38</v>
      </c>
      <c r="Q8" s="331">
        <f>I8/O8</f>
        <v>8502.1578826961031</v>
      </c>
      <c r="R8" s="331">
        <f t="shared" si="3"/>
        <v>-57.920515313563435</v>
      </c>
      <c r="S8" s="331">
        <f t="shared" ref="S8:S50" si="4">L8/O8</f>
        <v>8444.2373673825387</v>
      </c>
      <c r="U8" s="331">
        <f>IF(D8="H",S8,0)</f>
        <v>8444.2373673825387</v>
      </c>
      <c r="V8" s="331">
        <f t="shared" ref="V8:V54" si="5">ROUND(IF(E8=1,S8,0),2)</f>
        <v>0</v>
      </c>
      <c r="W8" s="331">
        <f t="shared" ref="W8:W50" si="6">IF(AND(U8=0,V8=0),S8,)</f>
        <v>0</v>
      </c>
    </row>
    <row r="9" spans="1:23" x14ac:dyDescent="0.2">
      <c r="A9" s="191">
        <v>4</v>
      </c>
      <c r="B9" s="684" t="s">
        <v>159</v>
      </c>
      <c r="C9" s="321" t="s">
        <v>192</v>
      </c>
      <c r="D9" s="377" t="str">
        <f>'1571'!G$135</f>
        <v>H</v>
      </c>
      <c r="E9" s="377" t="str">
        <f>'1571'!H$133</f>
        <v/>
      </c>
      <c r="F9" s="329">
        <f t="shared" ref="F9:F51" si="7">-K9/I9</f>
        <v>4.2803362949641547E-3</v>
      </c>
      <c r="G9" s="399">
        <f t="shared" si="2"/>
        <v>4.4857536086775982E-3</v>
      </c>
      <c r="H9" s="322"/>
      <c r="I9" s="330">
        <f>'1571'!I$128</f>
        <v>9729385.0600000005</v>
      </c>
      <c r="J9" s="330">
        <f>I9-'1571'!I$53</f>
        <v>9283844.7300000004</v>
      </c>
      <c r="K9" s="330">
        <f>'1571'!I$135</f>
        <v>-41645.040000000001</v>
      </c>
      <c r="L9" s="330">
        <f t="shared" ref="L9:L53" si="8">I9+K9</f>
        <v>9687740.0200000014</v>
      </c>
      <c r="M9" s="331">
        <f>'1571'!I$145</f>
        <v>808415.92</v>
      </c>
      <c r="N9" s="201"/>
      <c r="O9" s="330">
        <f>'1571'!E$30</f>
        <v>1114.6400000000001</v>
      </c>
      <c r="Q9" s="331">
        <f t="shared" ref="Q9:Q50" si="9">I9/O9</f>
        <v>8728.7241261752679</v>
      </c>
      <c r="R9" s="331">
        <f t="shared" si="3"/>
        <v>-37.361874685997272</v>
      </c>
      <c r="S9" s="331">
        <f t="shared" si="4"/>
        <v>8691.3622514892704</v>
      </c>
      <c r="U9" s="331">
        <f t="shared" ref="U9:U54" si="10">IF(D9="H",S9,0)</f>
        <v>8691.3622514892704</v>
      </c>
      <c r="V9" s="331">
        <f t="shared" si="5"/>
        <v>0</v>
      </c>
      <c r="W9" s="331">
        <f t="shared" si="6"/>
        <v>0</v>
      </c>
    </row>
    <row r="10" spans="1:23" x14ac:dyDescent="0.2">
      <c r="A10" s="191">
        <v>5</v>
      </c>
      <c r="B10" s="320" t="s">
        <v>160</v>
      </c>
      <c r="C10" s="321" t="s">
        <v>193</v>
      </c>
      <c r="D10" s="377">
        <f>'2521'!G$135</f>
        <v>0</v>
      </c>
      <c r="E10" s="377">
        <f>'2521'!H$133</f>
        <v>1</v>
      </c>
      <c r="F10" s="329">
        <f t="shared" si="7"/>
        <v>2.1397113124261069E-2</v>
      </c>
      <c r="G10" s="399">
        <f t="shared" si="2"/>
        <v>2.2217914502795783E-2</v>
      </c>
      <c r="H10" s="322"/>
      <c r="I10" s="330">
        <f>'2521'!I$128</f>
        <v>1379910.45</v>
      </c>
      <c r="J10" s="330">
        <f>I10-'2521'!I$53</f>
        <v>1328932.1099999999</v>
      </c>
      <c r="K10" s="330">
        <f>'2521'!I$135</f>
        <v>-29526.1</v>
      </c>
      <c r="L10" s="330">
        <f t="shared" si="8"/>
        <v>1350384.3499999999</v>
      </c>
      <c r="M10" s="331">
        <f>'2521'!I$145</f>
        <v>112562.16</v>
      </c>
      <c r="N10" s="201"/>
      <c r="O10" s="330">
        <f>'2521'!E$30</f>
        <v>74.16</v>
      </c>
      <c r="Q10" s="331">
        <f t="shared" si="9"/>
        <v>18607.206715210355</v>
      </c>
      <c r="R10" s="331">
        <f t="shared" si="3"/>
        <v>-398.14050701186625</v>
      </c>
      <c r="S10" s="331">
        <f t="shared" si="4"/>
        <v>18209.066208198488</v>
      </c>
      <c r="U10" s="331">
        <f t="shared" si="10"/>
        <v>0</v>
      </c>
      <c r="V10" s="331">
        <f t="shared" si="5"/>
        <v>18209.07</v>
      </c>
      <c r="W10" s="331">
        <f t="shared" si="6"/>
        <v>0</v>
      </c>
    </row>
    <row r="11" spans="1:23" x14ac:dyDescent="0.2">
      <c r="A11" s="191">
        <v>6</v>
      </c>
      <c r="B11" s="320" t="s">
        <v>161</v>
      </c>
      <c r="C11" s="321" t="s">
        <v>536</v>
      </c>
      <c r="D11" s="377">
        <f>'2531'!G$135</f>
        <v>0</v>
      </c>
      <c r="E11" s="377">
        <f>'2531'!H$133</f>
        <v>1</v>
      </c>
      <c r="F11" s="329">
        <f t="shared" si="7"/>
        <v>1.2186498231937952E-2</v>
      </c>
      <c r="G11" s="399">
        <f t="shared" si="2"/>
        <v>1.2788368111939025E-2</v>
      </c>
      <c r="H11" s="322"/>
      <c r="I11" s="330">
        <f>'2531'!I$128</f>
        <v>1603249.73</v>
      </c>
      <c r="J11" s="330">
        <f>I11-'2531'!I$53</f>
        <v>1527794.6199999999</v>
      </c>
      <c r="K11" s="330">
        <f>'2531'!I$135</f>
        <v>-19538</v>
      </c>
      <c r="L11" s="330">
        <f t="shared" si="8"/>
        <v>1583711.73</v>
      </c>
      <c r="M11" s="331">
        <f>'2531'!I$145</f>
        <v>132295.12</v>
      </c>
      <c r="N11" s="201"/>
      <c r="O11" s="330">
        <f>'2531'!E$30</f>
        <v>49</v>
      </c>
      <c r="Q11" s="331">
        <f t="shared" si="9"/>
        <v>32719.382244897959</v>
      </c>
      <c r="R11" s="331">
        <f t="shared" si="3"/>
        <v>-398.73469387755102</v>
      </c>
      <c r="S11" s="331">
        <f t="shared" si="4"/>
        <v>32320.647551020407</v>
      </c>
      <c r="U11" s="331">
        <f t="shared" si="10"/>
        <v>0</v>
      </c>
      <c r="V11" s="331">
        <f t="shared" si="5"/>
        <v>32320.65</v>
      </c>
      <c r="W11" s="331">
        <f t="shared" si="6"/>
        <v>0</v>
      </c>
    </row>
    <row r="12" spans="1:23" x14ac:dyDescent="0.2">
      <c r="A12" s="191">
        <v>7</v>
      </c>
      <c r="B12" s="682" t="s">
        <v>162</v>
      </c>
      <c r="C12" s="321" t="s">
        <v>295</v>
      </c>
      <c r="D12" s="377">
        <f>'2791'!G$135</f>
        <v>0</v>
      </c>
      <c r="E12" s="377">
        <f>'2791'!H$133</f>
        <v>1</v>
      </c>
      <c r="F12" s="329">
        <f t="shared" si="7"/>
        <v>1.1658701430833513E-2</v>
      </c>
      <c r="G12" s="399">
        <f t="shared" si="2"/>
        <v>1.228960279334506E-2</v>
      </c>
      <c r="H12" s="322"/>
      <c r="I12" s="330">
        <f>'2791'!I$128</f>
        <v>5409536.4199999999</v>
      </c>
      <c r="J12" s="330">
        <f>I12-'2791'!I$53</f>
        <v>5131831.4399999995</v>
      </c>
      <c r="K12" s="330">
        <f>'2791'!I$135</f>
        <v>-63068.17</v>
      </c>
      <c r="L12" s="330">
        <f t="shared" si="8"/>
        <v>5346468.25</v>
      </c>
      <c r="M12" s="331">
        <f>'2791'!I$145</f>
        <v>446019.94</v>
      </c>
      <c r="N12" s="201"/>
      <c r="O12" s="330">
        <f>'2791'!E$30</f>
        <v>164</v>
      </c>
      <c r="Q12" s="331">
        <f t="shared" si="9"/>
        <v>32984.978170731709</v>
      </c>
      <c r="R12" s="331">
        <f t="shared" si="3"/>
        <v>-384.56201219512195</v>
      </c>
      <c r="S12" s="331">
        <f t="shared" si="4"/>
        <v>32600.416158536584</v>
      </c>
      <c r="U12" s="331">
        <f t="shared" si="10"/>
        <v>0</v>
      </c>
      <c r="V12" s="331">
        <f t="shared" si="5"/>
        <v>32600.42</v>
      </c>
      <c r="W12" s="331">
        <f t="shared" si="6"/>
        <v>0</v>
      </c>
    </row>
    <row r="13" spans="1:23" x14ac:dyDescent="0.2">
      <c r="A13" s="191">
        <v>8</v>
      </c>
      <c r="B13" s="320" t="s">
        <v>163</v>
      </c>
      <c r="C13" s="323" t="s">
        <v>377</v>
      </c>
      <c r="D13" s="377">
        <f>'2801'!G$135</f>
        <v>0</v>
      </c>
      <c r="E13" s="377" t="str">
        <f>'2801'!H$133</f>
        <v/>
      </c>
      <c r="F13" s="329">
        <f t="shared" si="7"/>
        <v>2.0565411720462484E-2</v>
      </c>
      <c r="G13" s="399">
        <f t="shared" si="2"/>
        <v>2.1588946925714107E-2</v>
      </c>
      <c r="H13" s="322"/>
      <c r="I13" s="330">
        <f>'2801'!I$128</f>
        <v>5365718.9799999995</v>
      </c>
      <c r="J13" s="330">
        <f>I13-'2801'!I$53</f>
        <v>5111329.4399999995</v>
      </c>
      <c r="K13" s="330">
        <f>'2801'!I$135</f>
        <v>-110348.22</v>
      </c>
      <c r="L13" s="330">
        <f t="shared" si="8"/>
        <v>5255370.76</v>
      </c>
      <c r="M13" s="331">
        <f>'2801'!I$145</f>
        <v>438326.62</v>
      </c>
      <c r="N13" s="201"/>
      <c r="O13" s="330">
        <f>'2801'!E$30</f>
        <v>579</v>
      </c>
      <c r="Q13" s="331">
        <f t="shared" si="9"/>
        <v>9267.2175820379962</v>
      </c>
      <c r="R13" s="331">
        <f t="shared" si="3"/>
        <v>-190.58414507772022</v>
      </c>
      <c r="S13" s="331">
        <f t="shared" si="4"/>
        <v>9076.6334369602755</v>
      </c>
      <c r="U13" s="331">
        <f t="shared" si="10"/>
        <v>0</v>
      </c>
      <c r="V13" s="331">
        <f t="shared" si="5"/>
        <v>0</v>
      </c>
      <c r="W13" s="331">
        <f t="shared" si="6"/>
        <v>9076.6334369602755</v>
      </c>
    </row>
    <row r="14" spans="1:23" x14ac:dyDescent="0.2">
      <c r="A14" s="191">
        <v>9</v>
      </c>
      <c r="B14" s="320" t="s">
        <v>164</v>
      </c>
      <c r="C14" s="321" t="s">
        <v>196</v>
      </c>
      <c r="D14" s="377" t="str">
        <f>'2911'!G$135</f>
        <v>H</v>
      </c>
      <c r="E14" s="377" t="str">
        <f>'2911'!H$133</f>
        <v/>
      </c>
      <c r="F14" s="329">
        <f t="shared" si="7"/>
        <v>6.7156204582005117E-3</v>
      </c>
      <c r="G14" s="399">
        <f t="shared" si="2"/>
        <v>7.054774045611059E-3</v>
      </c>
      <c r="H14" s="322"/>
      <c r="I14" s="330">
        <f>'2911'!I$128</f>
        <v>6194550.4899999993</v>
      </c>
      <c r="J14" s="330">
        <f>I14-'2911'!I$53</f>
        <v>5896751.5799999991</v>
      </c>
      <c r="K14" s="330">
        <f>'2911'!I$135</f>
        <v>-41600.25</v>
      </c>
      <c r="L14" s="330">
        <f t="shared" si="8"/>
        <v>6152950.2399999993</v>
      </c>
      <c r="M14" s="331">
        <f>'2911'!I$145</f>
        <v>513425.85</v>
      </c>
      <c r="N14" s="201"/>
      <c r="O14" s="330">
        <f>'2911'!E$30</f>
        <v>708.74</v>
      </c>
      <c r="Q14" s="331">
        <f t="shared" si="9"/>
        <v>8740.2298304032502</v>
      </c>
      <c r="R14" s="331">
        <f t="shared" si="3"/>
        <v>-58.696066258430456</v>
      </c>
      <c r="S14" s="331">
        <f t="shared" si="4"/>
        <v>8681.5337641448186</v>
      </c>
      <c r="U14" s="331">
        <f t="shared" si="10"/>
        <v>8681.5337641448186</v>
      </c>
      <c r="V14" s="331">
        <f t="shared" si="5"/>
        <v>0</v>
      </c>
      <c r="W14" s="331">
        <f t="shared" si="6"/>
        <v>0</v>
      </c>
    </row>
    <row r="15" spans="1:23" x14ac:dyDescent="0.2">
      <c r="A15" s="191">
        <v>10</v>
      </c>
      <c r="B15" s="320" t="s">
        <v>165</v>
      </c>
      <c r="C15" s="321" t="s">
        <v>197</v>
      </c>
      <c r="D15" s="377">
        <f>'2941'!G$135</f>
        <v>0</v>
      </c>
      <c r="E15" s="377">
        <f>'2941'!H$133</f>
        <v>1</v>
      </c>
      <c r="F15" s="329">
        <f t="shared" si="7"/>
        <v>9.1323391455913616E-3</v>
      </c>
      <c r="G15" s="399">
        <f t="shared" si="2"/>
        <v>9.5893262642214334E-3</v>
      </c>
      <c r="H15" s="322"/>
      <c r="I15" s="330">
        <f>'2941'!I$128</f>
        <v>10519477.920000002</v>
      </c>
      <c r="J15" s="330">
        <f>I15-'2941'!I$53</f>
        <v>10018163.670000002</v>
      </c>
      <c r="K15" s="330">
        <f>'2941'!I$135</f>
        <v>-96067.44</v>
      </c>
      <c r="L15" s="330">
        <f t="shared" si="8"/>
        <v>10423410.480000002</v>
      </c>
      <c r="M15" s="331">
        <f>'2941'!I$145</f>
        <v>869504.11</v>
      </c>
      <c r="N15" s="201"/>
      <c r="O15" s="330">
        <f>'2941'!E$30</f>
        <v>381</v>
      </c>
      <c r="Q15" s="331">
        <f t="shared" si="9"/>
        <v>27610.178267716539</v>
      </c>
      <c r="R15" s="331">
        <f t="shared" si="3"/>
        <v>-252.14551181102362</v>
      </c>
      <c r="S15" s="331">
        <f t="shared" si="4"/>
        <v>27358.032755905519</v>
      </c>
      <c r="U15" s="331">
        <f t="shared" si="10"/>
        <v>0</v>
      </c>
      <c r="V15" s="331">
        <f t="shared" si="5"/>
        <v>27358.03</v>
      </c>
      <c r="W15" s="331">
        <f t="shared" si="6"/>
        <v>0</v>
      </c>
    </row>
    <row r="16" spans="1:23" x14ac:dyDescent="0.2">
      <c r="A16" s="191">
        <v>11</v>
      </c>
      <c r="B16" s="320" t="s">
        <v>166</v>
      </c>
      <c r="C16" s="323" t="s">
        <v>384</v>
      </c>
      <c r="D16" s="377">
        <f>'3083'!G$135</f>
        <v>0</v>
      </c>
      <c r="E16" s="377">
        <f>'3083'!H$133</f>
        <v>1</v>
      </c>
      <c r="F16" s="329">
        <f t="shared" si="7"/>
        <v>1.0278151159926533E-2</v>
      </c>
      <c r="G16" s="399">
        <f t="shared" si="2"/>
        <v>1.0831494227819391E-2</v>
      </c>
      <c r="H16" s="322"/>
      <c r="I16" s="330">
        <f>'3083'!I$128</f>
        <v>6014332.6399999997</v>
      </c>
      <c r="J16" s="330">
        <f>I16-'3083'!I$53</f>
        <v>5707081.4699999997</v>
      </c>
      <c r="K16" s="330">
        <f>'3083'!I$135</f>
        <v>-61816.22</v>
      </c>
      <c r="L16" s="330">
        <f>I16+K16</f>
        <v>5952516.4199999999</v>
      </c>
      <c r="M16" s="331">
        <f>'3083'!I$145</f>
        <v>497059.68</v>
      </c>
      <c r="N16" s="201"/>
      <c r="O16" s="330">
        <f>'3083'!E$30</f>
        <v>161</v>
      </c>
      <c r="Q16" s="331">
        <f t="shared" si="9"/>
        <v>37356.103354037266</v>
      </c>
      <c r="R16" s="331">
        <f t="shared" si="3"/>
        <v>-383.95167701863357</v>
      </c>
      <c r="S16" s="331">
        <f t="shared" si="4"/>
        <v>36972.151677018635</v>
      </c>
      <c r="U16" s="331">
        <f t="shared" si="10"/>
        <v>0</v>
      </c>
      <c r="V16" s="331">
        <f t="shared" si="5"/>
        <v>36972.15</v>
      </c>
      <c r="W16" s="331">
        <f t="shared" si="6"/>
        <v>0</v>
      </c>
    </row>
    <row r="17" spans="1:26" x14ac:dyDescent="0.2">
      <c r="A17" s="191">
        <v>12</v>
      </c>
      <c r="B17" s="320" t="s">
        <v>167</v>
      </c>
      <c r="C17" s="323" t="s">
        <v>383</v>
      </c>
      <c r="D17" s="378">
        <f>'3345'!G$135</f>
        <v>0</v>
      </c>
      <c r="E17" s="378">
        <f>'3345'!H$133</f>
        <v>1</v>
      </c>
      <c r="F17" s="329">
        <f>-K17/I17</f>
        <v>2.8075490898957507E-2</v>
      </c>
      <c r="G17" s="399">
        <f t="shared" si="2"/>
        <v>2.8899512052059869E-2</v>
      </c>
      <c r="H17" s="322"/>
      <c r="I17" s="330">
        <f>'3345'!I$128</f>
        <v>1127073.0799999998</v>
      </c>
      <c r="J17" s="330">
        <f>I17-'3345'!I$53</f>
        <v>1094936.4799999997</v>
      </c>
      <c r="K17" s="330">
        <f>'3345'!I$135</f>
        <v>-31643.13</v>
      </c>
      <c r="L17" s="330">
        <f t="shared" si="8"/>
        <v>1095429.95</v>
      </c>
      <c r="M17" s="331">
        <f>'3345'!I$145</f>
        <v>91364.55</v>
      </c>
      <c r="N17" s="201"/>
      <c r="O17" s="330">
        <f>'3345'!E$30</f>
        <v>77</v>
      </c>
      <c r="Q17" s="331">
        <f t="shared" si="9"/>
        <v>14637.312727272725</v>
      </c>
      <c r="R17" s="331">
        <f t="shared" si="3"/>
        <v>-410.94974025974028</v>
      </c>
      <c r="S17" s="331">
        <f t="shared" si="4"/>
        <v>14226.362987012986</v>
      </c>
      <c r="U17" s="331">
        <f t="shared" si="10"/>
        <v>0</v>
      </c>
      <c r="V17" s="331">
        <f t="shared" si="5"/>
        <v>14226.36</v>
      </c>
      <c r="W17" s="331">
        <f t="shared" si="6"/>
        <v>0</v>
      </c>
      <c r="Z17" s="295"/>
    </row>
    <row r="18" spans="1:26" x14ac:dyDescent="0.2">
      <c r="A18" s="191">
        <v>13</v>
      </c>
      <c r="B18" s="320" t="s">
        <v>168</v>
      </c>
      <c r="C18" s="321" t="s">
        <v>200</v>
      </c>
      <c r="D18" s="377" t="str">
        <f>'3381'!G$135</f>
        <v>H</v>
      </c>
      <c r="E18" s="377" t="str">
        <f>'3381'!H$133</f>
        <v/>
      </c>
      <c r="F18" s="329">
        <f t="shared" si="7"/>
        <v>4.5457595046675724E-3</v>
      </c>
      <c r="G18" s="399">
        <f t="shared" si="2"/>
        <v>4.7755490166319385E-3</v>
      </c>
      <c r="H18" s="322"/>
      <c r="I18" s="330">
        <f>'3381'!I$128</f>
        <v>9184238.620000001</v>
      </c>
      <c r="J18" s="330">
        <f>I18-'3381'!I$53</f>
        <v>8742312.1100000013</v>
      </c>
      <c r="K18" s="330">
        <f>'3381'!I$135</f>
        <v>-41749.339999999997</v>
      </c>
      <c r="L18" s="330">
        <f t="shared" si="8"/>
        <v>9142489.2800000012</v>
      </c>
      <c r="M18" s="331">
        <f>'3381'!I$145</f>
        <v>762872.3</v>
      </c>
      <c r="N18" s="201"/>
      <c r="O18" s="330">
        <f>'3381'!E$30</f>
        <v>1047</v>
      </c>
      <c r="Q18" s="331">
        <f t="shared" si="9"/>
        <v>8771.9566571155701</v>
      </c>
      <c r="R18" s="331">
        <f t="shared" si="3"/>
        <v>-39.87520534861509</v>
      </c>
      <c r="S18" s="331">
        <f t="shared" si="4"/>
        <v>8732.0814517669551</v>
      </c>
      <c r="U18" s="331">
        <f t="shared" si="10"/>
        <v>8732.0814517669551</v>
      </c>
      <c r="V18" s="331">
        <f t="shared" si="5"/>
        <v>0</v>
      </c>
      <c r="W18" s="331">
        <f t="shared" si="6"/>
        <v>0</v>
      </c>
      <c r="Z18" s="295"/>
    </row>
    <row r="19" spans="1:26" x14ac:dyDescent="0.2">
      <c r="A19" s="191">
        <v>14</v>
      </c>
      <c r="B19" s="320" t="s">
        <v>169</v>
      </c>
      <c r="C19" s="321" t="s">
        <v>202</v>
      </c>
      <c r="D19" s="377">
        <f>'3382'!G$135</f>
        <v>0</v>
      </c>
      <c r="E19" s="377" t="str">
        <f>'3382'!H$133</f>
        <v/>
      </c>
      <c r="F19" s="329">
        <f t="shared" si="7"/>
        <v>4.4043480475288853E-2</v>
      </c>
      <c r="G19" s="399">
        <f t="shared" si="2"/>
        <v>4.612546047833764E-2</v>
      </c>
      <c r="H19" s="322"/>
      <c r="I19" s="330">
        <f>'3382'!I$128</f>
        <v>2538893.13</v>
      </c>
      <c r="J19" s="330">
        <f>I19-'3382'!I$53</f>
        <v>2424294.2799999998</v>
      </c>
      <c r="K19" s="330">
        <f>'3382'!I$135</f>
        <v>-111821.69</v>
      </c>
      <c r="L19" s="330">
        <f t="shared" si="8"/>
        <v>2427071.44</v>
      </c>
      <c r="M19" s="331">
        <f>'3382'!I$145</f>
        <v>202508.28</v>
      </c>
      <c r="N19" s="201"/>
      <c r="O19" s="330">
        <f>'3382'!E$30</f>
        <v>271</v>
      </c>
      <c r="Q19" s="331">
        <f t="shared" si="9"/>
        <v>9368.6093357933569</v>
      </c>
      <c r="R19" s="331">
        <f t="shared" si="3"/>
        <v>-412.62616236162364</v>
      </c>
      <c r="S19" s="331">
        <f t="shared" si="4"/>
        <v>8955.983173431734</v>
      </c>
      <c r="U19" s="331">
        <f t="shared" si="10"/>
        <v>0</v>
      </c>
      <c r="V19" s="331">
        <f t="shared" si="5"/>
        <v>0</v>
      </c>
      <c r="W19" s="331">
        <f t="shared" si="6"/>
        <v>8955.983173431734</v>
      </c>
    </row>
    <row r="20" spans="1:26" x14ac:dyDescent="0.2">
      <c r="A20" s="191">
        <v>15</v>
      </c>
      <c r="B20" s="320" t="s">
        <v>170</v>
      </c>
      <c r="C20" s="758" t="s">
        <v>204</v>
      </c>
      <c r="D20" s="377">
        <f>'3391'!G$135</f>
        <v>0</v>
      </c>
      <c r="E20" s="377">
        <f>'3391'!H$133</f>
        <v>1</v>
      </c>
      <c r="F20" s="329"/>
      <c r="G20" s="399"/>
      <c r="H20" s="322"/>
      <c r="I20" s="330"/>
      <c r="J20" s="330"/>
      <c r="K20" s="330"/>
      <c r="L20" s="330"/>
      <c r="M20" s="331"/>
      <c r="N20" s="201"/>
      <c r="O20" s="330"/>
      <c r="Q20" s="331"/>
      <c r="R20" s="331"/>
      <c r="S20" s="331"/>
      <c r="U20" s="331"/>
      <c r="V20" s="331"/>
      <c r="W20" s="331"/>
    </row>
    <row r="21" spans="1:26" x14ac:dyDescent="0.2">
      <c r="A21" s="191">
        <v>16</v>
      </c>
      <c r="B21" s="320" t="s">
        <v>171</v>
      </c>
      <c r="C21" s="321" t="s">
        <v>205</v>
      </c>
      <c r="D21" s="377">
        <f>'3394'!G$135</f>
        <v>0</v>
      </c>
      <c r="E21" s="377" t="str">
        <f>'3394'!H$133</f>
        <v/>
      </c>
      <c r="F21" s="329">
        <f t="shared" si="7"/>
        <v>4.7549064034930082E-2</v>
      </c>
      <c r="G21" s="399">
        <f t="shared" si="2"/>
        <v>5.0000003029335292E-2</v>
      </c>
      <c r="H21" s="322"/>
      <c r="I21" s="330">
        <f>'3394'!I$128</f>
        <v>1735604.3</v>
      </c>
      <c r="J21" s="330">
        <f>I21-'3394'!I$53</f>
        <v>1650527.1</v>
      </c>
      <c r="K21" s="330">
        <f>'3394'!I$135</f>
        <v>-82526.36</v>
      </c>
      <c r="L21" s="330">
        <f t="shared" si="8"/>
        <v>1653077.94</v>
      </c>
      <c r="M21" s="331">
        <f>'3394'!I$145</f>
        <v>137857.37</v>
      </c>
      <c r="N21" s="201"/>
      <c r="O21" s="330">
        <f>'3394'!E$30</f>
        <v>192</v>
      </c>
      <c r="Q21" s="331">
        <f t="shared" si="9"/>
        <v>9039.6057291666675</v>
      </c>
      <c r="R21" s="331">
        <f t="shared" si="3"/>
        <v>-429.82479166666667</v>
      </c>
      <c r="S21" s="331">
        <f t="shared" si="4"/>
        <v>8609.7809374999997</v>
      </c>
      <c r="U21" s="331">
        <f t="shared" si="10"/>
        <v>0</v>
      </c>
      <c r="V21" s="331">
        <f t="shared" si="5"/>
        <v>0</v>
      </c>
      <c r="W21" s="331">
        <f t="shared" si="6"/>
        <v>8609.7809374999997</v>
      </c>
    </row>
    <row r="22" spans="1:26" x14ac:dyDescent="0.2">
      <c r="A22" s="191">
        <v>17</v>
      </c>
      <c r="B22" s="320" t="s">
        <v>172</v>
      </c>
      <c r="C22" s="323" t="s">
        <v>296</v>
      </c>
      <c r="D22" s="378">
        <f>'3395'!G$135</f>
        <v>0</v>
      </c>
      <c r="E22" s="378" t="str">
        <f>'3395'!H$133</f>
        <v/>
      </c>
      <c r="F22" s="329">
        <f t="shared" si="7"/>
        <v>2.3084301806012952E-2</v>
      </c>
      <c r="G22" s="399">
        <f t="shared" si="2"/>
        <v>2.4270902547257153E-2</v>
      </c>
      <c r="H22" s="322"/>
      <c r="I22" s="330">
        <f>'3395'!I$128</f>
        <v>4522313.08</v>
      </c>
      <c r="J22" s="330">
        <f>I22-'3395'!I$53</f>
        <v>4301217.88</v>
      </c>
      <c r="K22" s="330">
        <f>'3395'!I$135</f>
        <v>-104394.44</v>
      </c>
      <c r="L22" s="330">
        <f t="shared" si="8"/>
        <v>4417918.6399999997</v>
      </c>
      <c r="M22" s="331">
        <f>'3395'!I$145</f>
        <v>368541.43</v>
      </c>
      <c r="N22" s="201"/>
      <c r="O22" s="330">
        <f>'3395'!E$30</f>
        <v>515.02</v>
      </c>
      <c r="Q22" s="331">
        <f t="shared" si="9"/>
        <v>8780.8494427400874</v>
      </c>
      <c r="R22" s="331">
        <f t="shared" si="3"/>
        <v>-202.69977864937286</v>
      </c>
      <c r="S22" s="331">
        <f t="shared" si="4"/>
        <v>8578.1496640907153</v>
      </c>
      <c r="U22" s="331">
        <f t="shared" si="10"/>
        <v>0</v>
      </c>
      <c r="V22" s="331">
        <f t="shared" si="5"/>
        <v>0</v>
      </c>
      <c r="W22" s="331">
        <f t="shared" si="6"/>
        <v>8578.1496640907153</v>
      </c>
    </row>
    <row r="23" spans="1:26" x14ac:dyDescent="0.2">
      <c r="A23" s="191">
        <v>18</v>
      </c>
      <c r="B23" s="320" t="s">
        <v>173</v>
      </c>
      <c r="C23" s="323" t="s">
        <v>227</v>
      </c>
      <c r="D23" s="378" t="str">
        <f>'3396'!G$135</f>
        <v>H</v>
      </c>
      <c r="E23" s="378" t="str">
        <f>'3396'!H$133</f>
        <v/>
      </c>
      <c r="F23" s="329">
        <f t="shared" si="7"/>
        <v>6.736482416125995E-3</v>
      </c>
      <c r="G23" s="399">
        <f t="shared" si="2"/>
        <v>7.0733363402257065E-3</v>
      </c>
      <c r="H23" s="322"/>
      <c r="I23" s="330">
        <f>'3396'!I$128</f>
        <v>5907007.1799999997</v>
      </c>
      <c r="J23" s="330">
        <f>I23-'3396'!I$53</f>
        <v>5625697.4199999999</v>
      </c>
      <c r="K23" s="330">
        <f>'3396'!I$135</f>
        <v>-39792.449999999997</v>
      </c>
      <c r="L23" s="330">
        <f t="shared" si="8"/>
        <v>5867214.7299999995</v>
      </c>
      <c r="M23" s="331">
        <f>'3396'!I$145</f>
        <v>489623.72</v>
      </c>
      <c r="N23" s="201"/>
      <c r="O23" s="330">
        <f>'3396'!E$30</f>
        <v>706.88</v>
      </c>
      <c r="Q23" s="331">
        <f t="shared" si="9"/>
        <v>8356.4497227252141</v>
      </c>
      <c r="R23" s="331">
        <f t="shared" si="3"/>
        <v>-56.293076618379352</v>
      </c>
      <c r="S23" s="331">
        <f t="shared" si="4"/>
        <v>8300.1566461068342</v>
      </c>
      <c r="U23" s="331">
        <f t="shared" si="10"/>
        <v>8300.1566461068342</v>
      </c>
      <c r="V23" s="331">
        <f t="shared" si="5"/>
        <v>0</v>
      </c>
      <c r="W23" s="331">
        <f t="shared" si="6"/>
        <v>0</v>
      </c>
    </row>
    <row r="24" spans="1:26" x14ac:dyDescent="0.2">
      <c r="A24" s="191">
        <v>19</v>
      </c>
      <c r="B24" s="320" t="s">
        <v>174</v>
      </c>
      <c r="C24" s="321" t="s">
        <v>195</v>
      </c>
      <c r="D24" s="377">
        <f>'3398'!G$135</f>
        <v>0</v>
      </c>
      <c r="E24" s="377" t="str">
        <f>'3398'!H$133</f>
        <v/>
      </c>
      <c r="F24" s="329">
        <f t="shared" si="7"/>
        <v>4.7694081225499341E-2</v>
      </c>
      <c r="G24" s="399">
        <f t="shared" si="2"/>
        <v>4.9999995115551345E-2</v>
      </c>
      <c r="H24" s="322"/>
      <c r="I24" s="330">
        <f>'3398'!I$128</f>
        <v>965833.89</v>
      </c>
      <c r="J24" s="330">
        <f>I24-'3398'!I$53</f>
        <v>921291.29</v>
      </c>
      <c r="K24" s="330">
        <f>'3398'!I$135</f>
        <v>-46064.56</v>
      </c>
      <c r="L24" s="330">
        <f t="shared" si="8"/>
        <v>919769.33000000007</v>
      </c>
      <c r="M24" s="331">
        <f>'3398'!I$145</f>
        <v>76763.56</v>
      </c>
      <c r="N24" s="201"/>
      <c r="O24" s="330">
        <f>'3398'!E$30</f>
        <v>113.17999999999999</v>
      </c>
      <c r="Q24" s="331">
        <f t="shared" si="9"/>
        <v>8533.6092065736011</v>
      </c>
      <c r="R24" s="331">
        <f t="shared" si="3"/>
        <v>-407.0026506449903</v>
      </c>
      <c r="S24" s="331">
        <f t="shared" si="4"/>
        <v>8126.6065559286108</v>
      </c>
      <c r="U24" s="331">
        <f t="shared" si="10"/>
        <v>0</v>
      </c>
      <c r="V24" s="331">
        <f t="shared" si="5"/>
        <v>0</v>
      </c>
      <c r="W24" s="331">
        <f t="shared" si="6"/>
        <v>8126.6065559286108</v>
      </c>
    </row>
    <row r="25" spans="1:26" x14ac:dyDescent="0.2">
      <c r="A25" s="191">
        <v>20</v>
      </c>
      <c r="B25" s="320" t="s">
        <v>175</v>
      </c>
      <c r="C25" s="321" t="s">
        <v>189</v>
      </c>
      <c r="D25" s="377">
        <f>'3400'!G$135</f>
        <v>0</v>
      </c>
      <c r="E25" s="377">
        <f>'3400'!H$133</f>
        <v>1</v>
      </c>
      <c r="F25" s="329">
        <f t="shared" si="7"/>
        <v>3.2480877638009137E-2</v>
      </c>
      <c r="G25" s="399">
        <f t="shared" si="2"/>
        <v>3.355377363444103E-2</v>
      </c>
      <c r="H25" s="322"/>
      <c r="I25" s="330">
        <f>'3400'!I$128</f>
        <v>1170601.9900000002</v>
      </c>
      <c r="J25" s="330">
        <f>I25-'3400'!I$53</f>
        <v>1133171.5000000002</v>
      </c>
      <c r="K25" s="330">
        <f>'3400'!I$135</f>
        <v>-38022.18</v>
      </c>
      <c r="L25" s="330">
        <f t="shared" si="8"/>
        <v>1132579.8100000003</v>
      </c>
      <c r="M25" s="331">
        <f>'3400'!I$145</f>
        <v>94458.1</v>
      </c>
      <c r="N25" s="201"/>
      <c r="O25" s="330">
        <f>'3400'!E$30</f>
        <v>95.86</v>
      </c>
      <c r="Q25" s="331">
        <f t="shared" si="9"/>
        <v>12211.57928228667</v>
      </c>
      <c r="R25" s="331">
        <f t="shared" si="3"/>
        <v>-396.64281243480076</v>
      </c>
      <c r="S25" s="331">
        <f t="shared" si="4"/>
        <v>11814.936469851871</v>
      </c>
      <c r="U25" s="331">
        <f t="shared" si="10"/>
        <v>0</v>
      </c>
      <c r="V25" s="331">
        <f t="shared" si="5"/>
        <v>11814.94</v>
      </c>
      <c r="W25" s="331">
        <f t="shared" si="6"/>
        <v>0</v>
      </c>
    </row>
    <row r="26" spans="1:26" x14ac:dyDescent="0.2">
      <c r="A26" s="191">
        <v>21</v>
      </c>
      <c r="B26" s="320" t="s">
        <v>176</v>
      </c>
      <c r="C26" s="321" t="s">
        <v>206</v>
      </c>
      <c r="D26" s="377">
        <f>'3401'!G$135</f>
        <v>0</v>
      </c>
      <c r="E26" s="377">
        <f>'3401'!H$133</f>
        <v>0</v>
      </c>
      <c r="F26" s="329">
        <f t="shared" si="7"/>
        <v>2.8015216700751067E-2</v>
      </c>
      <c r="G26" s="399">
        <f t="shared" si="2"/>
        <v>2.9364780065420315E-2</v>
      </c>
      <c r="H26" s="322"/>
      <c r="I26" s="330">
        <f>'3401'!I$128</f>
        <v>3652868.0500000007</v>
      </c>
      <c r="J26" s="330">
        <f>I26-'3401'!I$53</f>
        <v>3484987.4500000007</v>
      </c>
      <c r="K26" s="330">
        <f>'3401'!I$135</f>
        <v>-102335.89</v>
      </c>
      <c r="L26" s="330">
        <f t="shared" si="8"/>
        <v>3550532.1600000006</v>
      </c>
      <c r="M26" s="331">
        <f>'3401'!I$145</f>
        <v>296284.59999999998</v>
      </c>
      <c r="N26" s="201"/>
      <c r="O26" s="330">
        <f>'3401'!E$30</f>
        <v>425.67999999999995</v>
      </c>
      <c r="Q26" s="331">
        <f t="shared" si="9"/>
        <v>8581.2536412328536</v>
      </c>
      <c r="R26" s="331">
        <f t="shared" si="3"/>
        <v>-240.40568032324754</v>
      </c>
      <c r="S26" s="331">
        <f t="shared" si="4"/>
        <v>8340.8479609096066</v>
      </c>
      <c r="U26" s="331">
        <f t="shared" si="10"/>
        <v>0</v>
      </c>
      <c r="V26" s="331">
        <f t="shared" si="5"/>
        <v>0</v>
      </c>
      <c r="W26" s="331">
        <f t="shared" si="6"/>
        <v>8340.8479609096066</v>
      </c>
    </row>
    <row r="27" spans="1:26" x14ac:dyDescent="0.2">
      <c r="A27" s="191">
        <v>22</v>
      </c>
      <c r="B27" s="320" t="s">
        <v>177</v>
      </c>
      <c r="C27" s="321" t="s">
        <v>207</v>
      </c>
      <c r="D27" s="377" t="str">
        <f>'3413'!G$135</f>
        <v>H</v>
      </c>
      <c r="E27" s="377" t="str">
        <f>'3413'!H$133</f>
        <v/>
      </c>
      <c r="F27" s="329">
        <f t="shared" si="7"/>
        <v>1.2198362577988698E-2</v>
      </c>
      <c r="G27" s="399">
        <f t="shared" si="2"/>
        <v>1.2819854951097616E-2</v>
      </c>
      <c r="H27" s="322"/>
      <c r="I27" s="330">
        <f>'3413'!I$128</f>
        <v>3477233.09</v>
      </c>
      <c r="J27" s="330">
        <f>I27-'3413'!I$53</f>
        <v>3308660.6799999997</v>
      </c>
      <c r="K27" s="330">
        <f>'3413'!I$135</f>
        <v>-42416.55</v>
      </c>
      <c r="L27" s="330">
        <f t="shared" si="8"/>
        <v>3434816.54</v>
      </c>
      <c r="M27" s="331">
        <f>'3413'!I$145</f>
        <v>286550.08</v>
      </c>
      <c r="N27" s="201"/>
      <c r="O27" s="330">
        <f>'3413'!E$30</f>
        <v>390.02000000000004</v>
      </c>
      <c r="Q27" s="331">
        <f t="shared" si="9"/>
        <v>8915.5250756371461</v>
      </c>
      <c r="R27" s="331">
        <f t="shared" si="3"/>
        <v>-108.754807445772</v>
      </c>
      <c r="S27" s="331">
        <f t="shared" si="4"/>
        <v>8806.7702681913743</v>
      </c>
      <c r="U27" s="331">
        <f t="shared" si="10"/>
        <v>8806.7702681913743</v>
      </c>
      <c r="V27" s="331">
        <f t="shared" si="5"/>
        <v>0</v>
      </c>
      <c r="W27" s="331">
        <f t="shared" si="6"/>
        <v>0</v>
      </c>
    </row>
    <row r="28" spans="1:26" x14ac:dyDescent="0.2">
      <c r="A28" s="191">
        <v>23</v>
      </c>
      <c r="B28" s="320" t="s">
        <v>178</v>
      </c>
      <c r="C28" s="321" t="s">
        <v>208</v>
      </c>
      <c r="D28" s="377">
        <f>'3421'!G$135</f>
        <v>0</v>
      </c>
      <c r="E28" s="377" t="str">
        <f>'3421'!H$133</f>
        <v/>
      </c>
      <c r="F28" s="329">
        <f t="shared" si="7"/>
        <v>2.4842895781432124E-2</v>
      </c>
      <c r="G28" s="399">
        <f t="shared" si="2"/>
        <v>2.608623064713184E-2</v>
      </c>
      <c r="H28" s="322"/>
      <c r="I28" s="330">
        <f>'3421'!I$128</f>
        <v>3939523.4299999997</v>
      </c>
      <c r="J28" s="330">
        <f>I28-'3421'!I$53</f>
        <v>3751755.9099999997</v>
      </c>
      <c r="K28" s="330">
        <f>'3421'!I$135</f>
        <v>-97869.17</v>
      </c>
      <c r="L28" s="330">
        <f t="shared" si="8"/>
        <v>3841654.26</v>
      </c>
      <c r="M28" s="331">
        <f>'3421'!I$145</f>
        <v>320269.78000000003</v>
      </c>
      <c r="N28" s="201"/>
      <c r="O28" s="330">
        <f>'3421'!E$30</f>
        <v>479.18</v>
      </c>
      <c r="Q28" s="331">
        <f t="shared" si="9"/>
        <v>8221.3853457990735</v>
      </c>
      <c r="R28" s="331">
        <f t="shared" si="3"/>
        <v>-204.24301932467966</v>
      </c>
      <c r="S28" s="331">
        <f t="shared" si="4"/>
        <v>8017.1423264743935</v>
      </c>
      <c r="U28" s="331">
        <f t="shared" si="10"/>
        <v>0</v>
      </c>
      <c r="V28" s="331">
        <f t="shared" si="5"/>
        <v>0</v>
      </c>
      <c r="W28" s="331">
        <f t="shared" si="6"/>
        <v>8017.1423264743935</v>
      </c>
    </row>
    <row r="29" spans="1:26" x14ac:dyDescent="0.2">
      <c r="A29" s="191">
        <v>24</v>
      </c>
      <c r="B29" s="320" t="s">
        <v>179</v>
      </c>
      <c r="C29" s="321" t="s">
        <v>210</v>
      </c>
      <c r="D29" s="377" t="str">
        <f>'3431'!G$135</f>
        <v>H</v>
      </c>
      <c r="E29" s="377" t="str">
        <f>'3431'!H$133</f>
        <v/>
      </c>
      <c r="F29" s="329">
        <f t="shared" si="7"/>
        <v>4.6924040615232733E-3</v>
      </c>
      <c r="G29" s="399">
        <f t="shared" si="2"/>
        <v>4.9315505781223146E-3</v>
      </c>
      <c r="H29" s="322"/>
      <c r="I29" s="330">
        <f>'3431'!I$128</f>
        <v>8883510.3399999999</v>
      </c>
      <c r="J29" s="330">
        <f>I29-'3431'!I$53</f>
        <v>8452720.7699999996</v>
      </c>
      <c r="K29" s="330">
        <f>'3431'!I$135</f>
        <v>-41685.019999999997</v>
      </c>
      <c r="L29" s="330">
        <f t="shared" si="8"/>
        <v>8841825.3200000003</v>
      </c>
      <c r="M29" s="331">
        <f>'3431'!I$145</f>
        <v>737684.93</v>
      </c>
      <c r="N29" s="201"/>
      <c r="O29" s="330">
        <f>'3431'!E$30</f>
        <v>1013.88</v>
      </c>
      <c r="Q29" s="331">
        <f t="shared" si="9"/>
        <v>8761.8952341499971</v>
      </c>
      <c r="R29" s="331">
        <f t="shared" si="3"/>
        <v>-41.114352783366861</v>
      </c>
      <c r="S29" s="331">
        <f t="shared" si="4"/>
        <v>8720.7808813666306</v>
      </c>
      <c r="U29" s="331">
        <f t="shared" si="10"/>
        <v>8720.7808813666306</v>
      </c>
      <c r="V29" s="331">
        <f t="shared" si="5"/>
        <v>0</v>
      </c>
      <c r="W29" s="331">
        <f t="shared" si="6"/>
        <v>0</v>
      </c>
    </row>
    <row r="30" spans="1:26" x14ac:dyDescent="0.2">
      <c r="A30" s="191">
        <v>25</v>
      </c>
      <c r="B30" s="320">
        <v>3441</v>
      </c>
      <c r="C30" s="323" t="s">
        <v>228</v>
      </c>
      <c r="D30" s="378">
        <f>'3441'!G$135</f>
        <v>0</v>
      </c>
      <c r="E30" s="378" t="str">
        <f>'3441'!H$133</f>
        <v/>
      </c>
      <c r="F30" s="329">
        <f t="shared" si="7"/>
        <v>2.258732497283995E-2</v>
      </c>
      <c r="G30" s="399">
        <f t="shared" si="2"/>
        <v>2.369219189459669E-2</v>
      </c>
      <c r="H30" s="322"/>
      <c r="I30" s="330">
        <f>'3441'!I$128</f>
        <v>4561332.08</v>
      </c>
      <c r="J30" s="330">
        <f>I30-'3441'!I$53</f>
        <v>4348617.91</v>
      </c>
      <c r="K30" s="330">
        <f>'3441'!I$135</f>
        <v>-103028.29</v>
      </c>
      <c r="L30" s="330">
        <f t="shared" si="8"/>
        <v>4458303.79</v>
      </c>
      <c r="M30" s="331">
        <f>'3441'!I$145</f>
        <v>372113.82</v>
      </c>
      <c r="N30" s="201"/>
      <c r="O30" s="330">
        <f>'3441'!E$30</f>
        <v>527.6</v>
      </c>
      <c r="Q30" s="331">
        <f t="shared" si="9"/>
        <v>8645.4360879454125</v>
      </c>
      <c r="R30" s="331">
        <f t="shared" si="3"/>
        <v>-195.27727445034114</v>
      </c>
      <c r="S30" s="331">
        <f t="shared" si="4"/>
        <v>8450.1588134950725</v>
      </c>
      <c r="U30" s="331">
        <f t="shared" si="10"/>
        <v>0</v>
      </c>
      <c r="V30" s="331">
        <f t="shared" si="5"/>
        <v>0</v>
      </c>
      <c r="W30" s="331">
        <f t="shared" si="6"/>
        <v>8450.1588134950725</v>
      </c>
    </row>
    <row r="31" spans="1:26" x14ac:dyDescent="0.2">
      <c r="A31" s="191">
        <v>26</v>
      </c>
      <c r="B31" s="320">
        <v>3924</v>
      </c>
      <c r="C31" s="323" t="s">
        <v>376</v>
      </c>
      <c r="D31" s="377">
        <f>'3924'!G$135</f>
        <v>0</v>
      </c>
      <c r="E31" s="377" t="str">
        <f>'3924'!H$133</f>
        <v/>
      </c>
      <c r="F31" s="329">
        <f t="shared" si="7"/>
        <v>2.7254350032907031E-2</v>
      </c>
      <c r="G31" s="399">
        <f t="shared" si="2"/>
        <v>2.8589726066584532E-2</v>
      </c>
      <c r="H31" s="322"/>
      <c r="I31" s="330">
        <f>'3924'!I$128</f>
        <v>3796954.61</v>
      </c>
      <c r="J31" s="330">
        <f>I31-'3924'!I$53</f>
        <v>3619605.51</v>
      </c>
      <c r="K31" s="330">
        <f>'3924'!I$135</f>
        <v>-103483.53</v>
      </c>
      <c r="L31" s="330">
        <f t="shared" si="8"/>
        <v>3693471.08</v>
      </c>
      <c r="M31" s="331">
        <f>'3924'!I$145</f>
        <v>308213.52</v>
      </c>
      <c r="N31" s="201"/>
      <c r="O31" s="330">
        <f>'3924'!E$30</f>
        <v>437.21999999999997</v>
      </c>
      <c r="Q31" s="331">
        <f t="shared" si="9"/>
        <v>8684.3113535519878</v>
      </c>
      <c r="R31" s="331">
        <f t="shared" si="3"/>
        <v>-236.68526142445452</v>
      </c>
      <c r="S31" s="331">
        <f t="shared" si="4"/>
        <v>8447.6260921275334</v>
      </c>
      <c r="U31" s="331">
        <f t="shared" si="10"/>
        <v>0</v>
      </c>
      <c r="V31" s="331">
        <f t="shared" si="5"/>
        <v>0</v>
      </c>
      <c r="W31" s="331">
        <f t="shared" si="6"/>
        <v>8447.6260921275334</v>
      </c>
    </row>
    <row r="32" spans="1:26" x14ac:dyDescent="0.2">
      <c r="A32" s="191">
        <v>27</v>
      </c>
      <c r="B32" s="320" t="s">
        <v>180</v>
      </c>
      <c r="C32" s="321" t="s">
        <v>191</v>
      </c>
      <c r="D32" s="377" t="str">
        <f>'3941'!G$135</f>
        <v>H</v>
      </c>
      <c r="E32" s="377" t="str">
        <f>'3941'!H$133</f>
        <v/>
      </c>
      <c r="F32" s="329">
        <f t="shared" si="7"/>
        <v>1.9033024756701451E-2</v>
      </c>
      <c r="G32" s="399">
        <f t="shared" si="2"/>
        <v>1.9999998469286739E-2</v>
      </c>
      <c r="H32" s="322"/>
      <c r="I32" s="330">
        <f>'3941'!I$128</f>
        <v>2059441.97</v>
      </c>
      <c r="J32" s="330">
        <f>I32-'3941'!I$53</f>
        <v>1959870.65</v>
      </c>
      <c r="K32" s="330">
        <f>'3941'!I$135</f>
        <v>-39197.410000000003</v>
      </c>
      <c r="L32" s="330">
        <f>I32+K32</f>
        <v>2020244.56</v>
      </c>
      <c r="M32" s="331">
        <f>'3941'!I$145</f>
        <v>168521.9</v>
      </c>
      <c r="N32" s="201"/>
      <c r="O32" s="330">
        <f>'3941'!E$30</f>
        <v>229</v>
      </c>
      <c r="Q32" s="331">
        <f t="shared" si="9"/>
        <v>8993.196375545851</v>
      </c>
      <c r="R32" s="331">
        <f t="shared" si="3"/>
        <v>-171.16772925764192</v>
      </c>
      <c r="S32" s="331">
        <f t="shared" si="4"/>
        <v>8822.0286462882104</v>
      </c>
      <c r="U32" s="331">
        <f t="shared" si="10"/>
        <v>8822.0286462882104</v>
      </c>
      <c r="V32" s="331">
        <f t="shared" si="5"/>
        <v>0</v>
      </c>
      <c r="W32" s="331">
        <f t="shared" si="6"/>
        <v>0</v>
      </c>
    </row>
    <row r="33" spans="1:23" x14ac:dyDescent="0.2">
      <c r="A33" s="191">
        <v>28</v>
      </c>
      <c r="B33" s="320" t="s">
        <v>181</v>
      </c>
      <c r="C33" s="758" t="s">
        <v>201</v>
      </c>
      <c r="D33" s="377">
        <f>'3961'!G$135</f>
        <v>0</v>
      </c>
      <c r="E33" s="377" t="str">
        <f>'3961'!H$133</f>
        <v/>
      </c>
      <c r="F33" s="329"/>
      <c r="G33" s="399"/>
      <c r="H33" s="322"/>
      <c r="I33" s="330"/>
      <c r="J33" s="330"/>
      <c r="K33" s="330"/>
      <c r="L33" s="330"/>
      <c r="M33" s="331"/>
      <c r="N33" s="201"/>
      <c r="O33" s="330"/>
      <c r="Q33" s="331"/>
      <c r="R33" s="331"/>
      <c r="S33" s="331"/>
      <c r="U33" s="331"/>
      <c r="V33" s="331"/>
      <c r="W33" s="331"/>
    </row>
    <row r="34" spans="1:23" x14ac:dyDescent="0.2">
      <c r="A34" s="191">
        <v>29</v>
      </c>
      <c r="B34" s="320" t="s">
        <v>182</v>
      </c>
      <c r="C34" s="321" t="s">
        <v>340</v>
      </c>
      <c r="D34" s="377">
        <f>'3971'!G$135</f>
        <v>0</v>
      </c>
      <c r="E34" s="377" t="str">
        <f>'3971'!H$133</f>
        <v/>
      </c>
      <c r="F34" s="329">
        <f t="shared" si="7"/>
        <v>1.8850287387958138E-2</v>
      </c>
      <c r="G34" s="399">
        <f t="shared" si="2"/>
        <v>1.980731432724522E-2</v>
      </c>
      <c r="H34" s="322"/>
      <c r="I34" s="330">
        <f>'3971'!I$128</f>
        <v>5197180.18</v>
      </c>
      <c r="J34" s="330">
        <f>I34-'3971'!I$53</f>
        <v>4946068.83</v>
      </c>
      <c r="K34" s="330">
        <f>'3971'!I$135</f>
        <v>-97968.34</v>
      </c>
      <c r="L34" s="330">
        <f t="shared" si="8"/>
        <v>5099211.84</v>
      </c>
      <c r="M34" s="331">
        <f>'3971'!I$145</f>
        <v>425546.45</v>
      </c>
      <c r="N34" s="201"/>
      <c r="O34" s="330">
        <f>'3971'!E$30</f>
        <v>631.07999999999993</v>
      </c>
      <c r="Q34" s="331">
        <f t="shared" si="9"/>
        <v>8235.3745642390822</v>
      </c>
      <c r="R34" s="331">
        <f t="shared" si="3"/>
        <v>-155.23917728338722</v>
      </c>
      <c r="S34" s="331">
        <f t="shared" si="4"/>
        <v>8080.135386955696</v>
      </c>
      <c r="U34" s="331">
        <f t="shared" si="10"/>
        <v>0</v>
      </c>
      <c r="V34" s="331">
        <f t="shared" si="5"/>
        <v>0</v>
      </c>
      <c r="W34" s="331">
        <f t="shared" si="6"/>
        <v>8080.135386955696</v>
      </c>
    </row>
    <row r="35" spans="1:23" x14ac:dyDescent="0.2">
      <c r="A35" s="191">
        <v>30</v>
      </c>
      <c r="B35" s="320" t="s">
        <v>183</v>
      </c>
      <c r="C35" s="321" t="s">
        <v>219</v>
      </c>
      <c r="D35" s="377">
        <f>'4001'!G$135</f>
        <v>0</v>
      </c>
      <c r="E35" s="377" t="str">
        <f>'4001'!H$133</f>
        <v/>
      </c>
      <c r="F35" s="329">
        <f t="shared" si="7"/>
        <v>1.7444106245201738E-2</v>
      </c>
      <c r="G35" s="399">
        <f t="shared" si="2"/>
        <v>1.8328445879606008E-2</v>
      </c>
      <c r="H35" s="322"/>
      <c r="I35" s="330">
        <f>'4001'!I$128</f>
        <v>6019584.4099999992</v>
      </c>
      <c r="J35" s="330">
        <f>I35-'4001'!I$53</f>
        <v>5729142.0499999989</v>
      </c>
      <c r="K35" s="330">
        <f>'4001'!I$135</f>
        <v>-105006.27</v>
      </c>
      <c r="L35" s="330">
        <f t="shared" si="8"/>
        <v>5914578.1399999997</v>
      </c>
      <c r="M35" s="331">
        <f>'4001'!I$145</f>
        <v>493503.39</v>
      </c>
      <c r="N35" s="201"/>
      <c r="O35" s="330">
        <f>'4001'!E$30</f>
        <v>682</v>
      </c>
      <c r="Q35" s="331">
        <f t="shared" si="9"/>
        <v>8826.3701026392955</v>
      </c>
      <c r="R35" s="331">
        <f t="shared" si="3"/>
        <v>-153.96813782991202</v>
      </c>
      <c r="S35" s="331">
        <f t="shared" si="4"/>
        <v>8672.4019648093836</v>
      </c>
      <c r="U35" s="331">
        <f t="shared" si="10"/>
        <v>0</v>
      </c>
      <c r="V35" s="331">
        <f t="shared" si="5"/>
        <v>0</v>
      </c>
      <c r="W35" s="331">
        <f t="shared" si="6"/>
        <v>8672.4019648093836</v>
      </c>
    </row>
    <row r="36" spans="1:23" x14ac:dyDescent="0.2">
      <c r="A36" s="191">
        <v>31</v>
      </c>
      <c r="B36" s="320">
        <v>4002</v>
      </c>
      <c r="C36" s="321" t="s">
        <v>218</v>
      </c>
      <c r="D36" s="377">
        <f>'4002'!G$135</f>
        <v>0</v>
      </c>
      <c r="E36" s="377" t="str">
        <f>'4002'!H$133</f>
        <v/>
      </c>
      <c r="F36" s="329">
        <f t="shared" si="7"/>
        <v>1.20790189042125E-2</v>
      </c>
      <c r="G36" s="399">
        <f t="shared" si="2"/>
        <v>1.2701186861603781E-2</v>
      </c>
      <c r="H36" s="322"/>
      <c r="I36" s="330">
        <f>'4002'!I$128</f>
        <v>8679085.6799999997</v>
      </c>
      <c r="J36" s="330">
        <f>I36-'4002'!I$53</f>
        <v>8253940.4499999993</v>
      </c>
      <c r="K36" s="330">
        <f>'4002'!I$135</f>
        <v>-104834.84</v>
      </c>
      <c r="L36" s="330">
        <f t="shared" si="8"/>
        <v>8574250.8399999999</v>
      </c>
      <c r="M36" s="331">
        <f>'4002'!I$145</f>
        <v>715174.9</v>
      </c>
      <c r="N36" s="201"/>
      <c r="O36" s="330">
        <f>'4002'!E$30</f>
        <v>984.16</v>
      </c>
      <c r="Q36" s="331">
        <f t="shared" si="9"/>
        <v>8818.7750772232157</v>
      </c>
      <c r="R36" s="331">
        <f t="shared" si="3"/>
        <v>-106.52215086977728</v>
      </c>
      <c r="S36" s="331">
        <f t="shared" si="4"/>
        <v>8712.2529263534379</v>
      </c>
      <c r="U36" s="331">
        <f t="shared" si="10"/>
        <v>0</v>
      </c>
      <c r="V36" s="331">
        <f t="shared" si="5"/>
        <v>0</v>
      </c>
      <c r="W36" s="331">
        <f t="shared" si="6"/>
        <v>8712.2529263534379</v>
      </c>
    </row>
    <row r="37" spans="1:23" x14ac:dyDescent="0.2">
      <c r="A37" s="191">
        <v>32</v>
      </c>
      <c r="B37" s="320">
        <v>4012</v>
      </c>
      <c r="C37" s="321" t="s">
        <v>221</v>
      </c>
      <c r="D37" s="377" t="str">
        <f>'4012'!G$135</f>
        <v>H</v>
      </c>
      <c r="E37" s="377" t="str">
        <f>'4012'!H$133</f>
        <v/>
      </c>
      <c r="F37" s="329">
        <f t="shared" si="7"/>
        <v>7.9801326237891913E-3</v>
      </c>
      <c r="G37" s="399">
        <f t="shared" si="2"/>
        <v>8.3870105811248794E-3</v>
      </c>
      <c r="H37" s="322"/>
      <c r="I37" s="330">
        <f>'4012'!I$128</f>
        <v>4944226.1000000006</v>
      </c>
      <c r="J37" s="330">
        <f>I37-'4012'!I$53</f>
        <v>4704367.5000000009</v>
      </c>
      <c r="K37" s="330">
        <f>'4012'!I$135</f>
        <v>-39455.58</v>
      </c>
      <c r="L37" s="330">
        <f t="shared" si="8"/>
        <v>4904770.5200000005</v>
      </c>
      <c r="M37" s="331">
        <f>'4012'!I$145</f>
        <v>409405.4</v>
      </c>
      <c r="N37" s="201"/>
      <c r="O37" s="330">
        <f>'4012'!E$30</f>
        <v>596.16</v>
      </c>
      <c r="Q37" s="331">
        <f t="shared" si="9"/>
        <v>8293.4549449812148</v>
      </c>
      <c r="R37" s="331">
        <f t="shared" si="3"/>
        <v>-66.182870370370381</v>
      </c>
      <c r="S37" s="331">
        <f t="shared" si="4"/>
        <v>8227.2720746108444</v>
      </c>
      <c r="U37" s="331">
        <f t="shared" si="10"/>
        <v>8227.2720746108444</v>
      </c>
      <c r="V37" s="331">
        <f t="shared" si="5"/>
        <v>0</v>
      </c>
      <c r="W37" s="331">
        <f t="shared" si="6"/>
        <v>0</v>
      </c>
    </row>
    <row r="38" spans="1:23" x14ac:dyDescent="0.2">
      <c r="A38" s="191">
        <v>33</v>
      </c>
      <c r="B38" s="320">
        <v>4013</v>
      </c>
      <c r="C38" s="321" t="s">
        <v>223</v>
      </c>
      <c r="D38" s="377" t="str">
        <f>'4013'!G$135</f>
        <v>H</v>
      </c>
      <c r="E38" s="377" t="str">
        <f>'4013'!H$133</f>
        <v/>
      </c>
      <c r="F38" s="329">
        <f t="shared" si="7"/>
        <v>4.6549208612998933E-3</v>
      </c>
      <c r="G38" s="399">
        <f t="shared" si="2"/>
        <v>4.8955296091534282E-3</v>
      </c>
      <c r="H38" s="322"/>
      <c r="I38" s="330">
        <f>'4013'!I$128</f>
        <v>8157822.9000000004</v>
      </c>
      <c r="J38" s="330">
        <f>I38-'4013'!I$53</f>
        <v>7756876.79</v>
      </c>
      <c r="K38" s="330">
        <f>'4013'!I$135</f>
        <v>-37974.019999999997</v>
      </c>
      <c r="L38" s="330">
        <f t="shared" si="8"/>
        <v>8119848.8800000008</v>
      </c>
      <c r="M38" s="331">
        <f>'4013'!I$145</f>
        <v>677472.72</v>
      </c>
      <c r="N38" s="201"/>
      <c r="O38" s="330">
        <f>'4013'!E$30</f>
        <v>1021.3399999999999</v>
      </c>
      <c r="Q38" s="331">
        <f t="shared" si="9"/>
        <v>7987.3723735484764</v>
      </c>
      <c r="R38" s="331">
        <f t="shared" si="3"/>
        <v>-37.180586288601248</v>
      </c>
      <c r="S38" s="331">
        <f t="shared" si="4"/>
        <v>7950.191787259876</v>
      </c>
      <c r="U38" s="331">
        <f t="shared" si="10"/>
        <v>7950.191787259876</v>
      </c>
      <c r="V38" s="331">
        <f t="shared" si="5"/>
        <v>0</v>
      </c>
      <c r="W38" s="331">
        <f t="shared" si="6"/>
        <v>0</v>
      </c>
    </row>
    <row r="39" spans="1:23" x14ac:dyDescent="0.2">
      <c r="A39" s="191">
        <v>34</v>
      </c>
      <c r="B39" s="320">
        <v>4020</v>
      </c>
      <c r="C39" s="323" t="s">
        <v>347</v>
      </c>
      <c r="D39" s="377">
        <f>'4020'!G$135</f>
        <v>0</v>
      </c>
      <c r="E39" s="377" t="str">
        <f>'4020'!H$133</f>
        <v/>
      </c>
      <c r="F39" s="329">
        <f t="shared" si="7"/>
        <v>9.5543748510928898E-3</v>
      </c>
      <c r="G39" s="399">
        <f t="shared" si="2"/>
        <v>1.0036452230166278E-2</v>
      </c>
      <c r="H39" s="322"/>
      <c r="I39" s="330">
        <f>'4020'!I$128</f>
        <v>10972108.760000002</v>
      </c>
      <c r="J39" s="330">
        <f>I39-'4020'!I$53</f>
        <v>10445089.320000002</v>
      </c>
      <c r="K39" s="330">
        <f>'4020'!I$135</f>
        <v>-104831.64</v>
      </c>
      <c r="L39" s="330">
        <f t="shared" si="8"/>
        <v>10867277.120000001</v>
      </c>
      <c r="M39" s="331">
        <f>'4020'!I$145</f>
        <v>906770.45</v>
      </c>
      <c r="N39" s="201"/>
      <c r="O39" s="330">
        <f>'4020'!E$30</f>
        <v>1245.4599999999998</v>
      </c>
      <c r="Q39" s="331">
        <f t="shared" si="9"/>
        <v>8809.6837794870989</v>
      </c>
      <c r="R39" s="331">
        <f t="shared" si="3"/>
        <v>-84.1710211488125</v>
      </c>
      <c r="S39" s="331">
        <f t="shared" si="4"/>
        <v>8725.5127583382873</v>
      </c>
      <c r="U39" s="331">
        <f t="shared" si="10"/>
        <v>0</v>
      </c>
      <c r="V39" s="331">
        <f t="shared" si="5"/>
        <v>0</v>
      </c>
      <c r="W39" s="331">
        <f t="shared" si="6"/>
        <v>8725.5127583382873</v>
      </c>
    </row>
    <row r="40" spans="1:23" x14ac:dyDescent="0.2">
      <c r="A40" s="191">
        <v>35</v>
      </c>
      <c r="B40" s="320">
        <v>4030</v>
      </c>
      <c r="C40" s="323" t="s">
        <v>335</v>
      </c>
      <c r="D40" s="377">
        <f>'4030'!G$135</f>
        <v>0</v>
      </c>
      <c r="E40" s="377" t="str">
        <f>'4030'!H$133</f>
        <v/>
      </c>
      <c r="F40" s="329">
        <f t="shared" si="7"/>
        <v>3.9077430237361356E-2</v>
      </c>
      <c r="G40" s="399">
        <f t="shared" si="2"/>
        <v>4.1115715617296808E-2</v>
      </c>
      <c r="H40" s="322"/>
      <c r="I40" s="330">
        <f>'4030'!I$128</f>
        <v>2725886</v>
      </c>
      <c r="J40" s="330">
        <f>I40-'4030'!I$53</f>
        <v>2590751.94</v>
      </c>
      <c r="K40" s="330">
        <f>'4030'!I$135</f>
        <v>-106520.62</v>
      </c>
      <c r="L40" s="330">
        <f t="shared" si="8"/>
        <v>2619365.38</v>
      </c>
      <c r="M40" s="331">
        <f>'4030'!I$145</f>
        <v>218407.85</v>
      </c>
      <c r="N40" s="201"/>
      <c r="O40" s="330">
        <f>'4030'!E$30</f>
        <v>304.02</v>
      </c>
      <c r="Q40" s="331">
        <f t="shared" si="9"/>
        <v>8966.1403855009539</v>
      </c>
      <c r="R40" s="331">
        <f>K40/O40</f>
        <v>-350.37372541280178</v>
      </c>
      <c r="S40" s="331">
        <f>L40/O40</f>
        <v>8615.766660088153</v>
      </c>
      <c r="U40" s="331">
        <f t="shared" si="10"/>
        <v>0</v>
      </c>
      <c r="V40" s="331">
        <f t="shared" si="5"/>
        <v>0</v>
      </c>
      <c r="W40" s="331">
        <f>IF(AND(U40=0,V40=0),S40,)</f>
        <v>8615.766660088153</v>
      </c>
    </row>
    <row r="41" spans="1:23" x14ac:dyDescent="0.2">
      <c r="A41" s="191">
        <v>36</v>
      </c>
      <c r="B41" s="320">
        <v>4031</v>
      </c>
      <c r="C41" s="323" t="s">
        <v>352</v>
      </c>
      <c r="D41" s="377">
        <f>'4031'!G$135</f>
        <v>0</v>
      </c>
      <c r="E41" s="377" t="str">
        <f>'4031'!H$133</f>
        <v/>
      </c>
      <c r="F41" s="329">
        <f t="shared" si="7"/>
        <v>2.5954393566967864E-2</v>
      </c>
      <c r="G41" s="399">
        <f t="shared" si="2"/>
        <v>2.7284236323144251E-2</v>
      </c>
      <c r="H41" s="322"/>
      <c r="I41" s="330">
        <f>'4031'!I$128</f>
        <v>4019129.93</v>
      </c>
      <c r="J41" s="330">
        <f>I41-'4031'!I$53</f>
        <v>3823236.2</v>
      </c>
      <c r="K41" s="330">
        <f>'4031'!I$135</f>
        <v>-104314.08</v>
      </c>
      <c r="L41" s="330">
        <f t="shared" si="8"/>
        <v>3914815.85</v>
      </c>
      <c r="M41" s="331">
        <f>'4031'!I$145</f>
        <v>326575.68</v>
      </c>
      <c r="N41" s="201"/>
      <c r="O41" s="330">
        <f>'4031'!E$30</f>
        <v>458.14000000000004</v>
      </c>
      <c r="Q41" s="331">
        <f t="shared" si="9"/>
        <v>8772.7112454708167</v>
      </c>
      <c r="R41" s="331">
        <f>K41/O41</f>
        <v>-227.69040031431439</v>
      </c>
      <c r="S41" s="331">
        <f>L41/O41</f>
        <v>8545.0208451565013</v>
      </c>
      <c r="U41" s="331">
        <f t="shared" si="10"/>
        <v>0</v>
      </c>
      <c r="V41" s="331">
        <f t="shared" si="5"/>
        <v>0</v>
      </c>
      <c r="W41" s="331">
        <f>IF(AND(U41=0,V41=0),S41,)</f>
        <v>8545.0208451565013</v>
      </c>
    </row>
    <row r="42" spans="1:23" x14ac:dyDescent="0.2">
      <c r="A42" s="191">
        <v>37</v>
      </c>
      <c r="B42" s="312">
        <v>4041</v>
      </c>
      <c r="C42" s="313" t="s">
        <v>225</v>
      </c>
      <c r="D42" s="379" t="str">
        <f>'4041'!G$135</f>
        <v>H</v>
      </c>
      <c r="E42" s="379" t="str">
        <f>'4041'!H$133</f>
        <v/>
      </c>
      <c r="F42" s="329">
        <f t="shared" si="7"/>
        <v>1.9036233129653832E-2</v>
      </c>
      <c r="G42" s="399">
        <f t="shared" si="2"/>
        <v>2.0000004250227695E-2</v>
      </c>
      <c r="H42" s="322"/>
      <c r="I42" s="330">
        <f>'4041'!I$128</f>
        <v>791018.89</v>
      </c>
      <c r="J42" s="330">
        <f>I42-'4041'!I$53</f>
        <v>752900.84</v>
      </c>
      <c r="K42" s="330">
        <f>'4041'!I$135</f>
        <v>-15058.02</v>
      </c>
      <c r="L42" s="330">
        <f t="shared" si="8"/>
        <v>775960.87</v>
      </c>
      <c r="M42" s="331">
        <f>'4041'!I$145</f>
        <v>64770.19</v>
      </c>
      <c r="N42" s="201"/>
      <c r="O42" s="330">
        <f>'4041'!E$30</f>
        <v>94.7</v>
      </c>
      <c r="Q42" s="331">
        <f t="shared" si="9"/>
        <v>8352.8921858500526</v>
      </c>
      <c r="R42" s="331">
        <f t="shared" si="3"/>
        <v>-159.0076029567054</v>
      </c>
      <c r="S42" s="331">
        <f t="shared" si="4"/>
        <v>8193.8845828933463</v>
      </c>
      <c r="U42" s="331">
        <f t="shared" si="10"/>
        <v>8193.8845828933463</v>
      </c>
      <c r="V42" s="331">
        <f t="shared" si="5"/>
        <v>0</v>
      </c>
      <c r="W42" s="331">
        <f t="shared" si="6"/>
        <v>0</v>
      </c>
    </row>
    <row r="43" spans="1:23" x14ac:dyDescent="0.2">
      <c r="A43" s="191">
        <v>38</v>
      </c>
      <c r="B43" s="263">
        <v>4050</v>
      </c>
      <c r="C43" s="264" t="s">
        <v>216</v>
      </c>
      <c r="D43" s="380">
        <f>'4050'!G$135</f>
        <v>0</v>
      </c>
      <c r="E43" s="380" t="str">
        <f>'4050'!H$133</f>
        <v/>
      </c>
      <c r="F43" s="329">
        <f t="shared" si="7"/>
        <v>1.6343925230928813E-2</v>
      </c>
      <c r="G43" s="399">
        <f t="shared" si="2"/>
        <v>1.7184965629876099E-2</v>
      </c>
      <c r="H43" s="322"/>
      <c r="I43" s="330">
        <f>'4050'!I$128</f>
        <v>6331350.5499999989</v>
      </c>
      <c r="J43" s="330">
        <f>I43-'4050'!I$53</f>
        <v>6021491.2399999984</v>
      </c>
      <c r="K43" s="330">
        <f>'4050'!I$135</f>
        <v>-103479.12</v>
      </c>
      <c r="L43" s="330">
        <f t="shared" si="8"/>
        <v>6227871.4299999988</v>
      </c>
      <c r="M43" s="331">
        <f>'4050'!I$145</f>
        <v>519597.92</v>
      </c>
      <c r="N43" s="201"/>
      <c r="O43" s="330">
        <f>'4050'!E$30</f>
        <v>727.37999999999988</v>
      </c>
      <c r="Q43" s="331">
        <f t="shared" si="9"/>
        <v>8704.3231185900077</v>
      </c>
      <c r="R43" s="331">
        <f t="shared" si="3"/>
        <v>-142.26280623608019</v>
      </c>
      <c r="S43" s="331">
        <f t="shared" si="4"/>
        <v>8562.0603123539277</v>
      </c>
      <c r="U43" s="331">
        <f t="shared" si="10"/>
        <v>0</v>
      </c>
      <c r="V43" s="331">
        <f t="shared" si="5"/>
        <v>0</v>
      </c>
      <c r="W43" s="331">
        <f t="shared" si="6"/>
        <v>8562.0603123539277</v>
      </c>
    </row>
    <row r="44" spans="1:23" x14ac:dyDescent="0.2">
      <c r="A44" s="191">
        <v>39</v>
      </c>
      <c r="B44" s="263">
        <v>4051</v>
      </c>
      <c r="C44" s="264" t="s">
        <v>214</v>
      </c>
      <c r="D44" s="380">
        <f>'4051'!G$135</f>
        <v>0</v>
      </c>
      <c r="E44" s="380" t="str">
        <f>'4051'!H$133</f>
        <v/>
      </c>
      <c r="F44" s="329">
        <f t="shared" si="7"/>
        <v>1.5581452771788653E-2</v>
      </c>
      <c r="G44" s="399">
        <f t="shared" si="2"/>
        <v>1.6382699726555084E-2</v>
      </c>
      <c r="H44" s="322"/>
      <c r="I44" s="330">
        <f>'4051'!I$128</f>
        <v>6677947.2700000014</v>
      </c>
      <c r="J44" s="330">
        <f>I44-'4051'!I$53</f>
        <v>6351341.4600000018</v>
      </c>
      <c r="K44" s="330">
        <f>'4051'!I$135</f>
        <v>-104052.12</v>
      </c>
      <c r="L44" s="330">
        <f t="shared" si="8"/>
        <v>6573895.1500000013</v>
      </c>
      <c r="M44" s="331">
        <f>'4051'!I$145</f>
        <v>548429.27</v>
      </c>
      <c r="N44" s="201"/>
      <c r="O44" s="330">
        <f>'4051'!E$30</f>
        <v>763</v>
      </c>
      <c r="Q44" s="331">
        <f t="shared" si="9"/>
        <v>8752.2244692005261</v>
      </c>
      <c r="R44" s="331">
        <f t="shared" si="3"/>
        <v>-136.37237221494101</v>
      </c>
      <c r="S44" s="331">
        <f t="shared" si="4"/>
        <v>8615.8520969855854</v>
      </c>
      <c r="U44" s="331">
        <f t="shared" si="10"/>
        <v>0</v>
      </c>
      <c r="V44" s="331">
        <f t="shared" si="5"/>
        <v>0</v>
      </c>
      <c r="W44" s="331">
        <f t="shared" si="6"/>
        <v>8615.8520969855854</v>
      </c>
    </row>
    <row r="45" spans="1:23" x14ac:dyDescent="0.2">
      <c r="A45" s="191">
        <v>40</v>
      </c>
      <c r="B45" s="263">
        <v>4061</v>
      </c>
      <c r="C45" s="265" t="s">
        <v>349</v>
      </c>
      <c r="D45" s="380">
        <f>'4061'!G$135</f>
        <v>0</v>
      </c>
      <c r="E45" s="380" t="str">
        <f>'4061'!H$133</f>
        <v/>
      </c>
      <c r="F45" s="329">
        <f t="shared" si="7"/>
        <v>1.2371883652548498E-2</v>
      </c>
      <c r="G45" s="399">
        <f t="shared" si="2"/>
        <v>1.2996194096857941E-2</v>
      </c>
      <c r="H45" s="322"/>
      <c r="I45" s="330">
        <f>'4061'!I$128</f>
        <v>8461582.1600000001</v>
      </c>
      <c r="J45" s="330">
        <f>I45-'4061'!I$53</f>
        <v>8055105.1500000004</v>
      </c>
      <c r="K45" s="330">
        <f>'4061'!I$135</f>
        <v>-104685.71</v>
      </c>
      <c r="L45" s="330">
        <f t="shared" si="8"/>
        <v>8356896.4500000002</v>
      </c>
      <c r="M45" s="331">
        <f>'4061'!I$145</f>
        <v>697323.13</v>
      </c>
      <c r="N45" s="201"/>
      <c r="O45" s="330">
        <f>'4061'!E$30</f>
        <v>961.82</v>
      </c>
      <c r="Q45" s="331">
        <f t="shared" si="9"/>
        <v>8797.4695473165448</v>
      </c>
      <c r="R45" s="331">
        <f t="shared" si="3"/>
        <v>-108.8412696762388</v>
      </c>
      <c r="S45" s="331">
        <f t="shared" si="4"/>
        <v>8688.6282776403059</v>
      </c>
      <c r="U45" s="331">
        <f t="shared" si="10"/>
        <v>0</v>
      </c>
      <c r="V45" s="331">
        <f t="shared" si="5"/>
        <v>0</v>
      </c>
      <c r="W45" s="331">
        <f t="shared" si="6"/>
        <v>8688.6282776403059</v>
      </c>
    </row>
    <row r="46" spans="1:23" x14ac:dyDescent="0.2">
      <c r="A46" s="191">
        <v>41</v>
      </c>
      <c r="B46" s="263">
        <v>4080</v>
      </c>
      <c r="C46" s="759" t="s">
        <v>237</v>
      </c>
      <c r="D46" s="379">
        <f>'4080'!G$135</f>
        <v>0</v>
      </c>
      <c r="E46" s="379" t="str">
        <f>'4080'!H$133</f>
        <v/>
      </c>
      <c r="F46" s="329"/>
      <c r="G46" s="399"/>
      <c r="H46" s="322"/>
      <c r="I46" s="330"/>
      <c r="J46" s="330"/>
      <c r="K46" s="330"/>
      <c r="L46" s="330"/>
      <c r="M46" s="331"/>
      <c r="N46" s="201"/>
      <c r="O46" s="330"/>
      <c r="Q46" s="331"/>
      <c r="R46" s="331"/>
      <c r="S46" s="331"/>
      <c r="U46" s="331"/>
      <c r="V46" s="331"/>
      <c r="W46" s="331"/>
    </row>
    <row r="47" spans="1:23" x14ac:dyDescent="0.2">
      <c r="A47" s="191">
        <v>42</v>
      </c>
      <c r="B47" s="263">
        <v>4081</v>
      </c>
      <c r="C47" s="265" t="s">
        <v>234</v>
      </c>
      <c r="D47" s="379">
        <f>'4081'!G$135</f>
        <v>0</v>
      </c>
      <c r="E47" s="379" t="str">
        <f>'4081'!H$133</f>
        <v/>
      </c>
      <c r="F47" s="329">
        <f t="shared" si="7"/>
        <v>4.7624134162443391E-2</v>
      </c>
      <c r="G47" s="399">
        <f t="shared" si="2"/>
        <v>4.999999950739567E-2</v>
      </c>
      <c r="H47" s="322"/>
      <c r="I47" s="330">
        <f>'4081'!I$128</f>
        <v>1065650.24</v>
      </c>
      <c r="J47" s="330">
        <f>I47-'4081'!I$53</f>
        <v>1015013.41</v>
      </c>
      <c r="K47" s="330">
        <f>'4081'!I$135</f>
        <v>-50750.67</v>
      </c>
      <c r="L47" s="330">
        <f t="shared" si="8"/>
        <v>1014899.57</v>
      </c>
      <c r="M47" s="331">
        <f>'4081'!I$145</f>
        <v>84667.61</v>
      </c>
      <c r="N47" s="201"/>
      <c r="O47" s="330">
        <f>'4081'!E$30</f>
        <v>128.28</v>
      </c>
      <c r="Q47" s="331">
        <f t="shared" si="9"/>
        <v>8307.2204552541316</v>
      </c>
      <c r="R47" s="331">
        <f t="shared" si="3"/>
        <v>-395.62418147801679</v>
      </c>
      <c r="S47" s="331">
        <f t="shared" si="4"/>
        <v>7911.5962737761147</v>
      </c>
      <c r="U47" s="331">
        <f t="shared" si="10"/>
        <v>0</v>
      </c>
      <c r="V47" s="331">
        <f t="shared" si="5"/>
        <v>0</v>
      </c>
      <c r="W47" s="331">
        <f t="shared" si="6"/>
        <v>7911.5962737761147</v>
      </c>
    </row>
    <row r="48" spans="1:23" x14ac:dyDescent="0.2">
      <c r="A48" s="191">
        <v>43</v>
      </c>
      <c r="B48" s="263">
        <v>4090</v>
      </c>
      <c r="C48" s="265" t="s">
        <v>297</v>
      </c>
      <c r="D48" s="379">
        <f>'4090'!G$135</f>
        <v>0</v>
      </c>
      <c r="E48" s="379" t="str">
        <f>'4090'!H$133</f>
        <v/>
      </c>
      <c r="F48" s="329">
        <f t="shared" si="7"/>
        <v>4.2764862628502424E-2</v>
      </c>
      <c r="G48" s="399">
        <f t="shared" si="2"/>
        <v>4.4960793246996478E-2</v>
      </c>
      <c r="H48" s="322"/>
      <c r="I48" s="330">
        <f>'4090'!I$128</f>
        <v>2320068.2499999995</v>
      </c>
      <c r="J48" s="330">
        <f>I48-'4090'!I$53</f>
        <v>2206753.7699999996</v>
      </c>
      <c r="K48" s="330">
        <f>'4090'!I$135</f>
        <v>-99217.4</v>
      </c>
      <c r="L48" s="330">
        <f t="shared" si="8"/>
        <v>2220850.8499999996</v>
      </c>
      <c r="M48" s="331">
        <f>'4090'!I$145</f>
        <v>185341.43</v>
      </c>
      <c r="N48" s="201"/>
      <c r="O48" s="330">
        <f>'4090'!E$30</f>
        <v>278.02000000000004</v>
      </c>
      <c r="Q48" s="331">
        <f t="shared" si="9"/>
        <v>8344.9688871304188</v>
      </c>
      <c r="R48" s="331">
        <f t="shared" si="3"/>
        <v>-356.87144809725913</v>
      </c>
      <c r="S48" s="331">
        <f t="shared" si="4"/>
        <v>7988.0974390331603</v>
      </c>
      <c r="U48" s="331">
        <f t="shared" si="10"/>
        <v>0</v>
      </c>
      <c r="V48" s="331">
        <f t="shared" si="5"/>
        <v>0</v>
      </c>
      <c r="W48" s="331">
        <f t="shared" si="6"/>
        <v>7988.0974390331603</v>
      </c>
    </row>
    <row r="49" spans="1:23" x14ac:dyDescent="0.2">
      <c r="A49" s="191">
        <v>44</v>
      </c>
      <c r="B49" s="263">
        <v>4091</v>
      </c>
      <c r="C49" s="265" t="s">
        <v>275</v>
      </c>
      <c r="D49" s="379">
        <f>'4091'!G$135</f>
        <v>0</v>
      </c>
      <c r="E49" s="379" t="str">
        <f>'4091'!H$133</f>
        <v/>
      </c>
      <c r="F49" s="329">
        <f t="shared" si="7"/>
        <v>2.9796642995408625E-2</v>
      </c>
      <c r="G49" s="399">
        <f t="shared" si="2"/>
        <v>3.1333031551035832E-2</v>
      </c>
      <c r="H49" s="322"/>
      <c r="I49" s="330">
        <f>'4091'!I$128</f>
        <v>3570225.68</v>
      </c>
      <c r="J49" s="330">
        <f>I49-'4091'!I$53</f>
        <v>3395162.7</v>
      </c>
      <c r="K49" s="330">
        <f>'4091'!I$135</f>
        <v>-106380.74</v>
      </c>
      <c r="L49" s="330">
        <f t="shared" si="8"/>
        <v>3463844.94</v>
      </c>
      <c r="M49" s="331">
        <f>'4091'!I$145</f>
        <v>288895.8</v>
      </c>
      <c r="N49" s="201"/>
      <c r="O49" s="330">
        <f>'4091'!E$30</f>
        <v>398.94</v>
      </c>
      <c r="Q49" s="331">
        <f t="shared" si="9"/>
        <v>8949.2797914473358</v>
      </c>
      <c r="R49" s="331">
        <f t="shared" si="3"/>
        <v>-266.65849501178121</v>
      </c>
      <c r="S49" s="331">
        <f t="shared" si="4"/>
        <v>8682.6212964355545</v>
      </c>
      <c r="U49" s="331">
        <f t="shared" si="10"/>
        <v>0</v>
      </c>
      <c r="V49" s="331">
        <f t="shared" si="5"/>
        <v>0</v>
      </c>
      <c r="W49" s="331">
        <f t="shared" si="6"/>
        <v>8682.6212964355545</v>
      </c>
    </row>
    <row r="50" spans="1:23" x14ac:dyDescent="0.2">
      <c r="A50" s="191">
        <v>45</v>
      </c>
      <c r="B50" s="263">
        <v>4100</v>
      </c>
      <c r="C50" s="265" t="s">
        <v>298</v>
      </c>
      <c r="D50" s="379">
        <f>'4100'!G$135</f>
        <v>0</v>
      </c>
      <c r="E50" s="379">
        <f>'4100'!H$133</f>
        <v>1</v>
      </c>
      <c r="F50" s="329">
        <f t="shared" si="7"/>
        <v>1.0005490115842479E-2</v>
      </c>
      <c r="G50" s="399">
        <f t="shared" si="2"/>
        <v>1.0543584511718865E-2</v>
      </c>
      <c r="H50" s="322"/>
      <c r="I50" s="330">
        <f>'4100'!I$128</f>
        <v>3884034.62</v>
      </c>
      <c r="J50" s="330">
        <f>I50-'4100'!I$53</f>
        <v>3685811.97</v>
      </c>
      <c r="K50" s="330">
        <f>'4100'!I$135</f>
        <v>-38861.67</v>
      </c>
      <c r="L50" s="330">
        <f t="shared" si="8"/>
        <v>3845172.95</v>
      </c>
      <c r="M50" s="331">
        <f>'4100'!I$145</f>
        <v>321124.13</v>
      </c>
      <c r="N50" s="201"/>
      <c r="O50" s="330">
        <f>'4100'!E$30</f>
        <v>101</v>
      </c>
      <c r="Q50" s="331">
        <f t="shared" si="9"/>
        <v>38455.788316831684</v>
      </c>
      <c r="R50" s="331">
        <f t="shared" si="3"/>
        <v>-384.76900990099006</v>
      </c>
      <c r="S50" s="331">
        <f t="shared" si="4"/>
        <v>38071.019306930692</v>
      </c>
      <c r="U50" s="331">
        <f t="shared" si="10"/>
        <v>0</v>
      </c>
      <c r="V50" s="331">
        <f t="shared" si="5"/>
        <v>38071.019999999997</v>
      </c>
      <c r="W50" s="331">
        <f t="shared" si="6"/>
        <v>0</v>
      </c>
    </row>
    <row r="51" spans="1:23" x14ac:dyDescent="0.2">
      <c r="A51" s="191">
        <v>46</v>
      </c>
      <c r="B51" s="263">
        <v>4102</v>
      </c>
      <c r="C51" s="265" t="s">
        <v>299</v>
      </c>
      <c r="D51" s="379">
        <f>'4102'!G$135</f>
        <v>0</v>
      </c>
      <c r="E51" s="379" t="str">
        <f>'4102'!H$133</f>
        <v/>
      </c>
      <c r="F51" s="329">
        <f t="shared" si="7"/>
        <v>4.7516147843446509E-2</v>
      </c>
      <c r="G51" s="399">
        <f t="shared" si="2"/>
        <v>4.9999999999999989E-2</v>
      </c>
      <c r="H51" s="322"/>
      <c r="I51" s="330">
        <f>'4102'!I$128</f>
        <v>1227255.2100000002</v>
      </c>
      <c r="J51" s="330">
        <f>I51-'4102'!I$53</f>
        <v>1166288.8000000003</v>
      </c>
      <c r="K51" s="330">
        <f>'4102'!I$135</f>
        <v>-58314.44</v>
      </c>
      <c r="L51" s="330">
        <f t="shared" si="8"/>
        <v>1168940.7700000003</v>
      </c>
      <c r="M51" s="331">
        <f>'4102'!I$145</f>
        <v>97565.26</v>
      </c>
      <c r="N51" s="201"/>
      <c r="O51" s="330">
        <f>'4102'!E$30</f>
        <v>144</v>
      </c>
      <c r="Q51" s="331">
        <v>0</v>
      </c>
      <c r="R51" s="331">
        <v>0</v>
      </c>
      <c r="S51" s="331">
        <v>0</v>
      </c>
      <c r="U51" s="331">
        <f t="shared" si="10"/>
        <v>0</v>
      </c>
      <c r="V51" s="331">
        <f t="shared" si="5"/>
        <v>0</v>
      </c>
      <c r="W51" s="331">
        <f>IF(AND(U51=0,V51=0),S51,)</f>
        <v>0</v>
      </c>
    </row>
    <row r="52" spans="1:23" x14ac:dyDescent="0.2">
      <c r="A52" s="191">
        <v>47</v>
      </c>
      <c r="B52" s="263">
        <v>4103</v>
      </c>
      <c r="C52" s="265" t="s">
        <v>324</v>
      </c>
      <c r="D52" s="379">
        <f>'4103'!G$135</f>
        <v>0</v>
      </c>
      <c r="E52" s="379" t="str">
        <f>'4103'!H$133</f>
        <v/>
      </c>
      <c r="F52" s="329">
        <f>IF(I52=0,0,-K52/I52)</f>
        <v>1.2199622797628994E-2</v>
      </c>
      <c r="G52" s="399">
        <f t="shared" si="2"/>
        <v>1.2826301204171307E-2</v>
      </c>
      <c r="H52" s="322"/>
      <c r="I52" s="330">
        <f>'4103'!I$128</f>
        <v>8130367.7699999996</v>
      </c>
      <c r="J52" s="330">
        <f>I52-'4103'!I$53</f>
        <v>7733127.2999999998</v>
      </c>
      <c r="K52" s="330">
        <f>'4103'!I$135</f>
        <v>-99187.42</v>
      </c>
      <c r="L52" s="330">
        <f t="shared" si="8"/>
        <v>8031180.3499999996</v>
      </c>
      <c r="M52" s="331">
        <f>'4103'!I$145</f>
        <v>670046.88</v>
      </c>
      <c r="N52" s="201"/>
      <c r="O52" s="330">
        <f>'4103'!E$30</f>
        <v>974.56000000000006</v>
      </c>
      <c r="Q52" s="331">
        <f>IF(O52=0,0,I52/O52)</f>
        <v>8342.6036057297642</v>
      </c>
      <c r="R52" s="331">
        <f>IF(O52=0,0,K52/O52)</f>
        <v>-101.77661714004267</v>
      </c>
      <c r="S52" s="331">
        <f>IF(O52=0,0,L52/O52)</f>
        <v>8240.8269885897225</v>
      </c>
      <c r="U52" s="331">
        <f t="shared" si="10"/>
        <v>0</v>
      </c>
      <c r="V52" s="331">
        <f t="shared" si="5"/>
        <v>0</v>
      </c>
      <c r="W52" s="331">
        <f>IF(AND(U52=0,V52=0),S52,)</f>
        <v>8240.8269885897225</v>
      </c>
    </row>
    <row r="53" spans="1:23" x14ac:dyDescent="0.2">
      <c r="A53" s="191">
        <v>48</v>
      </c>
      <c r="B53" s="263">
        <v>4111</v>
      </c>
      <c r="C53" s="265" t="s">
        <v>342</v>
      </c>
      <c r="D53" s="379">
        <f>'4111'!G$135</f>
        <v>0</v>
      </c>
      <c r="E53" s="379" t="str">
        <f>'4111'!H$133</f>
        <v/>
      </c>
      <c r="F53" s="329">
        <f>IF(I53=0,0,-K53/I53)</f>
        <v>3.8711383985278486E-2</v>
      </c>
      <c r="G53" s="399">
        <f t="shared" si="2"/>
        <v>4.0711306239721773E-2</v>
      </c>
      <c r="H53" s="322"/>
      <c r="I53" s="330">
        <f>'4111'!I$128</f>
        <v>2527203.1100000003</v>
      </c>
      <c r="J53" s="330">
        <f>I53-'4111'!I$53</f>
        <v>2403055.5400000005</v>
      </c>
      <c r="K53" s="330">
        <f>'4111'!I$135</f>
        <v>-97831.53</v>
      </c>
      <c r="L53" s="330">
        <f t="shared" si="8"/>
        <v>2429371.5800000005</v>
      </c>
      <c r="M53" s="331">
        <f>'4111'!I$145</f>
        <v>202649.33</v>
      </c>
      <c r="N53" s="201"/>
      <c r="O53" s="330">
        <f>'4111'!E$30</f>
        <v>307.03999999999996</v>
      </c>
      <c r="Q53" s="331">
        <f>IF(O53=0,0,I53/O53)</f>
        <v>8230.8595297029715</v>
      </c>
      <c r="R53" s="331">
        <f>IF(O53=0,0,K53/O53)</f>
        <v>-318.62796378322048</v>
      </c>
      <c r="S53" s="331">
        <f>IF(O53=0,0,L53/O53)</f>
        <v>7912.2315659197529</v>
      </c>
      <c r="U53" s="331">
        <f t="shared" si="10"/>
        <v>0</v>
      </c>
      <c r="V53" s="331">
        <f t="shared" si="5"/>
        <v>0</v>
      </c>
      <c r="W53" s="331">
        <f>IF(AND(U53=0,V53=0),S53,)</f>
        <v>7912.2315659197529</v>
      </c>
    </row>
    <row r="54" spans="1:23" x14ac:dyDescent="0.2">
      <c r="A54" s="191">
        <v>49</v>
      </c>
      <c r="B54" s="263">
        <v>4131</v>
      </c>
      <c r="C54" s="265" t="s">
        <v>374</v>
      </c>
      <c r="D54" s="379">
        <f>'4103'!G$135</f>
        <v>0</v>
      </c>
      <c r="E54" s="379" t="str">
        <f>'4103'!H$133</f>
        <v/>
      </c>
      <c r="F54" s="329">
        <f>IF(I54=0,0,-K54/I54)</f>
        <v>4.7563723387116348E-2</v>
      </c>
      <c r="G54" s="399">
        <f t="shared" si="2"/>
        <v>5.0000003736670635E-2</v>
      </c>
      <c r="H54" s="322"/>
      <c r="I54" s="330">
        <f>'4131'!I$128</f>
        <v>843977.03000000014</v>
      </c>
      <c r="J54" s="330">
        <f>I54-'4131'!I$53</f>
        <v>802853.74000000011</v>
      </c>
      <c r="K54" s="330">
        <f>'4131'!I$135</f>
        <v>-40142.69</v>
      </c>
      <c r="L54" s="330">
        <f>I54+K54</f>
        <v>803834.34000000008</v>
      </c>
      <c r="M54" s="331">
        <f>'4131'!I$145</f>
        <v>67065.63</v>
      </c>
      <c r="N54" s="201"/>
      <c r="O54" s="330">
        <f>'4131'!E$30</f>
        <v>103.02</v>
      </c>
      <c r="Q54" s="331">
        <f>IF(O54=0,0,I54/O54)</f>
        <v>8192.3609978644945</v>
      </c>
      <c r="R54" s="331">
        <f>IF(O54=0,0,K54/O54)</f>
        <v>-389.65919238982724</v>
      </c>
      <c r="S54" s="331">
        <f>IF(O54=0,0,L54/O54)</f>
        <v>7802.7018054746659</v>
      </c>
      <c r="U54" s="331">
        <f t="shared" si="10"/>
        <v>0</v>
      </c>
      <c r="V54" s="331">
        <f t="shared" si="5"/>
        <v>0</v>
      </c>
      <c r="W54" s="331">
        <f>IF(AND(U54=0,V54=0),S54,)</f>
        <v>7802.7018054746659</v>
      </c>
    </row>
    <row r="55" spans="1:23" x14ac:dyDescent="0.2">
      <c r="A55" s="215"/>
    </row>
    <row r="56" spans="1:23" x14ac:dyDescent="0.2">
      <c r="D56" s="191">
        <f>COUNTIF(D8:D55,"H")</f>
        <v>11</v>
      </c>
      <c r="E56" s="381">
        <f>SUM(E8:E55)</f>
        <v>9</v>
      </c>
      <c r="F56" s="322">
        <f>-K56/I56</f>
        <v>1.5318793825399024E-2</v>
      </c>
      <c r="G56" s="322">
        <f t="shared" si="2"/>
        <v>1.6091338444082878E-2</v>
      </c>
      <c r="I56" s="201">
        <f>SUM(I6:I55)</f>
        <v>206814963.77000007</v>
      </c>
      <c r="J56" s="201">
        <f>SUM(J6:J55)</f>
        <v>196885784.30000004</v>
      </c>
      <c r="K56" s="201">
        <f>SUM(K6:K55)</f>
        <v>-3168155.79</v>
      </c>
      <c r="L56" s="201">
        <f>SUM(L6:L55)</f>
        <v>203646807.98000002</v>
      </c>
      <c r="M56" s="201">
        <f>SUM(M6:M55)</f>
        <v>16991468.589999996</v>
      </c>
      <c r="O56" s="201">
        <f>SUM(O6:O55)</f>
        <v>21402.560000000001</v>
      </c>
      <c r="Q56" s="201">
        <f>SUM(Q6:Q55)</f>
        <v>550532.83616339019</v>
      </c>
      <c r="R56" s="238">
        <f>K56/O56</f>
        <v>-148.02695518666926</v>
      </c>
      <c r="S56" s="238">
        <f>L56/O56</f>
        <v>9515.0677292809833</v>
      </c>
      <c r="U56" s="201">
        <f>AVERAGEIF(U8:U53,"&lt;&gt;0")</f>
        <v>8506.3908837727886</v>
      </c>
      <c r="V56" s="201">
        <f>AVERAGEIF(V8:V53,"&lt;&gt;0")</f>
        <v>26446.579999999998</v>
      </c>
      <c r="W56" s="201">
        <f>AVERAGEIF(W6:W54,"&lt;&gt;0")</f>
        <v>9035.9052817886532</v>
      </c>
    </row>
    <row r="57" spans="1:23" x14ac:dyDescent="0.2">
      <c r="O57" s="201">
        <f>O56-Consolidated!E32</f>
        <v>0</v>
      </c>
    </row>
    <row r="58" spans="1:23" x14ac:dyDescent="0.2">
      <c r="C58" s="188" t="s">
        <v>300</v>
      </c>
      <c r="I58" s="326">
        <f>Consolidated!I129</f>
        <v>206814963.77000007</v>
      </c>
      <c r="J58" s="326">
        <f>Consolidated!I131</f>
        <v>196885784.30000004</v>
      </c>
      <c r="K58" s="326">
        <f>Consolidated!I136</f>
        <v>-3168155.79</v>
      </c>
      <c r="L58" s="326">
        <f>I58+K58</f>
        <v>203646807.98000008</v>
      </c>
      <c r="M58" s="326">
        <f>Consolidated!I146</f>
        <v>16991468.589999996</v>
      </c>
    </row>
    <row r="59" spans="1:23" x14ac:dyDescent="0.2">
      <c r="L59" s="565"/>
    </row>
    <row r="60" spans="1:23" ht="13.5" thickBot="1" x14ac:dyDescent="0.25">
      <c r="C60" s="188" t="s">
        <v>301</v>
      </c>
      <c r="I60" s="327">
        <f>I58-I56</f>
        <v>0</v>
      </c>
      <c r="J60" s="327">
        <f>J58-J56</f>
        <v>0</v>
      </c>
      <c r="K60" s="327">
        <f>K58-K56</f>
        <v>0</v>
      </c>
      <c r="L60" s="327">
        <f>L58-L56</f>
        <v>0</v>
      </c>
      <c r="M60" s="327">
        <f>M58-M56</f>
        <v>0</v>
      </c>
    </row>
    <row r="61" spans="1:23" ht="13.5" thickTop="1" x14ac:dyDescent="0.2">
      <c r="L61" s="238"/>
    </row>
    <row r="62" spans="1:23" x14ac:dyDescent="0.2">
      <c r="L62" s="201"/>
    </row>
    <row r="63" spans="1:23" x14ac:dyDescent="0.2">
      <c r="L63" s="677">
        <f>L60+L58</f>
        <v>203646807.98000008</v>
      </c>
      <c r="M63" s="188" t="s">
        <v>575</v>
      </c>
    </row>
    <row r="64" spans="1:23" x14ac:dyDescent="0.2">
      <c r="L64" s="766">
        <v>166059.87</v>
      </c>
      <c r="M64" s="188" t="s">
        <v>574</v>
      </c>
    </row>
    <row r="65" spans="12:13" x14ac:dyDescent="0.2">
      <c r="L65" s="201">
        <f>L63+L64</f>
        <v>203812867.85000008</v>
      </c>
      <c r="M65" s="188" t="s">
        <v>576</v>
      </c>
    </row>
  </sheetData>
  <mergeCells count="3">
    <mergeCell ref="I4:L4"/>
    <mergeCell ref="Q4:S4"/>
    <mergeCell ref="U4:W4"/>
  </mergeCells>
  <conditionalFormatting sqref="B6:C6 E6 O6">
    <cfRule type="expression" dxfId="9" priority="24" stopIfTrue="1">
      <formula>MOD(ROW(),2)=0</formula>
    </cfRule>
  </conditionalFormatting>
  <conditionalFormatting sqref="D6:D7">
    <cfRule type="expression" dxfId="8" priority="23" stopIfTrue="1">
      <formula>MOD(ROW(),2)=0</formula>
    </cfRule>
  </conditionalFormatting>
  <conditionalFormatting sqref="F6:G7">
    <cfRule type="expression" dxfId="7" priority="7" stopIfTrue="1">
      <formula>MOD(ROW(),2)=0</formula>
    </cfRule>
  </conditionalFormatting>
  <conditionalFormatting sqref="I6:M54 Q6:S54 U6:W54 B7 B8:G54 O8:O54">
    <cfRule type="expression" dxfId="6" priority="25" stopIfTrue="1">
      <formula>MOD(ROW(),2)=0</formula>
    </cfRule>
  </conditionalFormatting>
  <conditionalFormatting sqref="O57">
    <cfRule type="cellIs" dxfId="5" priority="47" stopIfTrue="1" operator="equal">
      <formula>0</formula>
    </cfRule>
  </conditionalFormatting>
  <pageMargins left="0.7" right="0.7" top="0.75" bottom="0.75" header="0.3" footer="0.3"/>
  <pageSetup orientation="portrait" r:id="rId1"/>
  <ignoredErrors>
    <ignoredError sqref="D53:E5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56"/>
  <sheetViews>
    <sheetView workbookViewId="0">
      <selection activeCell="E30" sqref="E30"/>
    </sheetView>
    <sheetView workbookViewId="1"/>
  </sheetViews>
  <sheetFormatPr defaultColWidth="9.140625" defaultRowHeight="12.75" x14ac:dyDescent="0.2"/>
  <cols>
    <col min="1" max="1" width="4.140625" style="188" bestFit="1" customWidth="1"/>
    <col min="2" max="2" width="9.140625" style="188"/>
    <col min="3" max="3" width="52.140625" style="188" bestFit="1" customWidth="1"/>
    <col min="4" max="4" width="2.140625" style="188" customWidth="1"/>
    <col min="5" max="5" width="9.140625" style="188" customWidth="1"/>
    <col min="6" max="6" width="52.140625" style="188" bestFit="1" customWidth="1"/>
    <col min="7" max="16384" width="9.140625" style="188"/>
  </cols>
  <sheetData>
    <row r="1" spans="1:9" x14ac:dyDescent="0.2">
      <c r="B1" s="203" t="s">
        <v>185</v>
      </c>
      <c r="C1" s="204"/>
      <c r="D1" s="204"/>
      <c r="E1" s="205"/>
      <c r="F1" s="204"/>
    </row>
    <row r="2" spans="1:9" x14ac:dyDescent="0.2">
      <c r="B2" s="206"/>
      <c r="C2" s="204"/>
      <c r="D2" s="204"/>
      <c r="E2" s="205"/>
      <c r="F2" s="204"/>
    </row>
    <row r="3" spans="1:9" x14ac:dyDescent="0.2">
      <c r="B3" s="779" t="s">
        <v>331</v>
      </c>
      <c r="C3" s="780"/>
      <c r="D3" s="204"/>
      <c r="E3" s="779" t="s">
        <v>186</v>
      </c>
      <c r="F3" s="780"/>
    </row>
    <row r="4" spans="1:9" x14ac:dyDescent="0.2">
      <c r="B4" s="207" t="s">
        <v>187</v>
      </c>
      <c r="C4" s="208" t="s">
        <v>188</v>
      </c>
      <c r="D4" s="204"/>
      <c r="E4" s="207" t="s">
        <v>187</v>
      </c>
      <c r="F4" s="208" t="s">
        <v>188</v>
      </c>
    </row>
    <row r="5" spans="1:9" x14ac:dyDescent="0.2">
      <c r="A5" s="215">
        <v>1</v>
      </c>
      <c r="B5" s="209" t="s">
        <v>526</v>
      </c>
      <c r="C5" s="211" t="s">
        <v>531</v>
      </c>
      <c r="D5" s="204"/>
      <c r="E5" s="209" t="s">
        <v>175</v>
      </c>
      <c r="F5" s="210" t="s">
        <v>189</v>
      </c>
    </row>
    <row r="6" spans="1:9" x14ac:dyDescent="0.2">
      <c r="A6" s="215">
        <v>2</v>
      </c>
      <c r="B6" s="209" t="s">
        <v>527</v>
      </c>
      <c r="C6" s="211" t="s">
        <v>532</v>
      </c>
      <c r="D6" s="204"/>
      <c r="E6" s="209" t="s">
        <v>180</v>
      </c>
      <c r="F6" s="210" t="s">
        <v>191</v>
      </c>
      <c r="I6" s="740" t="s">
        <v>567</v>
      </c>
    </row>
    <row r="7" spans="1:9" x14ac:dyDescent="0.2">
      <c r="A7" s="215">
        <v>3</v>
      </c>
      <c r="B7" s="209" t="s">
        <v>158</v>
      </c>
      <c r="C7" s="211" t="s">
        <v>190</v>
      </c>
      <c r="D7" s="204"/>
      <c r="E7" s="209" t="s">
        <v>281</v>
      </c>
      <c r="F7" s="210" t="s">
        <v>282</v>
      </c>
    </row>
    <row r="8" spans="1:9" x14ac:dyDescent="0.2">
      <c r="A8" s="215">
        <v>4</v>
      </c>
      <c r="B8" s="209" t="s">
        <v>159</v>
      </c>
      <c r="C8" s="211" t="s">
        <v>192</v>
      </c>
      <c r="D8" s="204"/>
      <c r="E8" s="209" t="s">
        <v>268</v>
      </c>
      <c r="F8" s="210" t="s">
        <v>267</v>
      </c>
    </row>
    <row r="9" spans="1:9" x14ac:dyDescent="0.2">
      <c r="A9" s="215">
        <v>5</v>
      </c>
      <c r="B9" s="209" t="s">
        <v>160</v>
      </c>
      <c r="C9" s="211" t="s">
        <v>193</v>
      </c>
      <c r="D9" s="204"/>
      <c r="E9" s="209" t="s">
        <v>160</v>
      </c>
      <c r="F9" s="211" t="s">
        <v>193</v>
      </c>
      <c r="I9" s="740" t="s">
        <v>565</v>
      </c>
    </row>
    <row r="10" spans="1:9" x14ac:dyDescent="0.2">
      <c r="A10" s="215">
        <v>6</v>
      </c>
      <c r="B10" s="209" t="s">
        <v>161</v>
      </c>
      <c r="C10" s="210" t="s">
        <v>568</v>
      </c>
      <c r="D10" s="204"/>
      <c r="E10" s="209" t="s">
        <v>174</v>
      </c>
      <c r="F10" s="210" t="s">
        <v>195</v>
      </c>
      <c r="I10" s="740" t="s">
        <v>566</v>
      </c>
    </row>
    <row r="11" spans="1:9" x14ac:dyDescent="0.2">
      <c r="A11" s="215">
        <v>7</v>
      </c>
      <c r="B11" s="209" t="s">
        <v>162</v>
      </c>
      <c r="C11" s="210" t="s">
        <v>255</v>
      </c>
      <c r="D11" s="204"/>
      <c r="E11" s="209" t="s">
        <v>233</v>
      </c>
      <c r="F11" s="210" t="s">
        <v>234</v>
      </c>
      <c r="I11" s="740" t="s">
        <v>578</v>
      </c>
    </row>
    <row r="12" spans="1:9" x14ac:dyDescent="0.2">
      <c r="A12" s="215">
        <v>8</v>
      </c>
      <c r="B12" s="209" t="s">
        <v>163</v>
      </c>
      <c r="C12" s="210" t="s">
        <v>377</v>
      </c>
      <c r="D12" s="204"/>
      <c r="E12" s="209" t="s">
        <v>198</v>
      </c>
      <c r="F12" s="210" t="s">
        <v>347</v>
      </c>
    </row>
    <row r="13" spans="1:9" x14ac:dyDescent="0.2">
      <c r="A13" s="215">
        <v>9</v>
      </c>
      <c r="B13" s="209" t="s">
        <v>164</v>
      </c>
      <c r="C13" s="211" t="s">
        <v>196</v>
      </c>
      <c r="D13" s="204"/>
      <c r="E13" s="209" t="s">
        <v>199</v>
      </c>
      <c r="F13" s="210" t="s">
        <v>349</v>
      </c>
    </row>
    <row r="14" spans="1:9" x14ac:dyDescent="0.2">
      <c r="A14" s="215">
        <v>10</v>
      </c>
      <c r="B14" s="209" t="s">
        <v>165</v>
      </c>
      <c r="C14" s="210" t="s">
        <v>197</v>
      </c>
      <c r="D14" s="204"/>
      <c r="E14" s="209" t="s">
        <v>181</v>
      </c>
      <c r="F14" s="211" t="s">
        <v>201</v>
      </c>
    </row>
    <row r="15" spans="1:9" x14ac:dyDescent="0.2">
      <c r="A15" s="215">
        <v>11</v>
      </c>
      <c r="B15" s="209" t="s">
        <v>166</v>
      </c>
      <c r="C15" s="210" t="s">
        <v>336</v>
      </c>
      <c r="D15" s="204"/>
      <c r="E15" s="209" t="s">
        <v>169</v>
      </c>
      <c r="F15" s="211" t="s">
        <v>202</v>
      </c>
    </row>
    <row r="16" spans="1:9" x14ac:dyDescent="0.2">
      <c r="A16" s="215">
        <v>12</v>
      </c>
      <c r="B16" s="209" t="s">
        <v>167</v>
      </c>
      <c r="C16" s="212" t="s">
        <v>383</v>
      </c>
      <c r="D16" s="204"/>
      <c r="E16" s="209" t="s">
        <v>173</v>
      </c>
      <c r="F16" s="211" t="s">
        <v>203</v>
      </c>
    </row>
    <row r="17" spans="1:9" x14ac:dyDescent="0.2">
      <c r="A17" s="215">
        <v>13</v>
      </c>
      <c r="B17" s="191">
        <v>3362</v>
      </c>
      <c r="C17" s="188" t="s">
        <v>577</v>
      </c>
      <c r="D17" s="204"/>
      <c r="E17" s="209" t="s">
        <v>167</v>
      </c>
      <c r="F17" s="212" t="s">
        <v>383</v>
      </c>
    </row>
    <row r="18" spans="1:9" x14ac:dyDescent="0.2">
      <c r="A18" s="215">
        <v>14</v>
      </c>
      <c r="B18" s="209" t="s">
        <v>168</v>
      </c>
      <c r="C18" s="211" t="s">
        <v>200</v>
      </c>
      <c r="D18" s="204"/>
      <c r="E18" s="209" t="s">
        <v>168</v>
      </c>
      <c r="F18" s="211" t="s">
        <v>200</v>
      </c>
    </row>
    <row r="19" spans="1:9" x14ac:dyDescent="0.2">
      <c r="A19" s="215">
        <v>15</v>
      </c>
      <c r="B19" s="209" t="s">
        <v>169</v>
      </c>
      <c r="C19" s="211" t="s">
        <v>202</v>
      </c>
      <c r="D19" s="204"/>
      <c r="E19" s="209" t="s">
        <v>158</v>
      </c>
      <c r="F19" s="211" t="s">
        <v>190</v>
      </c>
    </row>
    <row r="20" spans="1:9" x14ac:dyDescent="0.2">
      <c r="A20" s="215">
        <v>16</v>
      </c>
      <c r="B20" s="209" t="s">
        <v>170</v>
      </c>
      <c r="C20" s="211" t="s">
        <v>204</v>
      </c>
      <c r="D20" s="204"/>
      <c r="E20" s="209" t="s">
        <v>171</v>
      </c>
      <c r="F20" s="211" t="s">
        <v>205</v>
      </c>
    </row>
    <row r="21" spans="1:9" x14ac:dyDescent="0.2">
      <c r="A21" s="215">
        <v>17</v>
      </c>
      <c r="B21" s="209" t="s">
        <v>171</v>
      </c>
      <c r="C21" s="211" t="s">
        <v>205</v>
      </c>
      <c r="D21" s="204"/>
      <c r="E21" s="209" t="s">
        <v>338</v>
      </c>
      <c r="F21" s="214" t="s">
        <v>335</v>
      </c>
    </row>
    <row r="22" spans="1:9" x14ac:dyDescent="0.2">
      <c r="A22" s="215">
        <v>18</v>
      </c>
      <c r="B22" s="209" t="s">
        <v>172</v>
      </c>
      <c r="C22" s="210" t="s">
        <v>286</v>
      </c>
      <c r="D22" s="204"/>
      <c r="E22" s="209" t="s">
        <v>163</v>
      </c>
      <c r="F22" s="210" t="s">
        <v>377</v>
      </c>
    </row>
    <row r="23" spans="1:9" x14ac:dyDescent="0.2">
      <c r="A23" s="215">
        <v>19</v>
      </c>
      <c r="B23" s="209" t="s">
        <v>173</v>
      </c>
      <c r="C23" s="211" t="s">
        <v>203</v>
      </c>
      <c r="D23" s="204"/>
      <c r="E23" s="209" t="s">
        <v>209</v>
      </c>
      <c r="F23" s="214" t="s">
        <v>376</v>
      </c>
    </row>
    <row r="24" spans="1:9" x14ac:dyDescent="0.2">
      <c r="A24" s="215">
        <v>20</v>
      </c>
      <c r="B24" s="209" t="s">
        <v>174</v>
      </c>
      <c r="C24" s="210" t="s">
        <v>195</v>
      </c>
      <c r="D24" s="204"/>
      <c r="E24" s="209" t="s">
        <v>182</v>
      </c>
      <c r="F24" s="211" t="s">
        <v>340</v>
      </c>
    </row>
    <row r="25" spans="1:9" x14ac:dyDescent="0.2">
      <c r="A25" s="215">
        <v>21</v>
      </c>
      <c r="B25" s="209" t="s">
        <v>175</v>
      </c>
      <c r="C25" s="210" t="s">
        <v>189</v>
      </c>
      <c r="D25" s="204"/>
      <c r="E25" s="209" t="s">
        <v>526</v>
      </c>
      <c r="F25" s="211" t="s">
        <v>531</v>
      </c>
    </row>
    <row r="26" spans="1:9" x14ac:dyDescent="0.2">
      <c r="A26" s="215">
        <v>22</v>
      </c>
      <c r="B26" s="209" t="s">
        <v>176</v>
      </c>
      <c r="C26" s="211" t="s">
        <v>206</v>
      </c>
      <c r="D26" s="204"/>
      <c r="E26" s="209" t="s">
        <v>165</v>
      </c>
      <c r="F26" s="210" t="s">
        <v>197</v>
      </c>
    </row>
    <row r="27" spans="1:9" x14ac:dyDescent="0.2">
      <c r="A27" s="215">
        <v>23</v>
      </c>
      <c r="B27" s="209" t="s">
        <v>177</v>
      </c>
      <c r="C27" s="210" t="s">
        <v>207</v>
      </c>
      <c r="D27" s="204"/>
      <c r="E27" s="209" t="s">
        <v>161</v>
      </c>
      <c r="F27" s="210" t="s">
        <v>194</v>
      </c>
    </row>
    <row r="28" spans="1:9" x14ac:dyDescent="0.2">
      <c r="A28" s="215">
        <v>24</v>
      </c>
      <c r="B28" s="213" t="s">
        <v>178</v>
      </c>
      <c r="C28" s="210" t="s">
        <v>208</v>
      </c>
      <c r="D28" s="204"/>
      <c r="E28" s="209" t="s">
        <v>176</v>
      </c>
      <c r="F28" s="211" t="s">
        <v>206</v>
      </c>
    </row>
    <row r="29" spans="1:9" x14ac:dyDescent="0.2">
      <c r="A29" s="215">
        <v>25</v>
      </c>
      <c r="B29" s="209" t="s">
        <v>179</v>
      </c>
      <c r="C29" s="211" t="s">
        <v>210</v>
      </c>
      <c r="D29" s="204"/>
      <c r="E29" s="209" t="s">
        <v>213</v>
      </c>
      <c r="F29" s="210" t="s">
        <v>214</v>
      </c>
      <c r="I29" s="295"/>
    </row>
    <row r="30" spans="1:9" x14ac:dyDescent="0.2">
      <c r="A30" s="215">
        <v>26</v>
      </c>
      <c r="B30" s="209" t="s">
        <v>211</v>
      </c>
      <c r="C30" s="210" t="s">
        <v>212</v>
      </c>
      <c r="D30" s="204"/>
      <c r="E30" s="209" t="s">
        <v>215</v>
      </c>
      <c r="F30" s="210" t="s">
        <v>216</v>
      </c>
      <c r="I30" s="295"/>
    </row>
    <row r="31" spans="1:9" x14ac:dyDescent="0.2">
      <c r="A31" s="215">
        <v>27</v>
      </c>
      <c r="B31" s="209" t="s">
        <v>209</v>
      </c>
      <c r="C31" s="214" t="s">
        <v>376</v>
      </c>
      <c r="D31" s="204"/>
      <c r="E31" s="209" t="s">
        <v>217</v>
      </c>
      <c r="F31" s="210" t="s">
        <v>218</v>
      </c>
    </row>
    <row r="32" spans="1:9" x14ac:dyDescent="0.2">
      <c r="A32" s="215">
        <v>28</v>
      </c>
      <c r="B32" s="209" t="s">
        <v>180</v>
      </c>
      <c r="C32" s="210" t="s">
        <v>191</v>
      </c>
      <c r="D32" s="204"/>
      <c r="E32" s="209" t="s">
        <v>183</v>
      </c>
      <c r="F32" s="211" t="s">
        <v>219</v>
      </c>
    </row>
    <row r="33" spans="1:6" x14ac:dyDescent="0.2">
      <c r="A33" s="215">
        <v>29</v>
      </c>
      <c r="B33" s="209" t="s">
        <v>181</v>
      </c>
      <c r="C33" s="211" t="s">
        <v>201</v>
      </c>
      <c r="D33" s="204"/>
      <c r="E33" s="209" t="s">
        <v>179</v>
      </c>
      <c r="F33" s="211" t="s">
        <v>210</v>
      </c>
    </row>
    <row r="34" spans="1:6" x14ac:dyDescent="0.2">
      <c r="A34" s="215">
        <v>30</v>
      </c>
      <c r="B34" s="209" t="s">
        <v>182</v>
      </c>
      <c r="C34" s="211" t="s">
        <v>340</v>
      </c>
      <c r="D34" s="204"/>
      <c r="E34" s="209" t="s">
        <v>170</v>
      </c>
      <c r="F34" s="211" t="s">
        <v>204</v>
      </c>
    </row>
    <row r="35" spans="1:6" x14ac:dyDescent="0.2">
      <c r="A35" s="215">
        <v>31</v>
      </c>
      <c r="B35" s="209" t="s">
        <v>183</v>
      </c>
      <c r="C35" s="211" t="s">
        <v>219</v>
      </c>
      <c r="D35" s="204"/>
      <c r="E35" s="209">
        <v>4111</v>
      </c>
      <c r="F35" s="211" t="s">
        <v>342</v>
      </c>
    </row>
    <row r="36" spans="1:6" x14ac:dyDescent="0.2">
      <c r="A36" s="215">
        <v>32</v>
      </c>
      <c r="B36" s="209" t="s">
        <v>217</v>
      </c>
      <c r="C36" s="210" t="s">
        <v>218</v>
      </c>
      <c r="D36" s="204"/>
      <c r="E36" s="209">
        <v>3362</v>
      </c>
      <c r="F36" s="210" t="s">
        <v>577</v>
      </c>
    </row>
    <row r="37" spans="1:6" x14ac:dyDescent="0.2">
      <c r="A37" s="215">
        <v>33</v>
      </c>
      <c r="B37" s="209" t="s">
        <v>220</v>
      </c>
      <c r="C37" s="214" t="s">
        <v>221</v>
      </c>
      <c r="D37" s="204"/>
      <c r="E37" s="209" t="s">
        <v>177</v>
      </c>
      <c r="F37" s="210" t="s">
        <v>207</v>
      </c>
    </row>
    <row r="38" spans="1:6" x14ac:dyDescent="0.2">
      <c r="A38" s="215">
        <v>34</v>
      </c>
      <c r="B38" s="209" t="s">
        <v>222</v>
      </c>
      <c r="C38" s="211" t="s">
        <v>223</v>
      </c>
      <c r="D38" s="204"/>
      <c r="E38" s="209" t="s">
        <v>224</v>
      </c>
      <c r="F38" s="210" t="s">
        <v>225</v>
      </c>
    </row>
    <row r="39" spans="1:6" x14ac:dyDescent="0.2">
      <c r="A39" s="215">
        <v>35</v>
      </c>
      <c r="B39" s="209" t="s">
        <v>198</v>
      </c>
      <c r="C39" s="210" t="s">
        <v>347</v>
      </c>
      <c r="D39" s="204"/>
      <c r="E39" s="209" t="s">
        <v>222</v>
      </c>
      <c r="F39" s="211" t="s">
        <v>223</v>
      </c>
    </row>
    <row r="40" spans="1:6" x14ac:dyDescent="0.2">
      <c r="A40" s="215">
        <v>36</v>
      </c>
      <c r="B40" s="209" t="s">
        <v>338</v>
      </c>
      <c r="C40" s="211" t="s">
        <v>335</v>
      </c>
      <c r="D40" s="204"/>
      <c r="E40" s="209" t="s">
        <v>220</v>
      </c>
      <c r="F40" s="214" t="s">
        <v>221</v>
      </c>
    </row>
    <row r="41" spans="1:6" x14ac:dyDescent="0.2">
      <c r="A41" s="215">
        <v>37</v>
      </c>
      <c r="B41" s="209">
        <v>4031</v>
      </c>
      <c r="C41" s="210" t="s">
        <v>352</v>
      </c>
      <c r="D41" s="204"/>
      <c r="E41" s="209" t="s">
        <v>172</v>
      </c>
      <c r="F41" s="211" t="s">
        <v>286</v>
      </c>
    </row>
    <row r="42" spans="1:6" x14ac:dyDescent="0.2">
      <c r="A42" s="215">
        <v>38</v>
      </c>
      <c r="B42" s="209" t="s">
        <v>224</v>
      </c>
      <c r="C42" s="210" t="s">
        <v>225</v>
      </c>
      <c r="D42" s="204"/>
      <c r="E42" s="209">
        <v>4091</v>
      </c>
      <c r="F42" s="211" t="s">
        <v>275</v>
      </c>
    </row>
    <row r="43" spans="1:6" x14ac:dyDescent="0.2">
      <c r="A43" s="215">
        <v>39</v>
      </c>
      <c r="B43" s="209" t="s">
        <v>215</v>
      </c>
      <c r="C43" s="210" t="s">
        <v>216</v>
      </c>
      <c r="D43" s="204"/>
      <c r="E43" s="209">
        <v>4031</v>
      </c>
      <c r="F43" s="210" t="s">
        <v>352</v>
      </c>
    </row>
    <row r="44" spans="1:6" x14ac:dyDescent="0.2">
      <c r="A44" s="215">
        <v>40</v>
      </c>
      <c r="B44" s="209" t="s">
        <v>213</v>
      </c>
      <c r="C44" s="210" t="s">
        <v>214</v>
      </c>
      <c r="D44" s="204"/>
      <c r="E44" s="213" t="s">
        <v>373</v>
      </c>
      <c r="F44" s="210" t="s">
        <v>374</v>
      </c>
    </row>
    <row r="45" spans="1:6" x14ac:dyDescent="0.2">
      <c r="A45" s="215">
        <v>41</v>
      </c>
      <c r="B45" s="209" t="s">
        <v>199</v>
      </c>
      <c r="C45" s="210" t="s">
        <v>349</v>
      </c>
      <c r="D45" s="204"/>
      <c r="E45" s="209" t="s">
        <v>159</v>
      </c>
      <c r="F45" s="211" t="s">
        <v>192</v>
      </c>
    </row>
    <row r="46" spans="1:6" x14ac:dyDescent="0.2">
      <c r="A46" s="215">
        <v>42</v>
      </c>
      <c r="B46" s="209" t="s">
        <v>238</v>
      </c>
      <c r="C46" s="210" t="s">
        <v>242</v>
      </c>
      <c r="D46" s="204"/>
      <c r="E46" s="209" t="s">
        <v>211</v>
      </c>
      <c r="F46" s="210" t="s">
        <v>212</v>
      </c>
    </row>
    <row r="47" spans="1:6" x14ac:dyDescent="0.2">
      <c r="A47" s="215">
        <v>43</v>
      </c>
      <c r="B47" s="242" t="s">
        <v>233</v>
      </c>
      <c r="C47" s="188" t="s">
        <v>234</v>
      </c>
      <c r="D47" s="204"/>
      <c r="E47" s="209">
        <v>4090</v>
      </c>
      <c r="F47" s="211" t="s">
        <v>276</v>
      </c>
    </row>
    <row r="48" spans="1:6" x14ac:dyDescent="0.2">
      <c r="A48" s="215">
        <v>44</v>
      </c>
      <c r="B48" s="242">
        <v>4090</v>
      </c>
      <c r="C48" s="188" t="s">
        <v>276</v>
      </c>
      <c r="D48" s="204"/>
      <c r="E48" s="209" t="s">
        <v>326</v>
      </c>
      <c r="F48" s="211" t="s">
        <v>327</v>
      </c>
    </row>
    <row r="49" spans="1:6" x14ac:dyDescent="0.2">
      <c r="A49" s="215">
        <v>45</v>
      </c>
      <c r="B49" s="242">
        <v>4091</v>
      </c>
      <c r="C49" s="188" t="s">
        <v>275</v>
      </c>
      <c r="D49" s="204"/>
      <c r="E49" s="209" t="s">
        <v>166</v>
      </c>
      <c r="F49" s="210" t="s">
        <v>336</v>
      </c>
    </row>
    <row r="50" spans="1:6" x14ac:dyDescent="0.2">
      <c r="A50" s="215">
        <v>46</v>
      </c>
      <c r="B50" s="209" t="s">
        <v>268</v>
      </c>
      <c r="C50" s="210" t="s">
        <v>267</v>
      </c>
      <c r="D50" s="204"/>
      <c r="E50" s="209" t="s">
        <v>527</v>
      </c>
      <c r="F50" s="188" t="s">
        <v>533</v>
      </c>
    </row>
    <row r="51" spans="1:6" x14ac:dyDescent="0.2">
      <c r="A51" s="215">
        <v>47</v>
      </c>
      <c r="B51" s="209" t="s">
        <v>281</v>
      </c>
      <c r="C51" s="210" t="s">
        <v>282</v>
      </c>
      <c r="D51" s="204"/>
      <c r="E51" s="209" t="s">
        <v>162</v>
      </c>
      <c r="F51" s="210" t="s">
        <v>255</v>
      </c>
    </row>
    <row r="52" spans="1:6" x14ac:dyDescent="0.2">
      <c r="A52" s="215">
        <v>48</v>
      </c>
      <c r="B52" s="209" t="s">
        <v>326</v>
      </c>
      <c r="C52" s="241" t="s">
        <v>327</v>
      </c>
      <c r="D52" s="204"/>
      <c r="E52" s="209" t="s">
        <v>238</v>
      </c>
      <c r="F52" s="210" t="s">
        <v>242</v>
      </c>
    </row>
    <row r="53" spans="1:6" x14ac:dyDescent="0.2">
      <c r="A53" s="215">
        <v>49</v>
      </c>
      <c r="B53" s="209">
        <v>4111</v>
      </c>
      <c r="C53" s="210" t="s">
        <v>342</v>
      </c>
      <c r="D53" s="204"/>
      <c r="E53" s="209" t="s">
        <v>164</v>
      </c>
      <c r="F53" s="211" t="s">
        <v>196</v>
      </c>
    </row>
    <row r="54" spans="1:6" x14ac:dyDescent="0.2">
      <c r="A54" s="188">
        <v>50</v>
      </c>
      <c r="B54" s="209" t="s">
        <v>373</v>
      </c>
      <c r="C54" s="210" t="s">
        <v>374</v>
      </c>
      <c r="D54" s="204"/>
      <c r="E54" s="213" t="s">
        <v>178</v>
      </c>
      <c r="F54" s="210" t="s">
        <v>208</v>
      </c>
    </row>
    <row r="55" spans="1:6" x14ac:dyDescent="0.2">
      <c r="A55" s="215"/>
      <c r="D55" s="204"/>
    </row>
    <row r="56" spans="1:6" x14ac:dyDescent="0.2">
      <c r="D56" s="204"/>
    </row>
  </sheetData>
  <mergeCells count="2">
    <mergeCell ref="B3:C3"/>
    <mergeCell ref="E3:F3"/>
  </mergeCells>
  <conditionalFormatting sqref="B5:C16 B18:C54">
    <cfRule type="expression" dxfId="4" priority="5" stopIfTrue="1">
      <formula>MOD(ROW(),2)=0</formula>
    </cfRule>
  </conditionalFormatting>
  <conditionalFormatting sqref="E5:F24 E51:F54">
    <cfRule type="expression" dxfId="3" priority="4">
      <formula>MOD(ROW(),2)=0</formula>
    </cfRule>
  </conditionalFormatting>
  <conditionalFormatting sqref="E25:F25">
    <cfRule type="expression" dxfId="2" priority="3" stopIfTrue="1">
      <formula>MOD(ROW(),2)=0</formula>
    </cfRule>
  </conditionalFormatting>
  <conditionalFormatting sqref="E26:F35 E37:F49 E50">
    <cfRule type="expression" dxfId="1" priority="2">
      <formula>MOD(ROW(),2)=0</formula>
    </cfRule>
  </conditionalFormatting>
  <conditionalFormatting sqref="E36:F36">
    <cfRule type="expression" dxfId="0" priority="1">
      <formula>MOD(ROW(),2)=0</formula>
    </cfRule>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M167"/>
  <sheetViews>
    <sheetView topLeftCell="A130" workbookViewId="0">
      <selection activeCell="L23" sqref="L23"/>
    </sheetView>
    <sheetView workbookViewId="1"/>
  </sheetViews>
  <sheetFormatPr defaultColWidth="9.140625" defaultRowHeight="15.75" x14ac:dyDescent="0.25"/>
  <cols>
    <col min="1" max="1" width="10.28515625" style="69" customWidth="1"/>
    <col min="2" max="2" width="30.28515625" style="3" bestFit="1" customWidth="1"/>
    <col min="3" max="3" width="14" style="3" customWidth="1"/>
    <col min="4" max="4" width="11.5703125" style="3" customWidth="1"/>
    <col min="5" max="5" width="14" style="3" customWidth="1"/>
    <col min="6" max="6" width="18.140625" style="3" customWidth="1"/>
    <col min="7" max="7" width="7.42578125" style="3" customWidth="1"/>
    <col min="8" max="8" width="15.7109375" style="3" customWidth="1"/>
    <col min="9" max="9" width="23.7109375" style="3" customWidth="1"/>
    <col min="10" max="10" width="9.140625" style="3"/>
    <col min="11" max="11" width="16.85546875" style="3" bestFit="1" customWidth="1"/>
    <col min="12" max="12" width="15.7109375" style="3" bestFit="1" customWidth="1"/>
    <col min="13" max="16384" width="9.140625" style="3"/>
  </cols>
  <sheetData>
    <row r="1" spans="1:9" ht="16.5" thickBot="1" x14ac:dyDescent="0.3">
      <c r="A1" s="82"/>
      <c r="B1" s="792" t="s">
        <v>15</v>
      </c>
      <c r="C1" s="793"/>
      <c r="D1" s="793"/>
      <c r="E1" s="793"/>
      <c r="F1" s="793"/>
      <c r="G1" s="793"/>
      <c r="H1" s="793"/>
      <c r="I1" s="793"/>
    </row>
    <row r="2" spans="1:9" ht="21" x14ac:dyDescent="0.35">
      <c r="A2" s="1" t="s">
        <v>253</v>
      </c>
      <c r="B2" s="2"/>
      <c r="C2" s="2"/>
      <c r="D2" s="2"/>
      <c r="E2" s="2"/>
      <c r="F2" s="2"/>
      <c r="G2" s="2"/>
      <c r="H2" s="2"/>
      <c r="I2" s="2"/>
    </row>
    <row r="3" spans="1:9" x14ac:dyDescent="0.25">
      <c r="A3" s="81" t="str">
        <f>'1461'!A3</f>
        <v>Based on the FLDOE 2025-26 FEFP Calculation</v>
      </c>
    </row>
    <row r="4" spans="1:9" x14ac:dyDescent="0.25">
      <c r="A4" s="794" t="s">
        <v>0</v>
      </c>
      <c r="B4" s="794"/>
      <c r="C4" s="795" t="s">
        <v>9</v>
      </c>
      <c r="D4" s="795"/>
      <c r="E4" s="795"/>
      <c r="F4" s="561" t="s">
        <v>554</v>
      </c>
      <c r="G4" s="4"/>
      <c r="H4" s="4"/>
      <c r="I4" s="4"/>
    </row>
    <row r="5" spans="1:9" ht="12" customHeight="1" thickBot="1" x14ac:dyDescent="0.3">
      <c r="A5" s="225"/>
      <c r="B5" s="225"/>
      <c r="C5" s="226"/>
      <c r="D5" s="226"/>
      <c r="E5" s="226"/>
      <c r="F5" s="227"/>
      <c r="G5" s="227"/>
      <c r="H5" s="227"/>
      <c r="I5" s="227"/>
    </row>
    <row r="6" spans="1:9" ht="12" customHeight="1" x14ac:dyDescent="0.25">
      <c r="A6" s="121"/>
      <c r="B6" s="121"/>
      <c r="C6" s="234"/>
      <c r="D6" s="234"/>
      <c r="E6" s="234"/>
      <c r="F6" s="4"/>
      <c r="G6" s="4"/>
      <c r="H6" s="4"/>
      <c r="I6" s="4"/>
    </row>
    <row r="7" spans="1:9" x14ac:dyDescent="0.25">
      <c r="A7" s="796" t="str">
        <f>'1461'!A7:I7</f>
        <v>1A.   2023-24 FEFP State and Local Funding</v>
      </c>
      <c r="B7" s="796"/>
      <c r="C7" s="796"/>
      <c r="D7" s="796"/>
      <c r="E7" s="796"/>
      <c r="F7" s="796"/>
      <c r="G7" s="796"/>
      <c r="H7" s="796"/>
      <c r="I7" s="796"/>
    </row>
    <row r="8" spans="1:9" x14ac:dyDescent="0.25">
      <c r="A8" s="84"/>
      <c r="B8" s="85" t="s">
        <v>92</v>
      </c>
      <c r="C8" s="221">
        <f>'1461'!C8</f>
        <v>5372.6</v>
      </c>
      <c r="D8" s="86"/>
      <c r="E8" s="87"/>
      <c r="F8" s="84"/>
      <c r="G8" s="85" t="s">
        <v>91</v>
      </c>
      <c r="H8" s="222">
        <f>'1461'!H8</f>
        <v>1.0355000000000001</v>
      </c>
      <c r="I8" s="75"/>
    </row>
    <row r="9" spans="1:9" x14ac:dyDescent="0.25">
      <c r="A9" s="84"/>
      <c r="B9" s="85"/>
      <c r="C9" s="221"/>
      <c r="D9" s="86"/>
      <c r="E9" s="87"/>
      <c r="F9" s="84"/>
      <c r="G9" s="85" t="s">
        <v>406</v>
      </c>
      <c r="H9" s="222">
        <f>'1461'!H9</f>
        <v>1</v>
      </c>
      <c r="I9" s="75"/>
    </row>
    <row r="10" spans="1:9" x14ac:dyDescent="0.25">
      <c r="A10" s="7"/>
      <c r="B10" s="7"/>
      <c r="C10" s="8"/>
      <c r="D10" s="8"/>
      <c r="E10" s="8"/>
      <c r="F10" s="9"/>
      <c r="G10" s="9"/>
      <c r="H10" s="10"/>
      <c r="I10" s="385" t="str">
        <f>'1461'!I10</f>
        <v>2025-26</v>
      </c>
    </row>
    <row r="11" spans="1:9" x14ac:dyDescent="0.25">
      <c r="A11" s="7"/>
      <c r="B11" s="7"/>
      <c r="C11" s="88" t="str">
        <f>'1461'!C11</f>
        <v>Oct 2024</v>
      </c>
      <c r="D11" s="88" t="str">
        <f>'1461'!D11</f>
        <v>Feb 2025</v>
      </c>
      <c r="E11" s="89" t="s">
        <v>8</v>
      </c>
      <c r="F11" s="797" t="s">
        <v>1</v>
      </c>
      <c r="G11" s="797"/>
      <c r="H11" s="10" t="s">
        <v>60</v>
      </c>
      <c r="I11" s="11" t="s">
        <v>27</v>
      </c>
    </row>
    <row r="12" spans="1:9" x14ac:dyDescent="0.25">
      <c r="A12" s="798" t="s">
        <v>1</v>
      </c>
      <c r="B12" s="798"/>
      <c r="C12" s="453" t="str">
        <f>'1461'!C12</f>
        <v>FTE</v>
      </c>
      <c r="D12" s="453" t="str">
        <f>'1461'!D12</f>
        <v>FTE</v>
      </c>
      <c r="E12" s="90" t="s">
        <v>2</v>
      </c>
      <c r="F12" s="799" t="s">
        <v>63</v>
      </c>
      <c r="G12" s="799"/>
      <c r="H12" s="17" t="s">
        <v>59</v>
      </c>
      <c r="I12" s="407" t="s">
        <v>410</v>
      </c>
    </row>
    <row r="13" spans="1:9" x14ac:dyDescent="0.25">
      <c r="A13" s="800" t="s">
        <v>36</v>
      </c>
      <c r="B13" s="800"/>
      <c r="C13" s="91"/>
      <c r="D13" s="91"/>
      <c r="E13" s="762" t="s">
        <v>37</v>
      </c>
      <c r="F13" s="801" t="s">
        <v>38</v>
      </c>
      <c r="G13" s="801"/>
      <c r="H13" s="763" t="s">
        <v>39</v>
      </c>
      <c r="I13" s="764" t="s">
        <v>40</v>
      </c>
    </row>
    <row r="14" spans="1:9" x14ac:dyDescent="0.25">
      <c r="A14" s="802" t="s">
        <v>20</v>
      </c>
      <c r="B14" s="802"/>
      <c r="C14" s="141">
        <f>SUM('0040:4131'!C14)</f>
        <v>2036.5200000000002</v>
      </c>
      <c r="D14" s="141">
        <f>SUM('0040:4131'!D14)</f>
        <v>0</v>
      </c>
      <c r="E14" s="116">
        <f>SUM('0040:4131'!E14)</f>
        <v>4073.0400000000004</v>
      </c>
      <c r="F14" s="803">
        <f>'1461'!F14:G14</f>
        <v>1.1080000000000001</v>
      </c>
      <c r="G14" s="803"/>
      <c r="H14" s="760">
        <f>SUM('0040:4131'!H14)</f>
        <v>4512.9283000000005</v>
      </c>
      <c r="I14" s="101">
        <f>SUM('0040:4131'!I14)</f>
        <v>25106897.199999996</v>
      </c>
    </row>
    <row r="15" spans="1:9" x14ac:dyDescent="0.25">
      <c r="A15" s="804" t="s">
        <v>21</v>
      </c>
      <c r="B15" s="804"/>
      <c r="C15" s="143">
        <f>SUM('0040:4131'!C15)</f>
        <v>288</v>
      </c>
      <c r="D15" s="143">
        <f>SUM('0040:4131'!D15)</f>
        <v>0</v>
      </c>
      <c r="E15" s="116">
        <f>SUM('0040:4131'!E15)</f>
        <v>576</v>
      </c>
      <c r="F15" s="805">
        <f>'1461'!F15:G15</f>
        <v>1.1080000000000001</v>
      </c>
      <c r="G15" s="805"/>
      <c r="H15" s="760">
        <f>SUM('0040:4131'!H15)</f>
        <v>638.20799999999997</v>
      </c>
      <c r="I15" s="101">
        <f>SUM('0040:4131'!I15)</f>
        <v>3550560.02</v>
      </c>
    </row>
    <row r="16" spans="1:9" x14ac:dyDescent="0.25">
      <c r="A16" s="804" t="s">
        <v>22</v>
      </c>
      <c r="B16" s="804"/>
      <c r="C16" s="143">
        <f>SUM('0040:4131'!C16)</f>
        <v>3230.2799999999997</v>
      </c>
      <c r="D16" s="143">
        <f>SUM('0040:4131'!D16)</f>
        <v>0</v>
      </c>
      <c r="E16" s="116">
        <f>SUM('0040:4131'!E16)</f>
        <v>6460.5599999999995</v>
      </c>
      <c r="F16" s="805">
        <f>'1461'!F16:G16</f>
        <v>1</v>
      </c>
      <c r="G16" s="805"/>
      <c r="H16" s="760">
        <f>SUM('0040:4131'!H16)</f>
        <v>6460.5599999999995</v>
      </c>
      <c r="I16" s="101">
        <f>SUM('0040:4131'!I16)</f>
        <v>35942209.82</v>
      </c>
    </row>
    <row r="17" spans="1:9" x14ac:dyDescent="0.25">
      <c r="A17" s="804" t="s">
        <v>23</v>
      </c>
      <c r="B17" s="804"/>
      <c r="C17" s="143">
        <f>SUM('0040:4131'!C17)</f>
        <v>580.06000000000006</v>
      </c>
      <c r="D17" s="143">
        <f>SUM('0040:4131'!D17)</f>
        <v>0</v>
      </c>
      <c r="E17" s="116">
        <f>SUM('0040:4131'!E17)</f>
        <v>1160.1200000000001</v>
      </c>
      <c r="F17" s="805">
        <f>'1461'!F17:G17</f>
        <v>1</v>
      </c>
      <c r="G17" s="805"/>
      <c r="H17" s="760">
        <f>SUM('0040:4131'!H17)</f>
        <v>1160.1200000000001</v>
      </c>
      <c r="I17" s="101">
        <f>SUM('0040:4131'!I17)</f>
        <v>6454127.2699999996</v>
      </c>
    </row>
    <row r="18" spans="1:9" x14ac:dyDescent="0.25">
      <c r="A18" s="804" t="s">
        <v>24</v>
      </c>
      <c r="B18" s="804"/>
      <c r="C18" s="143">
        <f>SUM('0040:4131'!C18)</f>
        <v>2242.3000000000002</v>
      </c>
      <c r="D18" s="143">
        <f>SUM('0040:4131'!D18)</f>
        <v>0</v>
      </c>
      <c r="E18" s="116">
        <f>SUM('0040:4131'!E18)</f>
        <v>4484.6000000000004</v>
      </c>
      <c r="F18" s="805">
        <f>'1461'!F18:G18</f>
        <v>0.97199999999999998</v>
      </c>
      <c r="G18" s="805"/>
      <c r="H18" s="760">
        <f>SUM('0040:4131'!H18)</f>
        <v>4359.0312999999996</v>
      </c>
      <c r="I18" s="101">
        <f>SUM('0040:4131'!I18)</f>
        <v>24250717.82</v>
      </c>
    </row>
    <row r="19" spans="1:9" x14ac:dyDescent="0.25">
      <c r="A19" s="804" t="s">
        <v>25</v>
      </c>
      <c r="B19" s="804"/>
      <c r="C19" s="143">
        <f>SUM('0040:4131'!C19)</f>
        <v>626.9899999999999</v>
      </c>
      <c r="D19" s="143">
        <f>SUM('0040:4131'!D19)</f>
        <v>0</v>
      </c>
      <c r="E19" s="116">
        <f>SUM('0040:4131'!E19)</f>
        <v>1253.9799999999998</v>
      </c>
      <c r="F19" s="805">
        <f>'1461'!F19:G19</f>
        <v>0.97199999999999998</v>
      </c>
      <c r="G19" s="805"/>
      <c r="H19" s="760">
        <f>SUM('0040:4131'!H19)</f>
        <v>1218.8685999999998</v>
      </c>
      <c r="I19" s="101">
        <f>SUM('0040:4131'!I19)</f>
        <v>6780964.9899999984</v>
      </c>
    </row>
    <row r="20" spans="1:9" x14ac:dyDescent="0.25">
      <c r="A20" s="804" t="s">
        <v>79</v>
      </c>
      <c r="B20" s="804"/>
      <c r="C20" s="143">
        <f>SUM('0040:4131'!C20)</f>
        <v>91.5</v>
      </c>
      <c r="D20" s="143">
        <f>SUM('0040:4131'!D20)</f>
        <v>0</v>
      </c>
      <c r="E20" s="116">
        <f>SUM('0040:4131'!E20)</f>
        <v>183</v>
      </c>
      <c r="F20" s="805">
        <f>'1461'!F20:G20</f>
        <v>3.609</v>
      </c>
      <c r="G20" s="805"/>
      <c r="H20" s="760">
        <f>SUM('0040:4131'!H20)</f>
        <v>660.447</v>
      </c>
      <c r="I20" s="101">
        <f>SUM('0040:4131'!I20)</f>
        <v>3674282.83</v>
      </c>
    </row>
    <row r="21" spans="1:9" x14ac:dyDescent="0.25">
      <c r="A21" s="804" t="s">
        <v>80</v>
      </c>
      <c r="B21" s="804"/>
      <c r="C21" s="143">
        <f>SUM('0040:4131'!C21)</f>
        <v>79</v>
      </c>
      <c r="D21" s="143">
        <f>SUM('0040:4131'!D21)</f>
        <v>0</v>
      </c>
      <c r="E21" s="116">
        <f>SUM('0040:4131'!E21)</f>
        <v>158</v>
      </c>
      <c r="F21" s="805">
        <f>'1461'!F21:G21</f>
        <v>3.609</v>
      </c>
      <c r="G21" s="805"/>
      <c r="H21" s="760">
        <f>SUM('0040:4131'!H21)</f>
        <v>570.22199999999998</v>
      </c>
      <c r="I21" s="101">
        <f>SUM('0040:4131'!I21)</f>
        <v>3172331.63</v>
      </c>
    </row>
    <row r="22" spans="1:9" x14ac:dyDescent="0.25">
      <c r="A22" s="804" t="s">
        <v>81</v>
      </c>
      <c r="B22" s="804"/>
      <c r="C22" s="143">
        <f>SUM('0040:4131'!C22)</f>
        <v>57.93</v>
      </c>
      <c r="D22" s="143">
        <f>SUM('0040:4131'!D22)</f>
        <v>0</v>
      </c>
      <c r="E22" s="116">
        <f>SUM('0040:4131'!E22)</f>
        <v>115.86</v>
      </c>
      <c r="F22" s="805">
        <f>'1461'!F22:G22</f>
        <v>3.609</v>
      </c>
      <c r="G22" s="805"/>
      <c r="H22" s="760">
        <f>SUM('0040:4131'!H22)</f>
        <v>418.13870000000003</v>
      </c>
      <c r="I22" s="101">
        <f>SUM('0040:4131'!I22)</f>
        <v>2326242.4500000002</v>
      </c>
    </row>
    <row r="23" spans="1:9" x14ac:dyDescent="0.25">
      <c r="A23" s="804" t="s">
        <v>82</v>
      </c>
      <c r="B23" s="804"/>
      <c r="C23" s="143">
        <f>SUM('0040:4131'!C23)</f>
        <v>50.5</v>
      </c>
      <c r="D23" s="143">
        <f>SUM('0040:4131'!D23)</f>
        <v>0</v>
      </c>
      <c r="E23" s="116">
        <f>SUM('0040:4131'!E23)</f>
        <v>101</v>
      </c>
      <c r="F23" s="805">
        <f>'1461'!F23:G23</f>
        <v>6.0640000000000001</v>
      </c>
      <c r="G23" s="805"/>
      <c r="H23" s="760">
        <f>SUM('0040:4131'!H23)</f>
        <v>612.46399999999994</v>
      </c>
      <c r="I23" s="101">
        <f>SUM('0040:4131'!I23)</f>
        <v>3407337.6799999997</v>
      </c>
    </row>
    <row r="24" spans="1:9" x14ac:dyDescent="0.25">
      <c r="A24" s="804" t="s">
        <v>83</v>
      </c>
      <c r="B24" s="804"/>
      <c r="C24" s="143">
        <f>SUM('0040:4131'!C24)</f>
        <v>50.5</v>
      </c>
      <c r="D24" s="143">
        <f>SUM('0040:4131'!D24)</f>
        <v>0</v>
      </c>
      <c r="E24" s="116">
        <f>SUM('0040:4131'!E24)</f>
        <v>101</v>
      </c>
      <c r="F24" s="805">
        <f>'1461'!F24:G24</f>
        <v>6.0640000000000001</v>
      </c>
      <c r="G24" s="805"/>
      <c r="H24" s="760">
        <f>SUM('0040:4131'!H24)</f>
        <v>612.46400000000006</v>
      </c>
      <c r="I24" s="101">
        <f>SUM('0040:4131'!I24)</f>
        <v>3407337.7</v>
      </c>
    </row>
    <row r="25" spans="1:9" x14ac:dyDescent="0.25">
      <c r="A25" s="804" t="s">
        <v>84</v>
      </c>
      <c r="B25" s="804"/>
      <c r="C25" s="143">
        <f>SUM('0040:4131'!C25)</f>
        <v>40</v>
      </c>
      <c r="D25" s="143">
        <f>SUM('0040:4131'!D25)</f>
        <v>0</v>
      </c>
      <c r="E25" s="116">
        <f>SUM('0040:4131'!E25)</f>
        <v>80</v>
      </c>
      <c r="F25" s="805">
        <f>'1461'!F25:G25</f>
        <v>6.0640000000000001</v>
      </c>
      <c r="G25" s="805"/>
      <c r="H25" s="760">
        <f>SUM('0040:4131'!H25)</f>
        <v>485.12</v>
      </c>
      <c r="I25" s="101">
        <f>SUM('0040:4131'!I25)</f>
        <v>2698881.34</v>
      </c>
    </row>
    <row r="26" spans="1:9" x14ac:dyDescent="0.25">
      <c r="A26" s="804" t="s">
        <v>85</v>
      </c>
      <c r="B26" s="804"/>
      <c r="C26" s="143">
        <f>SUM('0040:4131'!C26)</f>
        <v>564.74999999999989</v>
      </c>
      <c r="D26" s="143">
        <f>SUM('0040:4131'!D26)</f>
        <v>0</v>
      </c>
      <c r="E26" s="116">
        <f>SUM('0040:4131'!E26)</f>
        <v>1129.4999999999998</v>
      </c>
      <c r="F26" s="805">
        <f>'1461'!F26:G26</f>
        <v>1.165</v>
      </c>
      <c r="G26" s="805"/>
      <c r="H26" s="760">
        <f>SUM('0040:4131'!H26)</f>
        <v>1315.8675000000001</v>
      </c>
      <c r="I26" s="101">
        <f>SUM('0040:4131'!I26)</f>
        <v>7320601.5899999989</v>
      </c>
    </row>
    <row r="27" spans="1:9" x14ac:dyDescent="0.25">
      <c r="A27" s="804" t="s">
        <v>86</v>
      </c>
      <c r="B27" s="804"/>
      <c r="C27" s="143">
        <f>SUM('0040:4131'!C27)</f>
        <v>320.12</v>
      </c>
      <c r="D27" s="143">
        <f>SUM('0040:4131'!D27)</f>
        <v>0</v>
      </c>
      <c r="E27" s="116">
        <f>SUM('0040:4131'!E27)</f>
        <v>640.24</v>
      </c>
      <c r="F27" s="805">
        <f>'1461'!F27:G27</f>
        <v>1.165</v>
      </c>
      <c r="G27" s="805"/>
      <c r="H27" s="760">
        <f>SUM('0040:4131'!H27)</f>
        <v>745.87959999999998</v>
      </c>
      <c r="I27" s="101">
        <f>SUM('0040:4131'!I27)</f>
        <v>4149572.32</v>
      </c>
    </row>
    <row r="28" spans="1:9" x14ac:dyDescent="0.25">
      <c r="A28" s="804" t="s">
        <v>87</v>
      </c>
      <c r="B28" s="804"/>
      <c r="C28" s="143">
        <f>SUM('0040:4131'!C28)</f>
        <v>155.80000000000001</v>
      </c>
      <c r="D28" s="143">
        <f>SUM('0040:4131'!D28)</f>
        <v>0</v>
      </c>
      <c r="E28" s="116">
        <f>SUM('0040:4131'!E28)</f>
        <v>311.60000000000002</v>
      </c>
      <c r="F28" s="805">
        <f>'1461'!F28:G28</f>
        <v>1.165</v>
      </c>
      <c r="G28" s="805"/>
      <c r="H28" s="760">
        <f>SUM('0040:4131'!H28)</f>
        <v>363.01400000000001</v>
      </c>
      <c r="I28" s="101">
        <f>SUM('0040:4131'!I28)</f>
        <v>2019565.6999999997</v>
      </c>
    </row>
    <row r="29" spans="1:9" x14ac:dyDescent="0.25">
      <c r="A29" s="804" t="s">
        <v>88</v>
      </c>
      <c r="B29" s="804"/>
      <c r="C29" s="110">
        <f>SUM('0040:4131'!C29)</f>
        <v>287.02999999999997</v>
      </c>
      <c r="D29" s="110">
        <f>SUM('0040:4131'!D29)</f>
        <v>0</v>
      </c>
      <c r="E29" s="116">
        <f>SUM('0040:4131'!E29)</f>
        <v>574.05999999999995</v>
      </c>
      <c r="F29" s="805">
        <f>'1461'!F29:G29</f>
        <v>1.081</v>
      </c>
      <c r="G29" s="805"/>
      <c r="H29" s="93">
        <f>SUM('0040:4131'!H29)</f>
        <v>620.55869999999993</v>
      </c>
      <c r="I29" s="101">
        <f>SUM('0040:4131'!I29)</f>
        <v>3452371.1500000004</v>
      </c>
    </row>
    <row r="30" spans="1:9" x14ac:dyDescent="0.25">
      <c r="A30" s="806" t="s">
        <v>153</v>
      </c>
      <c r="B30" s="807"/>
      <c r="C30" s="111">
        <f>SUM(C14:C29)</f>
        <v>10701.28</v>
      </c>
      <c r="D30" s="111">
        <f>SUM(D14:D29)</f>
        <v>0</v>
      </c>
      <c r="E30" s="187">
        <f>SUM(E14:E29)</f>
        <v>21402.560000000001</v>
      </c>
      <c r="F30" s="808"/>
      <c r="G30" s="808"/>
      <c r="H30" s="145">
        <f>SUM(H14:H29)</f>
        <v>24753.891700000004</v>
      </c>
      <c r="I30" s="111">
        <f>SUM(I14:I29)</f>
        <v>137714001.50999999</v>
      </c>
    </row>
    <row r="31" spans="1:9" x14ac:dyDescent="0.25">
      <c r="A31" s="81" t="s">
        <v>154</v>
      </c>
      <c r="B31" s="156"/>
      <c r="C31" s="143">
        <f>Virtual!E22</f>
        <v>0</v>
      </c>
      <c r="D31" s="143">
        <f>Virtual!E23</f>
        <v>0</v>
      </c>
      <c r="E31" s="116">
        <f>IF(D$30=0,C31*2,C31+D31)</f>
        <v>0</v>
      </c>
      <c r="F31" s="805">
        <v>0.7</v>
      </c>
      <c r="G31" s="805"/>
      <c r="H31" s="80">
        <f t="shared" ref="H31" si="0">ROUND(E31*F31,4)</f>
        <v>0</v>
      </c>
      <c r="I31" s="101">
        <f>Virtual!E28</f>
        <v>0</v>
      </c>
    </row>
    <row r="32" spans="1:9" x14ac:dyDescent="0.25">
      <c r="A32" s="806" t="s">
        <v>155</v>
      </c>
      <c r="B32" s="807"/>
      <c r="C32" s="97">
        <f>SUM(C30:C31)</f>
        <v>10701.28</v>
      </c>
      <c r="D32" s="97">
        <f>SUM(D30:D31)</f>
        <v>0</v>
      </c>
      <c r="E32" s="97">
        <f>SUM(E30:E31)</f>
        <v>21402.560000000001</v>
      </c>
      <c r="F32" s="27"/>
      <c r="G32" s="27"/>
      <c r="H32" s="80"/>
      <c r="I32" s="97">
        <f>SUM(I30:I31)</f>
        <v>137714001.50999999</v>
      </c>
    </row>
    <row r="33" spans="1:9" x14ac:dyDescent="0.25">
      <c r="A33" s="26"/>
      <c r="B33" s="26"/>
      <c r="C33" s="101"/>
      <c r="D33" s="101"/>
      <c r="E33" s="101"/>
      <c r="F33" s="27"/>
      <c r="G33" s="27"/>
      <c r="H33" s="80"/>
      <c r="I33" s="101"/>
    </row>
    <row r="34" spans="1:9" x14ac:dyDescent="0.25">
      <c r="A34" s="146" t="s">
        <v>72</v>
      </c>
      <c r="B34" s="26"/>
      <c r="C34" s="101"/>
      <c r="D34" s="101"/>
      <c r="E34" s="101"/>
      <c r="F34" s="27"/>
      <c r="G34" s="27"/>
      <c r="H34" s="80"/>
      <c r="I34" s="101"/>
    </row>
    <row r="35" spans="1:9" hidden="1" x14ac:dyDescent="0.25">
      <c r="A35" s="146"/>
      <c r="B35" s="509"/>
      <c r="C35" s="101"/>
      <c r="D35" s="101"/>
      <c r="E35" s="101"/>
      <c r="F35" s="504"/>
      <c r="G35" s="504"/>
      <c r="H35" s="80"/>
      <c r="I35" s="101"/>
    </row>
    <row r="36" spans="1:9" hidden="1" x14ac:dyDescent="0.25">
      <c r="A36" s="3"/>
      <c r="B36" s="69"/>
      <c r="C36" s="69"/>
      <c r="D36" s="69"/>
      <c r="E36" s="69"/>
      <c r="F36" s="69"/>
      <c r="G36" s="69"/>
      <c r="H36" s="69"/>
      <c r="I36" s="337" t="s">
        <v>321</v>
      </c>
    </row>
    <row r="37" spans="1:9" hidden="1" x14ac:dyDescent="0.25">
      <c r="A37" s="26"/>
      <c r="B37" s="26"/>
      <c r="C37" s="88" t="str">
        <f>C11</f>
        <v>Oct 2024</v>
      </c>
      <c r="D37" s="88" t="str">
        <f>D11</f>
        <v>Feb 2025</v>
      </c>
      <c r="E37" s="89" t="s">
        <v>8</v>
      </c>
      <c r="F37" s="27"/>
      <c r="G37" s="27"/>
      <c r="H37" s="104"/>
      <c r="I37" s="24" t="s">
        <v>27</v>
      </c>
    </row>
    <row r="38" spans="1:9" hidden="1" x14ac:dyDescent="0.25">
      <c r="A38" s="798" t="s">
        <v>50</v>
      </c>
      <c r="B38" s="798"/>
      <c r="C38" s="340" t="s">
        <v>2</v>
      </c>
      <c r="D38" s="340" t="s">
        <v>2</v>
      </c>
      <c r="E38" s="90" t="s">
        <v>2</v>
      </c>
      <c r="F38" s="105"/>
      <c r="G38" s="105"/>
      <c r="H38" s="105"/>
      <c r="I38" s="31" t="s">
        <v>62</v>
      </c>
    </row>
    <row r="39" spans="1:9" hidden="1" x14ac:dyDescent="0.25">
      <c r="A39" s="802" t="s">
        <v>45</v>
      </c>
      <c r="B39" s="802"/>
      <c r="C39" s="147">
        <f>SUM('1461:4111'!C38)</f>
        <v>0</v>
      </c>
      <c r="D39" s="147">
        <f>SUM('1461:4111'!D38)</f>
        <v>0</v>
      </c>
      <c r="E39" s="187">
        <f>SUM('1461:4111'!E38)</f>
        <v>0</v>
      </c>
      <c r="F39" s="148"/>
      <c r="G39" s="148"/>
      <c r="H39" s="148"/>
      <c r="I39" s="111">
        <f>SUM('1461:4111'!I38)</f>
        <v>0</v>
      </c>
    </row>
    <row r="40" spans="1:9" hidden="1" x14ac:dyDescent="0.25">
      <c r="A40" s="804" t="s">
        <v>46</v>
      </c>
      <c r="B40" s="804"/>
      <c r="C40" s="150">
        <f>SUM('1461:4111'!C39)</f>
        <v>0</v>
      </c>
      <c r="D40" s="150">
        <f>SUM('1461:4111'!D39)</f>
        <v>0</v>
      </c>
      <c r="E40" s="116">
        <f>SUM('1461:4111'!E39)</f>
        <v>0</v>
      </c>
      <c r="F40" s="151"/>
      <c r="G40" s="151"/>
      <c r="H40" s="151"/>
      <c r="I40" s="101">
        <f>SUM('1461:4111'!I39)</f>
        <v>0</v>
      </c>
    </row>
    <row r="41" spans="1:9" hidden="1" x14ac:dyDescent="0.25">
      <c r="A41" s="809" t="s">
        <v>47</v>
      </c>
      <c r="B41" s="809"/>
      <c r="C41" s="150">
        <f>SUM('1461:4111'!C40)</f>
        <v>0</v>
      </c>
      <c r="D41" s="150">
        <f>SUM('1461:4111'!D40)</f>
        <v>0</v>
      </c>
      <c r="E41" s="116">
        <f>SUM('1461:4111'!E40)</f>
        <v>0</v>
      </c>
      <c r="F41" s="151"/>
      <c r="G41" s="151"/>
      <c r="H41" s="151"/>
      <c r="I41" s="101">
        <f>SUM('1461:4111'!I40)</f>
        <v>0</v>
      </c>
    </row>
    <row r="42" spans="1:9" hidden="1" x14ac:dyDescent="0.25">
      <c r="A42" s="804" t="s">
        <v>48</v>
      </c>
      <c r="B42" s="804"/>
      <c r="C42" s="150">
        <f>SUM('1461:4111'!C41)</f>
        <v>0</v>
      </c>
      <c r="D42" s="150">
        <f>SUM('1461:4111'!D41)</f>
        <v>0</v>
      </c>
      <c r="E42" s="116">
        <f>SUM('1461:4111'!E41)</f>
        <v>0</v>
      </c>
      <c r="F42" s="151"/>
      <c r="G42" s="151"/>
      <c r="H42" s="151"/>
      <c r="I42" s="101">
        <f>SUM('1461:4111'!I41)</f>
        <v>0</v>
      </c>
    </row>
    <row r="43" spans="1:9" hidden="1" x14ac:dyDescent="0.25">
      <c r="A43" s="804" t="s">
        <v>49</v>
      </c>
      <c r="B43" s="804"/>
      <c r="C43" s="150">
        <f>SUM('1461:4111'!C42)</f>
        <v>0</v>
      </c>
      <c r="D43" s="150">
        <f>SUM('1461:4111'!D42)</f>
        <v>0</v>
      </c>
      <c r="E43" s="116">
        <f>SUM('1461:4111'!E42)</f>
        <v>0</v>
      </c>
      <c r="F43" s="151"/>
      <c r="G43" s="151"/>
      <c r="H43" s="151"/>
      <c r="I43" s="101">
        <f>SUM('1461:4111'!I42)</f>
        <v>0</v>
      </c>
    </row>
    <row r="44" spans="1:9" hidden="1" x14ac:dyDescent="0.25">
      <c r="A44" s="804" t="s">
        <v>41</v>
      </c>
      <c r="B44" s="804"/>
      <c r="C44" s="149">
        <f>SUM('1461:4111'!C43)</f>
        <v>0</v>
      </c>
      <c r="D44" s="149">
        <f>SUM('1461:4111'!D43)</f>
        <v>0</v>
      </c>
      <c r="E44" s="154">
        <f>SUM('1461:4111'!E43)</f>
        <v>0</v>
      </c>
      <c r="F44" s="151"/>
      <c r="G44" s="151"/>
      <c r="H44" s="151"/>
      <c r="I44" s="94">
        <f>SUM('1461:4111'!I43)</f>
        <v>0</v>
      </c>
    </row>
    <row r="45" spans="1:9" hidden="1" x14ac:dyDescent="0.25">
      <c r="A45" s="3"/>
      <c r="B45" s="52" t="s">
        <v>95</v>
      </c>
      <c r="C45" s="97">
        <f>SUM(C39:C44)</f>
        <v>0</v>
      </c>
      <c r="D45" s="97">
        <f>SUM(D39:D44)</f>
        <v>0</v>
      </c>
      <c r="E45" s="97">
        <f>SUM(E39:E44)</f>
        <v>0</v>
      </c>
      <c r="F45" s="32"/>
      <c r="G45" s="106"/>
      <c r="H45" s="107" t="s">
        <v>97</v>
      </c>
      <c r="I45" s="97">
        <f>SUM(I39:I44)</f>
        <v>0</v>
      </c>
    </row>
    <row r="46" spans="1:9" hidden="1" x14ac:dyDescent="0.25">
      <c r="A46" s="3"/>
      <c r="B46" s="52"/>
      <c r="C46" s="101"/>
      <c r="D46" s="101"/>
      <c r="E46" s="111"/>
      <c r="F46" s="32"/>
      <c r="G46" s="106"/>
      <c r="H46" s="107"/>
      <c r="I46" s="101"/>
    </row>
    <row r="47" spans="1:9" ht="16.5" hidden="1" thickBot="1" x14ac:dyDescent="0.3">
      <c r="A47" s="3"/>
      <c r="B47" s="52" t="s">
        <v>96</v>
      </c>
      <c r="E47" s="152">
        <f>H30+E45</f>
        <v>24753.891700000004</v>
      </c>
      <c r="F47" s="34"/>
      <c r="G47" s="106"/>
      <c r="H47" s="107" t="s">
        <v>98</v>
      </c>
      <c r="I47" s="94">
        <f>SUM(I45,I32)</f>
        <v>137714001.50999999</v>
      </c>
    </row>
    <row r="48" spans="1:9" ht="16.5" hidden="1" thickTop="1" x14ac:dyDescent="0.25">
      <c r="A48" s="26"/>
      <c r="B48" s="26"/>
      <c r="C48" s="26"/>
      <c r="D48" s="26"/>
      <c r="E48" s="26"/>
      <c r="F48" s="34"/>
      <c r="G48" s="27"/>
      <c r="H48" s="27"/>
      <c r="I48" s="101"/>
    </row>
    <row r="49" spans="1:11" x14ac:dyDescent="0.25">
      <c r="A49" s="26"/>
      <c r="B49" s="26"/>
      <c r="C49" s="26"/>
      <c r="D49" s="26"/>
      <c r="E49" s="26"/>
      <c r="F49" s="34"/>
      <c r="G49" s="27"/>
      <c r="H49" s="27"/>
      <c r="I49" s="101"/>
    </row>
    <row r="50" spans="1:11" x14ac:dyDescent="0.25">
      <c r="A50" s="81" t="s">
        <v>411</v>
      </c>
      <c r="B50" s="26"/>
      <c r="C50" s="26"/>
      <c r="D50" s="26"/>
      <c r="E50" s="26"/>
      <c r="F50" s="34"/>
      <c r="G50" s="27"/>
      <c r="H50" s="27"/>
      <c r="I50" s="101"/>
    </row>
    <row r="51" spans="1:11" s="410" customFormat="1" ht="9" customHeight="1" x14ac:dyDescent="0.2">
      <c r="A51" s="409" t="s">
        <v>412</v>
      </c>
      <c r="F51" s="411"/>
      <c r="G51" s="412"/>
      <c r="H51" s="412"/>
      <c r="I51" s="413"/>
    </row>
    <row r="52" spans="1:11" s="410" customFormat="1" ht="11.25" customHeight="1" x14ac:dyDescent="0.2">
      <c r="A52" s="417" t="s">
        <v>413</v>
      </c>
      <c r="F52" s="411"/>
      <c r="G52" s="412"/>
      <c r="H52" s="412"/>
      <c r="I52" s="413"/>
    </row>
    <row r="53" spans="1:11" x14ac:dyDescent="0.25">
      <c r="A53" s="408"/>
      <c r="B53" s="3" t="s">
        <v>556</v>
      </c>
      <c r="C53" s="26"/>
      <c r="D53" s="26"/>
      <c r="E53" s="43" t="s">
        <v>414</v>
      </c>
      <c r="F53" s="419">
        <f>SUM('0040:4131'!F51)</f>
        <v>137714001.50999996</v>
      </c>
      <c r="G53" s="109" t="s">
        <v>6</v>
      </c>
      <c r="H53" s="420">
        <f>'1461'!H51</f>
        <v>6.6699999999999995E-2</v>
      </c>
      <c r="I53" s="101">
        <f>SUM('0040:4131'!I51)</f>
        <v>9185523.8900000006</v>
      </c>
      <c r="K53" s="761">
        <f>F53*H53</f>
        <v>9185523.9007169958</v>
      </c>
    </row>
    <row r="54" spans="1:11" x14ac:dyDescent="0.25">
      <c r="A54" s="26"/>
      <c r="B54" s="756" t="s">
        <v>560</v>
      </c>
      <c r="C54" s="26"/>
      <c r="D54" s="26"/>
      <c r="E54" s="43" t="s">
        <v>414</v>
      </c>
      <c r="F54" s="419">
        <f>SUM('0040:4131'!F52)</f>
        <v>137714001.50999996</v>
      </c>
      <c r="G54" s="109" t="s">
        <v>6</v>
      </c>
      <c r="H54" s="420">
        <f>'1461'!H52</f>
        <v>5.4000000000000003E-3</v>
      </c>
      <c r="I54" s="94">
        <f>SUM('0040:4131'!I52)</f>
        <v>743655.58</v>
      </c>
      <c r="K54" s="761">
        <f>F54*0.0054</f>
        <v>743655.60815399978</v>
      </c>
    </row>
    <row r="55" spans="1:11" x14ac:dyDescent="0.25">
      <c r="A55" s="26"/>
      <c r="B55" s="81" t="s">
        <v>415</v>
      </c>
      <c r="C55" s="26"/>
      <c r="D55" s="26"/>
      <c r="E55" s="43"/>
      <c r="F55" s="419"/>
      <c r="G55" s="109"/>
      <c r="H55" s="420"/>
      <c r="I55" s="97">
        <f>SUM(I53:I54)</f>
        <v>9929179.4700000007</v>
      </c>
    </row>
    <row r="56" spans="1:11" x14ac:dyDescent="0.25">
      <c r="A56" s="26"/>
      <c r="B56" s="26"/>
      <c r="C56" s="26"/>
      <c r="D56" s="26"/>
      <c r="E56" s="26"/>
      <c r="F56" s="34"/>
      <c r="G56" s="27"/>
      <c r="H56" s="27"/>
      <c r="I56" s="101"/>
    </row>
    <row r="57" spans="1:11" x14ac:dyDescent="0.25">
      <c r="A57" s="509"/>
      <c r="B57" s="509"/>
      <c r="C57" s="88" t="str">
        <f>C11</f>
        <v>Oct 2024</v>
      </c>
      <c r="D57" s="349" t="str">
        <f t="shared" ref="D57:D58" si="1">D11</f>
        <v>Feb 2025</v>
      </c>
      <c r="E57" s="89" t="s">
        <v>8</v>
      </c>
      <c r="F57" s="46" t="s">
        <v>452</v>
      </c>
      <c r="G57" s="109" t="s">
        <v>453</v>
      </c>
      <c r="H57" s="472" t="s">
        <v>454</v>
      </c>
      <c r="I57" s="101"/>
    </row>
    <row r="58" spans="1:11" x14ac:dyDescent="0.25">
      <c r="A58" s="36" t="s">
        <v>455</v>
      </c>
      <c r="B58" s="36"/>
      <c r="C58" s="340" t="str">
        <f t="shared" ref="C58" si="2">C12</f>
        <v>FTE</v>
      </c>
      <c r="D58" s="340" t="str">
        <f t="shared" si="1"/>
        <v>FTE</v>
      </c>
      <c r="E58" s="90" t="s">
        <v>2</v>
      </c>
      <c r="F58" s="502" t="s">
        <v>456</v>
      </c>
      <c r="G58" s="505" t="s">
        <v>456</v>
      </c>
      <c r="H58" s="473" t="s">
        <v>457</v>
      </c>
      <c r="I58" s="36"/>
    </row>
    <row r="59" spans="1:11" ht="15.75" customHeight="1" x14ac:dyDescent="0.25">
      <c r="A59" s="814" t="s">
        <v>459</v>
      </c>
      <c r="B59" s="814"/>
      <c r="C59" s="143">
        <f>SUM('0040:4131'!C57)</f>
        <v>226</v>
      </c>
      <c r="D59" s="143">
        <f>SUM('0040:4131'!D57)</f>
        <v>0</v>
      </c>
      <c r="E59" s="116">
        <f>SUM('0040:4131'!E57)</f>
        <v>452</v>
      </c>
      <c r="F59" s="507" t="s">
        <v>451</v>
      </c>
      <c r="G59" s="507">
        <v>251</v>
      </c>
      <c r="H59" s="475">
        <f>'1461'!H57</f>
        <v>1047</v>
      </c>
      <c r="I59" s="101">
        <f>SUM('0040:4131'!I57)</f>
        <v>473244</v>
      </c>
    </row>
    <row r="60" spans="1:11" x14ac:dyDescent="0.25">
      <c r="A60" s="815"/>
      <c r="B60" s="815"/>
      <c r="C60" s="143">
        <f>SUM('0040:4131'!C58)</f>
        <v>45.5</v>
      </c>
      <c r="D60" s="143">
        <f>SUM('0040:4131'!D58)</f>
        <v>0</v>
      </c>
      <c r="E60" s="116">
        <f>SUM('0040:4131'!E58)</f>
        <v>91</v>
      </c>
      <c r="F60" s="507" t="s">
        <v>451</v>
      </c>
      <c r="G60" s="507">
        <v>252</v>
      </c>
      <c r="H60" s="475">
        <f>'1461'!H58</f>
        <v>3380</v>
      </c>
      <c r="I60" s="101">
        <f>SUM('0040:4131'!I58)</f>
        <v>307580</v>
      </c>
    </row>
    <row r="61" spans="1:11" x14ac:dyDescent="0.25">
      <c r="A61" s="815"/>
      <c r="B61" s="815"/>
      <c r="C61" s="143">
        <f>SUM('0040:4131'!C59)</f>
        <v>16.5</v>
      </c>
      <c r="D61" s="143">
        <f>SUM('0040:4131'!D59)</f>
        <v>0</v>
      </c>
      <c r="E61" s="116">
        <f>SUM('0040:4131'!E59)</f>
        <v>33</v>
      </c>
      <c r="F61" s="507" t="s">
        <v>451</v>
      </c>
      <c r="G61" s="507">
        <v>253</v>
      </c>
      <c r="H61" s="475">
        <f>'1461'!H59</f>
        <v>6896</v>
      </c>
      <c r="I61" s="101">
        <f>SUM('0040:4131'!I59)</f>
        <v>227568</v>
      </c>
    </row>
    <row r="62" spans="1:11" x14ac:dyDescent="0.25">
      <c r="A62" s="815"/>
      <c r="B62" s="815"/>
      <c r="C62" s="143">
        <f>SUM('0040:4131'!C60)</f>
        <v>504.01000000000005</v>
      </c>
      <c r="D62" s="143">
        <f>SUM('0040:4131'!D60)</f>
        <v>0</v>
      </c>
      <c r="E62" s="116">
        <f>SUM('0040:4131'!E60)</f>
        <v>1008.0200000000001</v>
      </c>
      <c r="F62" s="508" t="s">
        <v>13</v>
      </c>
      <c r="G62" s="507">
        <v>251</v>
      </c>
      <c r="H62" s="475">
        <f>'1461'!H60</f>
        <v>1173</v>
      </c>
      <c r="I62" s="101">
        <f>SUM('0040:4131'!I60)</f>
        <v>1182407.46</v>
      </c>
    </row>
    <row r="63" spans="1:11" x14ac:dyDescent="0.25">
      <c r="A63" s="815"/>
      <c r="B63" s="815"/>
      <c r="C63" s="143">
        <f>SUM('0040:4131'!C61)</f>
        <v>63.05</v>
      </c>
      <c r="D63" s="143">
        <f>SUM('0040:4131'!D61)</f>
        <v>0</v>
      </c>
      <c r="E63" s="116">
        <f>SUM('0040:4131'!E61)</f>
        <v>126.1</v>
      </c>
      <c r="F63" s="508" t="s">
        <v>13</v>
      </c>
      <c r="G63" s="507">
        <v>252</v>
      </c>
      <c r="H63" s="475">
        <f>'1461'!H61</f>
        <v>3506</v>
      </c>
      <c r="I63" s="101">
        <f>SUM('0040:4131'!I61)</f>
        <v>442106.6</v>
      </c>
    </row>
    <row r="64" spans="1:11" x14ac:dyDescent="0.25">
      <c r="A64" s="815"/>
      <c r="B64" s="815"/>
      <c r="C64" s="143">
        <f>SUM('0040:4131'!C62)</f>
        <v>13</v>
      </c>
      <c r="D64" s="143">
        <f>SUM('0040:4131'!D62)</f>
        <v>0</v>
      </c>
      <c r="E64" s="116">
        <f>SUM('0040:4131'!E62)</f>
        <v>26</v>
      </c>
      <c r="F64" s="508" t="s">
        <v>13</v>
      </c>
      <c r="G64" s="507">
        <v>253</v>
      </c>
      <c r="H64" s="475">
        <f>'1461'!H62</f>
        <v>7023</v>
      </c>
      <c r="I64" s="101">
        <f>SUM('0040:4131'!I62)</f>
        <v>182598</v>
      </c>
    </row>
    <row r="65" spans="1:9" x14ac:dyDescent="0.25">
      <c r="A65" s="815"/>
      <c r="B65" s="815"/>
      <c r="C65" s="143">
        <f>SUM('0040:4131'!C63)</f>
        <v>431.95000000000005</v>
      </c>
      <c r="D65" s="143">
        <f>SUM('0040:4131'!D63)</f>
        <v>0</v>
      </c>
      <c r="E65" s="116">
        <f>SUM('0040:4131'!E63)</f>
        <v>863.90000000000009</v>
      </c>
      <c r="F65" s="508" t="s">
        <v>14</v>
      </c>
      <c r="G65" s="507">
        <v>251</v>
      </c>
      <c r="H65" s="475">
        <f>'1461'!H63</f>
        <v>835</v>
      </c>
      <c r="I65" s="101">
        <f>SUM('0040:4131'!I63)</f>
        <v>721356.5</v>
      </c>
    </row>
    <row r="66" spans="1:9" x14ac:dyDescent="0.25">
      <c r="A66" s="815"/>
      <c r="B66" s="815"/>
      <c r="C66" s="143">
        <f>SUM('0040:4131'!C64)</f>
        <v>80.870000000000019</v>
      </c>
      <c r="D66" s="143">
        <f>SUM('0040:4131'!D64)</f>
        <v>0</v>
      </c>
      <c r="E66" s="116">
        <f>SUM('0040:4131'!E64)</f>
        <v>161.74000000000004</v>
      </c>
      <c r="F66" s="508" t="s">
        <v>14</v>
      </c>
      <c r="G66" s="507">
        <v>252</v>
      </c>
      <c r="H66" s="475">
        <f>'1461'!H64</f>
        <v>3168</v>
      </c>
      <c r="I66" s="101">
        <f>SUM('0040:4131'!I64)</f>
        <v>512392.31999999995</v>
      </c>
    </row>
    <row r="67" spans="1:9" x14ac:dyDescent="0.25">
      <c r="A67" s="815"/>
      <c r="B67" s="815"/>
      <c r="C67" s="143">
        <f>SUM('0040:4131'!C65)</f>
        <v>114.17000000000002</v>
      </c>
      <c r="D67" s="143">
        <f>SUM('0040:4131'!D65)</f>
        <v>0</v>
      </c>
      <c r="E67" s="116">
        <f>SUM('0040:4131'!E65)</f>
        <v>228.34000000000003</v>
      </c>
      <c r="F67" s="508" t="s">
        <v>14</v>
      </c>
      <c r="G67" s="507">
        <v>253</v>
      </c>
      <c r="H67" s="475">
        <f>'1461'!H65</f>
        <v>6685</v>
      </c>
      <c r="I67" s="101">
        <f>SUM('0040:4131'!I65)</f>
        <v>1526452.9</v>
      </c>
    </row>
    <row r="68" spans="1:9" x14ac:dyDescent="0.25">
      <c r="A68" s="503"/>
      <c r="C68" s="97">
        <f>SUM(C59:C67)</f>
        <v>1495.0500000000002</v>
      </c>
      <c r="D68" s="97">
        <f>SUM(D59:D67)</f>
        <v>0</v>
      </c>
      <c r="E68" s="97">
        <f>SUM(E59:E67)</f>
        <v>2990.1000000000004</v>
      </c>
      <c r="F68" s="816" t="s">
        <v>460</v>
      </c>
      <c r="G68" s="816"/>
      <c r="H68" s="816"/>
      <c r="I68" s="97">
        <f>SUM(I59:I67)</f>
        <v>5575705.7799999993</v>
      </c>
    </row>
    <row r="69" spans="1:9" x14ac:dyDescent="0.25">
      <c r="A69" s="509"/>
      <c r="B69" s="509"/>
      <c r="C69" s="560"/>
      <c r="D69" s="509"/>
      <c r="E69" s="509"/>
      <c r="F69" s="34"/>
      <c r="G69" s="504"/>
      <c r="H69" s="504"/>
      <c r="I69" s="101"/>
    </row>
    <row r="70" spans="1:9" x14ac:dyDescent="0.25">
      <c r="A70" s="506" t="s">
        <v>462</v>
      </c>
    </row>
    <row r="71" spans="1:9" x14ac:dyDescent="0.25">
      <c r="A71" s="810" t="s">
        <v>416</v>
      </c>
      <c r="B71" s="804"/>
      <c r="C71" s="112">
        <f>SUM('0040:4131'!C69)</f>
        <v>21402.560000000001</v>
      </c>
      <c r="D71" s="791" t="s">
        <v>427</v>
      </c>
      <c r="E71" s="791"/>
      <c r="F71" s="791"/>
      <c r="G71" s="791"/>
      <c r="H71" s="287">
        <f>'1461'!H69</f>
        <v>215320.92</v>
      </c>
      <c r="I71" s="113"/>
    </row>
    <row r="72" spans="1:9" x14ac:dyDescent="0.25">
      <c r="B72" s="69"/>
      <c r="G72" s="42" t="s">
        <v>12</v>
      </c>
      <c r="H72" s="114">
        <f>ROUND(C71/H71,6)</f>
        <v>9.9398E-2</v>
      </c>
      <c r="I72" s="115"/>
    </row>
    <row r="73" spans="1:9" x14ac:dyDescent="0.25">
      <c r="A73" s="506" t="s">
        <v>463</v>
      </c>
    </row>
    <row r="74" spans="1:9" x14ac:dyDescent="0.25">
      <c r="A74" s="810" t="s">
        <v>417</v>
      </c>
      <c r="B74" s="804"/>
      <c r="C74" s="689">
        <f>SUM('0040:4131'!C72)</f>
        <v>24753.8917</v>
      </c>
      <c r="D74" s="791" t="s">
        <v>428</v>
      </c>
      <c r="E74" s="791"/>
      <c r="F74" s="791"/>
      <c r="G74" s="791"/>
      <c r="H74" s="288">
        <f>'1461'!H72</f>
        <v>229051.25000000003</v>
      </c>
      <c r="I74" s="116"/>
    </row>
    <row r="75" spans="1:9" x14ac:dyDescent="0.25">
      <c r="G75" s="42" t="s">
        <v>12</v>
      </c>
      <c r="H75" s="114">
        <f>ROUND(C74/H74,6)</f>
        <v>0.108071</v>
      </c>
      <c r="I75" s="114"/>
    </row>
    <row r="76" spans="1:9" x14ac:dyDescent="0.25">
      <c r="A76" s="435" t="s">
        <v>464</v>
      </c>
      <c r="B76" s="432"/>
      <c r="C76" s="432"/>
      <c r="D76" s="432"/>
      <c r="E76" s="432"/>
      <c r="F76" s="432"/>
      <c r="G76" s="432"/>
      <c r="H76" s="432"/>
      <c r="I76" s="432"/>
    </row>
    <row r="77" spans="1:9" x14ac:dyDescent="0.25">
      <c r="A77" s="810" t="s">
        <v>418</v>
      </c>
      <c r="B77" s="804"/>
      <c r="C77" s="112">
        <f>SUM('0040:4131'!C75)</f>
        <v>21402.560000000001</v>
      </c>
      <c r="D77" s="783" t="s">
        <v>429</v>
      </c>
      <c r="E77" s="783"/>
      <c r="F77" s="783"/>
      <c r="G77" s="783"/>
      <c r="H77" s="287">
        <f>'1461'!H75</f>
        <v>186156.17</v>
      </c>
      <c r="I77" s="113"/>
    </row>
    <row r="78" spans="1:9" x14ac:dyDescent="0.25">
      <c r="B78" s="69"/>
      <c r="G78" s="42" t="s">
        <v>12</v>
      </c>
      <c r="H78" s="114">
        <f>ROUND(C77/H77,6)</f>
        <v>0.114971</v>
      </c>
      <c r="I78" s="115"/>
    </row>
    <row r="79" spans="1:9" x14ac:dyDescent="0.25">
      <c r="A79" s="435" t="s">
        <v>465</v>
      </c>
      <c r="B79" s="432"/>
      <c r="C79" s="432"/>
      <c r="D79" s="432"/>
      <c r="E79" s="432"/>
      <c r="F79" s="432"/>
      <c r="G79" s="432"/>
      <c r="H79" s="432"/>
      <c r="I79" s="432"/>
    </row>
    <row r="80" spans="1:9" x14ac:dyDescent="0.25">
      <c r="A80" s="810" t="s">
        <v>418</v>
      </c>
      <c r="B80" s="804"/>
      <c r="C80" s="112">
        <f>SUM('0040:4131'!C78)</f>
        <v>21402.560000000001</v>
      </c>
      <c r="D80" s="811" t="s">
        <v>430</v>
      </c>
      <c r="E80" s="811"/>
      <c r="F80" s="811"/>
      <c r="G80" s="811"/>
      <c r="H80" s="287">
        <f>'1461'!H78</f>
        <v>215016.58000000002</v>
      </c>
      <c r="I80" s="113"/>
    </row>
    <row r="81" spans="1:12" x14ac:dyDescent="0.25">
      <c r="B81" s="69"/>
      <c r="G81" s="42" t="s">
        <v>12</v>
      </c>
      <c r="H81" s="114">
        <f>ROUND(C80/H80,6)</f>
        <v>9.9539000000000002E-2</v>
      </c>
      <c r="I81" s="115"/>
    </row>
    <row r="82" spans="1:12" x14ac:dyDescent="0.25">
      <c r="A82" s="435" t="s">
        <v>466</v>
      </c>
      <c r="B82" s="432"/>
      <c r="C82" s="432"/>
      <c r="D82" s="432"/>
      <c r="E82" s="432"/>
      <c r="F82" s="432"/>
      <c r="G82" s="432"/>
      <c r="H82" s="432"/>
      <c r="I82" s="432"/>
    </row>
    <row r="83" spans="1:12" x14ac:dyDescent="0.25">
      <c r="A83" s="810" t="s">
        <v>426</v>
      </c>
      <c r="B83" s="804"/>
      <c r="C83" s="112">
        <f>SUM('0040:4131'!C81)</f>
        <v>21402.560000000001</v>
      </c>
      <c r="D83" s="783" t="s">
        <v>431</v>
      </c>
      <c r="E83" s="783"/>
      <c r="F83" s="783"/>
      <c r="G83" s="783"/>
      <c r="H83" s="287">
        <f>'1461'!H81</f>
        <v>185851.83000000002</v>
      </c>
      <c r="I83" s="113"/>
    </row>
    <row r="84" spans="1:12" x14ac:dyDescent="0.25">
      <c r="B84" s="69"/>
      <c r="G84" s="42" t="s">
        <v>12</v>
      </c>
      <c r="H84" s="114">
        <f>ROUND(C83/H83,6)</f>
        <v>0.115159</v>
      </c>
      <c r="I84" s="115"/>
    </row>
    <row r="85" spans="1:12" x14ac:dyDescent="0.25">
      <c r="A85" s="241"/>
      <c r="G85" s="42"/>
      <c r="H85" s="114"/>
      <c r="I85" s="114"/>
    </row>
    <row r="86" spans="1:12" x14ac:dyDescent="0.25">
      <c r="A86" s="506" t="s">
        <v>467</v>
      </c>
      <c r="D86" s="69"/>
      <c r="E86" s="43" t="s">
        <v>316</v>
      </c>
      <c r="F86" s="289">
        <f>'1461'!F85</f>
        <v>47290747</v>
      </c>
      <c r="G86" s="37" t="s">
        <v>6</v>
      </c>
      <c r="H86" s="440">
        <f>H81</f>
        <v>9.9539000000000002E-2</v>
      </c>
      <c r="I86" s="101">
        <f>SUM('0040:4131'!I85)</f>
        <v>4707273.7</v>
      </c>
      <c r="K86" s="236">
        <f>F86*H86</f>
        <v>4707273.6656330004</v>
      </c>
      <c r="L86" s="236">
        <f>I86-K86</f>
        <v>3.4366999752819538E-2</v>
      </c>
    </row>
    <row r="87" spans="1:12" x14ac:dyDescent="0.25">
      <c r="A87" s="418"/>
      <c r="D87" s="69"/>
      <c r="E87" s="43"/>
      <c r="F87" s="275"/>
      <c r="G87" s="37"/>
      <c r="H87" s="440"/>
      <c r="I87" s="101"/>
      <c r="K87" s="236"/>
      <c r="L87" s="236"/>
    </row>
    <row r="88" spans="1:12" x14ac:dyDescent="0.25">
      <c r="A88" s="813" t="s">
        <v>71</v>
      </c>
      <c r="B88" s="804"/>
      <c r="C88" s="804"/>
      <c r="D88" s="69"/>
      <c r="E88" s="43"/>
      <c r="F88" s="275"/>
      <c r="G88" s="37"/>
      <c r="H88" s="440"/>
      <c r="I88" s="101"/>
      <c r="K88" s="236"/>
      <c r="L88" s="236"/>
    </row>
    <row r="89" spans="1:12" ht="15.75" customHeight="1" x14ac:dyDescent="0.25">
      <c r="A89" s="813" t="s">
        <v>99</v>
      </c>
      <c r="B89" s="804"/>
      <c r="C89" s="804"/>
      <c r="D89" s="69"/>
      <c r="E89" s="43" t="s">
        <v>3</v>
      </c>
      <c r="F89" s="289">
        <f>'1461'!F88</f>
        <v>0</v>
      </c>
      <c r="G89" s="37" t="s">
        <v>6</v>
      </c>
      <c r="H89" s="440">
        <f>H72</f>
        <v>9.9398E-2</v>
      </c>
      <c r="I89" s="101">
        <f>SUM('0040:4131'!I88)</f>
        <v>0</v>
      </c>
      <c r="K89" s="236"/>
      <c r="L89" s="236"/>
    </row>
    <row r="90" spans="1:12" ht="15.75" customHeight="1" x14ac:dyDescent="0.25">
      <c r="A90" s="449"/>
      <c r="B90" s="69"/>
      <c r="C90" s="69"/>
      <c r="D90" s="69"/>
      <c r="E90" s="43"/>
      <c r="F90" s="275"/>
      <c r="G90" s="37"/>
      <c r="H90" s="440"/>
      <c r="I90" s="101"/>
      <c r="K90" s="236"/>
      <c r="L90" s="236"/>
    </row>
    <row r="91" spans="1:12" x14ac:dyDescent="0.25">
      <c r="A91" s="506" t="s">
        <v>468</v>
      </c>
      <c r="D91" s="69"/>
      <c r="E91" s="43" t="s">
        <v>434</v>
      </c>
      <c r="F91" s="289">
        <f>'1461'!F90</f>
        <v>19167881</v>
      </c>
      <c r="G91" s="37" t="s">
        <v>6</v>
      </c>
      <c r="H91" s="440">
        <f>H84</f>
        <v>0.115159</v>
      </c>
      <c r="I91" s="101">
        <f>SUM('0040:4131'!I90)</f>
        <v>2207315.6599999997</v>
      </c>
      <c r="K91" s="236">
        <f t="shared" ref="K91:K95" si="3">F91*H91</f>
        <v>2207354.0080789998</v>
      </c>
      <c r="L91" s="236">
        <f t="shared" ref="L91:L95" si="4">I91-K91</f>
        <v>-38.348079000134021</v>
      </c>
    </row>
    <row r="92" spans="1:12" x14ac:dyDescent="0.25">
      <c r="A92" s="418"/>
      <c r="D92" s="69"/>
      <c r="E92" s="43"/>
      <c r="F92" s="275"/>
      <c r="G92" s="37"/>
      <c r="H92" s="440"/>
      <c r="I92" s="101"/>
      <c r="K92" s="236">
        <f t="shared" si="3"/>
        <v>0</v>
      </c>
      <c r="L92" s="236">
        <f t="shared" si="4"/>
        <v>0</v>
      </c>
    </row>
    <row r="93" spans="1:12" x14ac:dyDescent="0.25">
      <c r="A93" s="506" t="s">
        <v>469</v>
      </c>
      <c r="D93" s="69"/>
      <c r="E93" s="43" t="s">
        <v>3</v>
      </c>
      <c r="F93" s="289">
        <f>'1461'!F92</f>
        <v>11546889</v>
      </c>
      <c r="G93" s="37" t="s">
        <v>6</v>
      </c>
      <c r="H93" s="440">
        <f>H78</f>
        <v>0.114971</v>
      </c>
      <c r="I93" s="101">
        <f>SUM('0040:4131'!I92)</f>
        <v>1327534.2700000003</v>
      </c>
      <c r="K93" s="236">
        <f t="shared" si="3"/>
        <v>1327557.375219</v>
      </c>
      <c r="L93" s="236">
        <f t="shared" si="4"/>
        <v>-23.105218999786302</v>
      </c>
    </row>
    <row r="94" spans="1:12" x14ac:dyDescent="0.25">
      <c r="A94" s="81"/>
      <c r="D94" s="69"/>
      <c r="E94" s="43"/>
      <c r="F94" s="116"/>
      <c r="G94" s="37"/>
      <c r="H94" s="436"/>
      <c r="I94" s="101"/>
      <c r="K94" s="236">
        <f t="shared" si="3"/>
        <v>0</v>
      </c>
      <c r="L94" s="236">
        <f t="shared" si="4"/>
        <v>0</v>
      </c>
    </row>
    <row r="95" spans="1:12" x14ac:dyDescent="0.25">
      <c r="A95" s="810" t="s">
        <v>435</v>
      </c>
      <c r="B95" s="804"/>
      <c r="C95" s="804"/>
      <c r="D95" s="69"/>
      <c r="E95" s="43" t="s">
        <v>4</v>
      </c>
      <c r="F95" s="289">
        <f>'1461'!F94</f>
        <v>268816278</v>
      </c>
      <c r="G95" s="37" t="s">
        <v>6</v>
      </c>
      <c r="H95" s="440">
        <f>H75</f>
        <v>0.108071</v>
      </c>
      <c r="I95" s="101">
        <f>SUM('0040:4131'!I94)</f>
        <v>29050706.330000006</v>
      </c>
      <c r="K95" s="236">
        <f t="shared" si="3"/>
        <v>29051243.979738001</v>
      </c>
      <c r="L95" s="236">
        <f t="shared" si="4"/>
        <v>-537.6497379951179</v>
      </c>
    </row>
    <row r="96" spans="1:12" x14ac:dyDescent="0.25">
      <c r="A96" s="81"/>
      <c r="B96" s="69"/>
      <c r="C96" s="69"/>
      <c r="D96" s="69"/>
      <c r="E96" s="43"/>
      <c r="F96" s="275"/>
      <c r="G96" s="37"/>
      <c r="H96" s="440"/>
      <c r="I96" s="101">
        <f>SUM('0040:4131'!I95)</f>
        <v>0</v>
      </c>
    </row>
    <row r="97" spans="1:9" x14ac:dyDescent="0.25">
      <c r="A97" s="810" t="s">
        <v>436</v>
      </c>
      <c r="B97" s="804"/>
      <c r="C97" s="804"/>
      <c r="D97" s="69"/>
      <c r="E97" s="43" t="s">
        <v>4</v>
      </c>
      <c r="F97" s="289">
        <f>'1461'!F96</f>
        <v>0</v>
      </c>
      <c r="G97" s="37" t="s">
        <v>6</v>
      </c>
      <c r="H97" s="440">
        <f>H75</f>
        <v>0.108071</v>
      </c>
      <c r="I97" s="101">
        <f>SUM('0040:4131'!I96)</f>
        <v>0</v>
      </c>
    </row>
    <row r="98" spans="1:9" x14ac:dyDescent="0.25">
      <c r="A98" s="3"/>
    </row>
    <row r="99" spans="1:9" x14ac:dyDescent="0.25">
      <c r="A99" s="696" t="s">
        <v>507</v>
      </c>
      <c r="B99" s="695"/>
      <c r="C99" s="695"/>
      <c r="D99" s="695"/>
      <c r="E99" s="693" t="s">
        <v>3</v>
      </c>
      <c r="F99" s="289">
        <f>'1461'!F98</f>
        <v>0</v>
      </c>
      <c r="G99" s="694" t="s">
        <v>6</v>
      </c>
      <c r="H99" s="440">
        <f>H72</f>
        <v>9.9398E-2</v>
      </c>
      <c r="I99" s="101">
        <f>SUM('0040:4131'!I98)</f>
        <v>0</v>
      </c>
    </row>
    <row r="100" spans="1:9" x14ac:dyDescent="0.25">
      <c r="A100" s="696"/>
      <c r="B100" s="695"/>
      <c r="C100" s="695"/>
      <c r="D100" s="695"/>
      <c r="E100" s="693"/>
      <c r="F100" s="275"/>
      <c r="G100" s="694"/>
      <c r="H100" s="440"/>
      <c r="I100" s="101"/>
    </row>
    <row r="101" spans="1:9" x14ac:dyDescent="0.25">
      <c r="A101" s="696"/>
      <c r="B101" s="695"/>
      <c r="C101" s="695"/>
      <c r="D101" s="695"/>
      <c r="E101" s="693"/>
      <c r="F101" s="275"/>
      <c r="G101" s="694"/>
      <c r="H101" s="440"/>
      <c r="I101" s="101"/>
    </row>
    <row r="102" spans="1:9" x14ac:dyDescent="0.25">
      <c r="A102" s="418" t="s">
        <v>508</v>
      </c>
    </row>
    <row r="103" spans="1:9" x14ac:dyDescent="0.25">
      <c r="B103" s="69"/>
      <c r="C103" s="789" t="s">
        <v>60</v>
      </c>
      <c r="D103" s="789"/>
      <c r="E103" s="69"/>
      <c r="F103" s="39" t="s">
        <v>28</v>
      </c>
      <c r="G103" s="69"/>
      <c r="H103" s="69"/>
      <c r="I103" s="69"/>
    </row>
    <row r="104" spans="1:9" x14ac:dyDescent="0.25">
      <c r="A104" s="3"/>
      <c r="B104" s="118"/>
      <c r="C104" s="790" t="s">
        <v>101</v>
      </c>
      <c r="D104" s="790"/>
      <c r="E104" s="119" t="s">
        <v>438</v>
      </c>
      <c r="F104" s="120" t="s">
        <v>106</v>
      </c>
      <c r="G104" s="121"/>
      <c r="H104" s="121"/>
      <c r="I104" s="121"/>
    </row>
    <row r="105" spans="1:9" x14ac:dyDescent="0.25">
      <c r="A105" s="26"/>
      <c r="B105" s="52" t="s">
        <v>105</v>
      </c>
      <c r="C105" s="822">
        <f>SUM('0040:4131'!C104)</f>
        <v>7739.9148000000005</v>
      </c>
      <c r="D105" s="822">
        <f>SUM('1461:4131'!D101)</f>
        <v>0</v>
      </c>
      <c r="E105" s="46">
        <f>'1461'!E104</f>
        <v>1.0355000000000001</v>
      </c>
      <c r="F105" s="290">
        <f>'1461'!F104</f>
        <v>958.42</v>
      </c>
      <c r="G105" s="39" t="s">
        <v>12</v>
      </c>
      <c r="H105" s="101">
        <f>SUM('0040:4131'!H104)</f>
        <v>7681431.3100000005</v>
      </c>
      <c r="I105" s="104"/>
    </row>
    <row r="106" spans="1:9" x14ac:dyDescent="0.25">
      <c r="A106" s="49"/>
      <c r="B106" s="49" t="s">
        <v>104</v>
      </c>
      <c r="C106" s="822">
        <f>SUM('0040:4131'!C105)</f>
        <v>9549.2456000000002</v>
      </c>
      <c r="D106" s="822">
        <f>SUM('1461:4131'!D102)</f>
        <v>0</v>
      </c>
      <c r="E106" s="46">
        <f>'1461'!E105</f>
        <v>1.0355000000000001</v>
      </c>
      <c r="F106" s="290">
        <f>'1461'!F105</f>
        <v>915.09</v>
      </c>
      <c r="G106" s="39" t="s">
        <v>12</v>
      </c>
      <c r="H106" s="101">
        <f>SUM('0040:4131'!H105)</f>
        <v>9048633.040000001</v>
      </c>
    </row>
    <row r="107" spans="1:9" x14ac:dyDescent="0.25">
      <c r="A107" s="52"/>
      <c r="B107" s="52" t="s">
        <v>103</v>
      </c>
      <c r="C107" s="822">
        <f>SUM('0040:4131'!C106)</f>
        <v>7464.7312999999986</v>
      </c>
      <c r="D107" s="822">
        <f>SUM('1461:4131'!D103)</f>
        <v>0</v>
      </c>
      <c r="E107" s="46">
        <f>'1461'!E106</f>
        <v>1.0355000000000001</v>
      </c>
      <c r="F107" s="290">
        <f>'1461'!F106</f>
        <v>917.3</v>
      </c>
      <c r="G107" s="39" t="s">
        <v>12</v>
      </c>
      <c r="H107" s="101">
        <f>SUM('0040:4131'!H106)</f>
        <v>7090480.6699999999</v>
      </c>
    </row>
    <row r="108" spans="1:9" ht="16.5" thickBot="1" x14ac:dyDescent="0.3">
      <c r="A108" s="55"/>
      <c r="B108" s="122" t="s">
        <v>102</v>
      </c>
      <c r="C108" s="812">
        <f>SUM(C105:C107)</f>
        <v>24753.8917</v>
      </c>
      <c r="D108" s="812"/>
      <c r="E108" s="123"/>
      <c r="F108" s="123"/>
      <c r="G108" s="123"/>
      <c r="H108" s="124" t="s">
        <v>100</v>
      </c>
      <c r="I108" s="101">
        <f>SUM('0040:4131'!I107)</f>
        <v>23820545.02</v>
      </c>
    </row>
    <row r="109" spans="1:9" ht="16.5" thickTop="1" x14ac:dyDescent="0.25">
      <c r="A109" s="781" t="s">
        <v>65</v>
      </c>
      <c r="B109" s="781"/>
      <c r="C109" s="781"/>
      <c r="D109" s="781"/>
      <c r="E109" s="781"/>
      <c r="F109" s="781"/>
      <c r="G109" s="781"/>
      <c r="H109" s="781"/>
      <c r="I109" s="781"/>
    </row>
    <row r="110" spans="1:9" x14ac:dyDescent="0.25">
      <c r="A110" s="450"/>
      <c r="B110" s="450"/>
      <c r="C110" s="450"/>
      <c r="D110" s="450"/>
      <c r="E110" s="450"/>
      <c r="F110" s="450"/>
      <c r="G110" s="450"/>
      <c r="H110" s="450"/>
      <c r="I110" s="450"/>
    </row>
    <row r="111" spans="1:9" x14ac:dyDescent="0.25">
      <c r="A111" s="696" t="s">
        <v>509</v>
      </c>
      <c r="C111" s="43"/>
      <c r="D111" s="69"/>
      <c r="E111" s="43" t="s">
        <v>32</v>
      </c>
      <c r="F111" s="782"/>
      <c r="G111" s="782"/>
      <c r="H111" s="782"/>
      <c r="I111" s="782"/>
    </row>
    <row r="112" spans="1:9" x14ac:dyDescent="0.25">
      <c r="B112" s="69"/>
      <c r="C112" s="88" t="s">
        <v>523</v>
      </c>
      <c r="D112" s="349" t="s">
        <v>524</v>
      </c>
      <c r="E112" s="89" t="s">
        <v>107</v>
      </c>
      <c r="F112" s="43"/>
      <c r="G112" s="43"/>
      <c r="H112" s="43"/>
      <c r="I112" s="43"/>
    </row>
    <row r="113" spans="1:9" x14ac:dyDescent="0.25">
      <c r="B113" s="69"/>
      <c r="C113" s="340" t="s">
        <v>2</v>
      </c>
      <c r="D113" s="340" t="s">
        <v>2</v>
      </c>
      <c r="E113" s="90" t="s">
        <v>2</v>
      </c>
      <c r="F113" s="43"/>
      <c r="G113" s="43"/>
      <c r="H113" s="43"/>
      <c r="I113" s="43"/>
    </row>
    <row r="114" spans="1:9" x14ac:dyDescent="0.25">
      <c r="A114" s="783" t="s">
        <v>396</v>
      </c>
      <c r="B114" s="784"/>
      <c r="C114" s="143">
        <f>SUM('0040:4131'!C113)</f>
        <v>3861</v>
      </c>
      <c r="D114" s="143">
        <f>SUM('0040:4131'!D113)</f>
        <v>3948</v>
      </c>
      <c r="E114" s="116">
        <f>SUM('0040:4131'!E113)</f>
        <v>3904.5</v>
      </c>
      <c r="F114" s="126" t="s">
        <v>30</v>
      </c>
      <c r="G114" s="291">
        <f>'1461'!G113</f>
        <v>617</v>
      </c>
      <c r="I114" s="101">
        <f>SUM('0040:4131'!I113)</f>
        <v>2409076.5</v>
      </c>
    </row>
    <row r="115" spans="1:9" x14ac:dyDescent="0.25">
      <c r="A115" s="783" t="s">
        <v>397</v>
      </c>
      <c r="B115" s="784"/>
      <c r="C115" s="143">
        <f>SUM('0040:4131'!C114)</f>
        <v>2</v>
      </c>
      <c r="D115" s="143">
        <f>SUM('0040:4131'!D114)</f>
        <v>1</v>
      </c>
      <c r="E115" s="116">
        <f>SUM('0040:4131'!E114)</f>
        <v>1.5</v>
      </c>
      <c r="F115" s="126" t="s">
        <v>30</v>
      </c>
      <c r="G115" s="291">
        <f>'1461'!G114</f>
        <v>1870</v>
      </c>
      <c r="I115" s="101">
        <f>SUM('0040:4131'!I114)</f>
        <v>2805</v>
      </c>
    </row>
    <row r="116" spans="1:9" hidden="1" x14ac:dyDescent="0.25">
      <c r="A116" s="127"/>
      <c r="B116" s="127"/>
      <c r="C116" s="65"/>
      <c r="D116" s="65"/>
      <c r="E116" s="65"/>
      <c r="F116" s="65"/>
      <c r="G116" s="128"/>
      <c r="H116" s="129"/>
      <c r="I116" s="101"/>
    </row>
    <row r="117" spans="1:9" x14ac:dyDescent="0.25">
      <c r="A117" s="127"/>
      <c r="B117" s="127"/>
      <c r="C117" s="65"/>
      <c r="D117" s="65"/>
      <c r="E117" s="65"/>
      <c r="F117" s="65"/>
      <c r="G117" s="128"/>
      <c r="H117" s="129"/>
      <c r="I117" s="101"/>
    </row>
    <row r="118" spans="1:9" ht="15.75" hidden="1" customHeight="1" x14ac:dyDescent="0.25">
      <c r="A118" s="810" t="s">
        <v>443</v>
      </c>
      <c r="B118" s="804"/>
      <c r="C118" s="804"/>
      <c r="D118" s="69"/>
      <c r="E118" s="39" t="s">
        <v>317</v>
      </c>
      <c r="F118" s="789"/>
      <c r="G118" s="789"/>
      <c r="H118" s="789"/>
      <c r="I118" s="789"/>
    </row>
    <row r="119" spans="1:9" hidden="1" x14ac:dyDescent="0.25">
      <c r="B119" s="69"/>
      <c r="C119" s="790" t="s">
        <v>66</v>
      </c>
      <c r="D119" s="790"/>
      <c r="E119" s="790"/>
      <c r="F119" s="37"/>
      <c r="G119" s="37"/>
      <c r="H119" s="39" t="s">
        <v>108</v>
      </c>
      <c r="I119" s="37"/>
    </row>
    <row r="120" spans="1:9" hidden="1" x14ac:dyDescent="0.25">
      <c r="B120" s="69"/>
      <c r="C120" s="88" t="str">
        <f>C112</f>
        <v>Oct 2024</v>
      </c>
      <c r="D120" s="88" t="str">
        <f>D112</f>
        <v>Feb 2025</v>
      </c>
      <c r="E120" s="137" t="s">
        <v>8</v>
      </c>
      <c r="F120" s="791" t="s">
        <v>109</v>
      </c>
      <c r="G120" s="789"/>
      <c r="H120" s="37" t="s">
        <v>29</v>
      </c>
      <c r="I120" s="37"/>
    </row>
    <row r="121" spans="1:9" ht="15.75" hidden="1" customHeight="1" x14ac:dyDescent="0.25">
      <c r="A121" s="790" t="s">
        <v>69</v>
      </c>
      <c r="B121" s="790"/>
      <c r="C121" s="90" t="s">
        <v>2</v>
      </c>
      <c r="D121" s="90" t="s">
        <v>2</v>
      </c>
      <c r="E121" s="59" t="s">
        <v>2</v>
      </c>
      <c r="F121" s="790" t="s">
        <v>28</v>
      </c>
      <c r="G121" s="790"/>
      <c r="H121" s="59" t="s">
        <v>28</v>
      </c>
      <c r="I121" s="59" t="s">
        <v>8</v>
      </c>
    </row>
    <row r="122" spans="1:9" ht="15.75" hidden="1" customHeight="1" x14ac:dyDescent="0.25">
      <c r="A122" s="787" t="s">
        <v>56</v>
      </c>
      <c r="B122" s="787"/>
      <c r="C122" s="141">
        <v>0</v>
      </c>
      <c r="D122" s="141">
        <v>0</v>
      </c>
      <c r="E122" s="187">
        <f>IF(D31=0,C122*2,C122+D122)</f>
        <v>0</v>
      </c>
      <c r="F122" s="788">
        <v>0</v>
      </c>
      <c r="G122" s="788"/>
      <c r="H122" s="223">
        <f>IF(C122=0,0,125)</f>
        <v>0</v>
      </c>
      <c r="I122" s="101">
        <f>ROUND((H122+F122)*E122,2)</f>
        <v>0</v>
      </c>
    </row>
    <row r="123" spans="1:9" ht="15.75" hidden="1" customHeight="1" x14ac:dyDescent="0.25">
      <c r="A123" s="807" t="s">
        <v>57</v>
      </c>
      <c r="B123" s="807"/>
      <c r="C123" s="143">
        <v>0</v>
      </c>
      <c r="D123" s="143">
        <v>0</v>
      </c>
      <c r="E123" s="116">
        <f>IF(D32=0,C123*2,C123+D123)</f>
        <v>0</v>
      </c>
      <c r="F123" s="824">
        <f>ROUND(F122/2,2)</f>
        <v>0</v>
      </c>
      <c r="G123" s="824"/>
      <c r="H123" s="223">
        <f>IF(C123=0,0,62.5)</f>
        <v>0</v>
      </c>
      <c r="I123" s="101">
        <f>ROUND((H123+F123)*E123,2)</f>
        <v>0</v>
      </c>
    </row>
    <row r="124" spans="1:9" ht="15.75" hidden="1" customHeight="1" x14ac:dyDescent="0.25">
      <c r="A124" s="807" t="s">
        <v>58</v>
      </c>
      <c r="B124" s="807"/>
      <c r="C124" s="143">
        <v>0</v>
      </c>
      <c r="D124" s="143">
        <v>0</v>
      </c>
      <c r="E124" s="116">
        <f>IF(D33=0,C124*2,C124+D124)</f>
        <v>0</v>
      </c>
      <c r="F124" s="825"/>
      <c r="G124" s="825"/>
      <c r="H124" s="224">
        <f>IF(H122&gt;0,436,0)</f>
        <v>0</v>
      </c>
      <c r="I124" s="101">
        <f>ROUND(H124*E124,2)</f>
        <v>0</v>
      </c>
    </row>
    <row r="125" spans="1:9" ht="16.5" hidden="1" customHeight="1" x14ac:dyDescent="0.25">
      <c r="A125" s="789" t="s">
        <v>8</v>
      </c>
      <c r="B125" s="789"/>
      <c r="C125" s="65"/>
      <c r="D125" s="65"/>
      <c r="E125" s="65"/>
      <c r="F125" s="65"/>
      <c r="G125" s="65"/>
      <c r="H125" s="65"/>
      <c r="I125" s="97">
        <f>SUM(I122:I124)</f>
        <v>0</v>
      </c>
    </row>
    <row r="126" spans="1:9" hidden="1" x14ac:dyDescent="0.25">
      <c r="A126" s="37"/>
      <c r="B126" s="37"/>
      <c r="C126" s="65"/>
      <c r="D126" s="65"/>
      <c r="E126" s="65"/>
      <c r="F126" s="65"/>
      <c r="G126" s="65"/>
      <c r="H126" s="65"/>
      <c r="I126" s="101"/>
    </row>
    <row r="127" spans="1:9" x14ac:dyDescent="0.25">
      <c r="A127" s="810" t="s">
        <v>445</v>
      </c>
      <c r="B127" s="804"/>
      <c r="C127" s="804"/>
      <c r="D127" s="69"/>
      <c r="E127" s="68" t="s">
        <v>34</v>
      </c>
      <c r="F127" s="823"/>
      <c r="G127" s="823"/>
      <c r="H127" s="823"/>
      <c r="I127" s="154">
        <f>SUM('1461:4131'!I126)</f>
        <v>0</v>
      </c>
    </row>
    <row r="128" spans="1:9" x14ac:dyDescent="0.25">
      <c r="B128" s="69"/>
      <c r="C128" s="69"/>
      <c r="D128" s="69"/>
      <c r="E128" s="68"/>
      <c r="F128" s="68"/>
      <c r="G128" s="68"/>
      <c r="H128" s="68"/>
      <c r="I128" s="116"/>
    </row>
    <row r="129" spans="1:11" x14ac:dyDescent="0.25">
      <c r="A129" s="816" t="s">
        <v>8</v>
      </c>
      <c r="B129" s="816"/>
      <c r="C129" s="816"/>
      <c r="D129" s="816"/>
      <c r="E129" s="816"/>
      <c r="F129" s="816"/>
      <c r="G129" s="816"/>
      <c r="H129" s="816"/>
      <c r="I129" s="94">
        <f>SUM('0040:4131'!I128)</f>
        <v>206814963.77000007</v>
      </c>
      <c r="J129" s="250"/>
    </row>
    <row r="130" spans="1:11" x14ac:dyDescent="0.25">
      <c r="A130" s="26"/>
      <c r="B130" s="26"/>
      <c r="C130" s="26"/>
      <c r="D130" s="26"/>
      <c r="E130" s="26"/>
      <c r="F130" s="26"/>
      <c r="G130" s="26"/>
      <c r="H130" s="26"/>
      <c r="I130" s="101"/>
      <c r="J130" s="250"/>
    </row>
    <row r="131" spans="1:11" x14ac:dyDescent="0.25">
      <c r="A131" s="81" t="s">
        <v>476</v>
      </c>
      <c r="B131" s="26"/>
      <c r="C131" s="26"/>
      <c r="D131" s="26"/>
      <c r="E131" s="26"/>
      <c r="F131" s="26"/>
      <c r="G131" s="26"/>
      <c r="H131" s="26"/>
      <c r="I131" s="101">
        <f>SUM('0040:4131'!I130)</f>
        <v>196885784.30000004</v>
      </c>
      <c r="J131" s="250"/>
    </row>
    <row r="132" spans="1:11" x14ac:dyDescent="0.25">
      <c r="A132" s="26"/>
      <c r="B132" s="26"/>
      <c r="C132" s="26"/>
      <c r="D132" s="26"/>
      <c r="E132" s="26"/>
      <c r="F132" s="26"/>
      <c r="G132" s="26"/>
      <c r="H132" s="26"/>
      <c r="I132" s="101"/>
      <c r="J132" s="250"/>
    </row>
    <row r="133" spans="1:11" x14ac:dyDescent="0.25">
      <c r="A133" s="810" t="s">
        <v>477</v>
      </c>
      <c r="B133" s="804"/>
      <c r="C133" s="804"/>
      <c r="D133" s="804"/>
      <c r="E133" s="804"/>
      <c r="F133" s="804"/>
      <c r="G133" s="804"/>
      <c r="H133" s="81" t="s">
        <v>351</v>
      </c>
      <c r="I133" s="134"/>
      <c r="J133" s="250"/>
    </row>
    <row r="134" spans="1:11" x14ac:dyDescent="0.25">
      <c r="A134" s="804" t="s">
        <v>70</v>
      </c>
      <c r="B134" s="804"/>
      <c r="C134" s="804"/>
      <c r="D134" s="804"/>
      <c r="E134" s="804"/>
      <c r="F134" s="804"/>
      <c r="G134" s="804"/>
      <c r="H134" s="70"/>
      <c r="I134" s="116">
        <f>SUM('0040:4131'!I130)</f>
        <v>196885784.30000004</v>
      </c>
    </row>
    <row r="135" spans="1:11" x14ac:dyDescent="0.25">
      <c r="B135" s="69"/>
      <c r="C135" s="69"/>
      <c r="D135" s="69"/>
      <c r="E135" s="69"/>
      <c r="F135" s="69"/>
      <c r="G135" s="69"/>
      <c r="H135" s="65"/>
      <c r="I135" s="101"/>
    </row>
    <row r="136" spans="1:11" x14ac:dyDescent="0.25">
      <c r="A136" s="3" t="s">
        <v>73</v>
      </c>
      <c r="B136" s="69"/>
      <c r="C136" s="69"/>
      <c r="D136" s="69"/>
      <c r="E136" s="69"/>
      <c r="F136" s="69"/>
      <c r="G136" s="257"/>
      <c r="H136" s="139">
        <f>IF(H134=1,I134,I131)</f>
        <v>196885784.30000004</v>
      </c>
      <c r="I136" s="94">
        <f>SUM('0040:4131'!I135)</f>
        <v>-3168155.79</v>
      </c>
    </row>
    <row r="137" spans="1:11" x14ac:dyDescent="0.25">
      <c r="B137" s="69"/>
      <c r="C137" s="69"/>
      <c r="D137" s="69"/>
      <c r="E137" s="69"/>
      <c r="F137" s="69"/>
      <c r="G137" s="69"/>
      <c r="H137" s="65"/>
      <c r="I137" s="101"/>
    </row>
    <row r="138" spans="1:11" x14ac:dyDescent="0.25">
      <c r="A138" s="308" t="s">
        <v>74</v>
      </c>
      <c r="B138" s="309"/>
      <c r="C138" s="309"/>
      <c r="D138" s="309"/>
      <c r="E138" s="309"/>
      <c r="F138" s="309"/>
      <c r="G138" s="309"/>
      <c r="H138" s="310"/>
      <c r="I138" s="311">
        <f>SUM('0040:4131'!I137)</f>
        <v>203646807.98000002</v>
      </c>
    </row>
    <row r="139" spans="1:11" x14ac:dyDescent="0.25">
      <c r="B139" s="69"/>
      <c r="C139" s="69"/>
      <c r="D139" s="69"/>
      <c r="E139" s="69"/>
      <c r="F139" s="69"/>
      <c r="G139" s="69"/>
      <c r="H139" s="65"/>
      <c r="I139" s="101"/>
    </row>
    <row r="140" spans="1:11" x14ac:dyDescent="0.25">
      <c r="A140" s="3" t="s">
        <v>75</v>
      </c>
      <c r="B140" s="69"/>
      <c r="C140" s="140"/>
      <c r="D140" s="69"/>
      <c r="F140" s="69"/>
      <c r="G140" s="69"/>
      <c r="H140" s="65"/>
      <c r="I140" s="271">
        <f>SUM('0040:4131'!I139)</f>
        <v>-16740653.153999997</v>
      </c>
      <c r="K140" s="236"/>
    </row>
    <row r="141" spans="1:11" x14ac:dyDescent="0.25">
      <c r="B141" s="69"/>
      <c r="C141" s="69"/>
      <c r="D141" s="69"/>
      <c r="E141" s="69"/>
      <c r="F141" s="69"/>
      <c r="G141" s="69"/>
      <c r="H141" s="65"/>
      <c r="I141" s="101"/>
    </row>
    <row r="142" spans="1:11" x14ac:dyDescent="0.25">
      <c r="A142" s="3" t="s">
        <v>246</v>
      </c>
      <c r="B142" s="69"/>
      <c r="C142" s="69"/>
      <c r="D142" s="69"/>
      <c r="E142" s="69"/>
      <c r="F142" s="69"/>
      <c r="G142" s="69"/>
      <c r="H142" s="65"/>
      <c r="I142" s="101">
        <f>SUM('0040:4131'!I141)</f>
        <v>186906154.82599998</v>
      </c>
    </row>
    <row r="143" spans="1:11" x14ac:dyDescent="0.25">
      <c r="A143" s="3"/>
      <c r="B143" s="69"/>
      <c r="C143" s="69"/>
      <c r="D143" s="69"/>
      <c r="E143" s="69"/>
      <c r="F143" s="69"/>
      <c r="G143" s="69"/>
      <c r="H143" s="65"/>
      <c r="I143" s="101"/>
    </row>
    <row r="144" spans="1:11" x14ac:dyDescent="0.25">
      <c r="A144" s="3" t="s">
        <v>247</v>
      </c>
      <c r="B144" s="69"/>
      <c r="C144" s="69"/>
      <c r="D144" s="69"/>
      <c r="E144" s="69"/>
      <c r="F144" s="69"/>
      <c r="G144" s="69"/>
      <c r="H144" s="65"/>
      <c r="I144" s="272">
        <f>'1461'!I143</f>
        <v>11</v>
      </c>
    </row>
    <row r="145" spans="1:13" x14ac:dyDescent="0.25">
      <c r="B145" s="69"/>
      <c r="C145" s="69"/>
      <c r="D145" s="69"/>
      <c r="E145" s="69"/>
      <c r="F145" s="69"/>
      <c r="G145" s="69"/>
      <c r="H145" s="65"/>
      <c r="I145" s="101"/>
    </row>
    <row r="146" spans="1:13" ht="16.5" thickBot="1" x14ac:dyDescent="0.3">
      <c r="A146" s="3" t="s">
        <v>76</v>
      </c>
      <c r="B146" s="69"/>
      <c r="C146" s="69"/>
      <c r="D146" s="69"/>
      <c r="E146" s="69"/>
      <c r="F146" s="69"/>
      <c r="G146" s="69"/>
      <c r="H146" s="65"/>
      <c r="I146" s="155">
        <f>SUM('0040:4131'!I145)</f>
        <v>16991468.589999996</v>
      </c>
      <c r="K146" s="436"/>
      <c r="L146" s="436"/>
      <c r="M146" s="436"/>
    </row>
    <row r="147" spans="1:13" s="135" customFormat="1" ht="16.5" thickTop="1" x14ac:dyDescent="0.25">
      <c r="A147" s="443"/>
      <c r="B147" s="443"/>
      <c r="C147" s="444"/>
      <c r="D147" s="445"/>
      <c r="E147" s="446"/>
      <c r="F147" s="222"/>
      <c r="G147" s="447"/>
      <c r="H147" s="448"/>
      <c r="I147" s="442"/>
    </row>
    <row r="148" spans="1:13" x14ac:dyDescent="0.25">
      <c r="A148" s="785" t="s">
        <v>7</v>
      </c>
      <c r="B148" s="785"/>
      <c r="C148" s="785"/>
      <c r="D148" s="785"/>
      <c r="E148" s="785"/>
      <c r="F148" s="785"/>
      <c r="G148" s="785"/>
      <c r="H148" s="785"/>
    </row>
    <row r="149" spans="1:13" ht="26.25" customHeight="1" x14ac:dyDescent="0.25">
      <c r="A149" s="786" t="s">
        <v>478</v>
      </c>
      <c r="B149" s="786"/>
      <c r="C149" s="786"/>
      <c r="D149" s="786"/>
      <c r="E149" s="786"/>
      <c r="F149" s="786"/>
      <c r="G149" s="786"/>
      <c r="H149" s="786"/>
    </row>
    <row r="150" spans="1:13" x14ac:dyDescent="0.25">
      <c r="A150" s="785" t="s">
        <v>388</v>
      </c>
      <c r="B150" s="785"/>
      <c r="C150" s="785"/>
      <c r="D150" s="785"/>
      <c r="E150" s="785"/>
      <c r="F150" s="785"/>
      <c r="G150" s="785"/>
      <c r="H150" s="785"/>
    </row>
    <row r="151" spans="1:13" x14ac:dyDescent="0.25">
      <c r="A151" s="785" t="s">
        <v>389</v>
      </c>
      <c r="B151" s="785"/>
      <c r="C151" s="785"/>
      <c r="D151" s="785"/>
      <c r="E151" s="785"/>
      <c r="F151" s="785"/>
      <c r="G151" s="785"/>
      <c r="H151" s="785"/>
    </row>
    <row r="152" spans="1:13" x14ac:dyDescent="0.25">
      <c r="A152" s="785" t="s">
        <v>390</v>
      </c>
      <c r="B152" s="785"/>
      <c r="C152" s="785"/>
      <c r="D152" s="785"/>
      <c r="E152" s="785"/>
      <c r="F152" s="785"/>
      <c r="G152" s="785"/>
      <c r="H152" s="785"/>
    </row>
    <row r="153" spans="1:13" x14ac:dyDescent="0.25">
      <c r="A153" s="785" t="s">
        <v>391</v>
      </c>
      <c r="B153" s="785"/>
      <c r="C153" s="785"/>
      <c r="D153" s="785"/>
      <c r="E153" s="785"/>
      <c r="F153" s="785"/>
      <c r="G153" s="785"/>
      <c r="H153" s="785"/>
    </row>
    <row r="154" spans="1:13" x14ac:dyDescent="0.25">
      <c r="A154" s="785" t="s">
        <v>392</v>
      </c>
      <c r="B154" s="785"/>
      <c r="C154" s="785"/>
      <c r="D154" s="785"/>
      <c r="E154" s="785"/>
      <c r="F154" s="785"/>
      <c r="G154" s="785"/>
      <c r="H154" s="785"/>
    </row>
    <row r="155" spans="1:13" ht="26.25" customHeight="1" x14ac:dyDescent="0.25">
      <c r="A155" s="818" t="s">
        <v>479</v>
      </c>
      <c r="B155" s="818"/>
      <c r="C155" s="818"/>
      <c r="D155" s="818"/>
      <c r="E155" s="818"/>
      <c r="F155" s="818"/>
      <c r="G155" s="818"/>
      <c r="H155" s="818"/>
    </row>
    <row r="156" spans="1:13" ht="26.25" customHeight="1" x14ac:dyDescent="0.25">
      <c r="A156" s="786" t="s">
        <v>480</v>
      </c>
      <c r="B156" s="786"/>
      <c r="C156" s="786"/>
      <c r="D156" s="786"/>
      <c r="E156" s="786"/>
      <c r="F156" s="786"/>
      <c r="G156" s="786"/>
      <c r="H156" s="786"/>
    </row>
    <row r="157" spans="1:13" ht="26.25" customHeight="1" x14ac:dyDescent="0.25">
      <c r="A157" s="786" t="s">
        <v>398</v>
      </c>
      <c r="B157" s="786"/>
      <c r="C157" s="786"/>
      <c r="D157" s="786"/>
      <c r="E157" s="786"/>
      <c r="F157" s="786"/>
      <c r="G157" s="786"/>
      <c r="H157" s="786"/>
    </row>
    <row r="158" spans="1:13" ht="16.5" customHeight="1" x14ac:dyDescent="0.25">
      <c r="A158" s="510" t="s">
        <v>287</v>
      </c>
      <c r="B158" s="510"/>
      <c r="C158" s="510"/>
      <c r="D158" s="510"/>
      <c r="E158" s="510"/>
      <c r="F158" s="510"/>
      <c r="G158" s="510"/>
      <c r="H158" s="510"/>
    </row>
    <row r="159" spans="1:13" ht="26.25" customHeight="1" x14ac:dyDescent="0.25">
      <c r="A159" s="818" t="s">
        <v>481</v>
      </c>
      <c r="B159" s="818"/>
      <c r="C159" s="818"/>
      <c r="D159" s="818"/>
      <c r="E159" s="818"/>
      <c r="F159" s="818"/>
      <c r="G159" s="818"/>
      <c r="H159" s="818"/>
    </row>
    <row r="160" spans="1:13" ht="26.25" customHeight="1" x14ac:dyDescent="0.25">
      <c r="A160" s="818" t="s">
        <v>482</v>
      </c>
      <c r="B160" s="818"/>
      <c r="C160" s="818"/>
      <c r="D160" s="818"/>
      <c r="E160" s="818"/>
      <c r="F160" s="818"/>
      <c r="G160" s="818"/>
      <c r="H160" s="818"/>
    </row>
    <row r="161" spans="1:8" x14ac:dyDescent="0.25">
      <c r="A161" s="817" t="s">
        <v>67</v>
      </c>
      <c r="B161" s="818"/>
      <c r="C161" s="818"/>
      <c r="D161" s="818"/>
      <c r="E161" s="818"/>
      <c r="F161" s="818"/>
      <c r="G161" s="818"/>
      <c r="H161" s="818"/>
    </row>
    <row r="162" spans="1:8" ht="54.75" customHeight="1" x14ac:dyDescent="0.25">
      <c r="A162" s="819" t="s">
        <v>483</v>
      </c>
      <c r="B162" s="819"/>
      <c r="C162" s="819"/>
      <c r="D162" s="819"/>
      <c r="E162" s="819"/>
      <c r="F162" s="819"/>
      <c r="G162" s="819"/>
      <c r="H162" s="819"/>
    </row>
    <row r="163" spans="1:8" ht="42.75" customHeight="1" x14ac:dyDescent="0.25">
      <c r="A163" s="819" t="s">
        <v>484</v>
      </c>
      <c r="B163" s="819"/>
      <c r="C163" s="819"/>
      <c r="D163" s="819"/>
      <c r="E163" s="819"/>
      <c r="F163" s="819"/>
      <c r="G163" s="819"/>
      <c r="H163" s="819"/>
    </row>
    <row r="164" spans="1:8" x14ac:dyDescent="0.25">
      <c r="A164" s="511"/>
      <c r="B164" s="511"/>
      <c r="C164" s="511"/>
      <c r="D164" s="511"/>
      <c r="E164" s="511"/>
      <c r="F164" s="511"/>
      <c r="G164" s="511"/>
      <c r="H164" s="511"/>
    </row>
    <row r="165" spans="1:8" x14ac:dyDescent="0.25">
      <c r="A165" s="820" t="s">
        <v>68</v>
      </c>
      <c r="B165" s="820"/>
      <c r="C165" s="820"/>
      <c r="D165" s="820"/>
      <c r="E165" s="820"/>
      <c r="F165" s="820"/>
      <c r="G165" s="820"/>
      <c r="H165" s="820"/>
    </row>
    <row r="166" spans="1:8" ht="26.25" customHeight="1" x14ac:dyDescent="0.25">
      <c r="A166" s="819" t="s">
        <v>485</v>
      </c>
      <c r="B166" s="819"/>
      <c r="C166" s="819"/>
      <c r="D166" s="819"/>
      <c r="E166" s="819"/>
      <c r="F166" s="819"/>
      <c r="G166" s="819"/>
      <c r="H166" s="819"/>
    </row>
    <row r="167" spans="1:8" x14ac:dyDescent="0.25">
      <c r="A167" s="821" t="s">
        <v>11</v>
      </c>
      <c r="B167" s="821"/>
      <c r="C167" s="821"/>
      <c r="D167" s="821"/>
      <c r="E167" s="821"/>
      <c r="F167" s="821"/>
      <c r="G167" s="821"/>
      <c r="H167" s="821"/>
    </row>
  </sheetData>
  <mergeCells count="114">
    <mergeCell ref="A161:H161"/>
    <mergeCell ref="A162:H162"/>
    <mergeCell ref="A163:H163"/>
    <mergeCell ref="A165:H165"/>
    <mergeCell ref="A166:H166"/>
    <mergeCell ref="A167:H167"/>
    <mergeCell ref="C105:D105"/>
    <mergeCell ref="C106:D106"/>
    <mergeCell ref="C107:D107"/>
    <mergeCell ref="A127:C127"/>
    <mergeCell ref="A155:H155"/>
    <mergeCell ref="A156:H156"/>
    <mergeCell ref="A157:H157"/>
    <mergeCell ref="A159:H159"/>
    <mergeCell ref="A160:H160"/>
    <mergeCell ref="F127:H127"/>
    <mergeCell ref="A129:H129"/>
    <mergeCell ref="A133:G133"/>
    <mergeCell ref="A134:G134"/>
    <mergeCell ref="A123:B123"/>
    <mergeCell ref="F123:G123"/>
    <mergeCell ref="A124:B124"/>
    <mergeCell ref="F124:G124"/>
    <mergeCell ref="A118:C118"/>
    <mergeCell ref="A41:B41"/>
    <mergeCell ref="A42:B42"/>
    <mergeCell ref="A43:B43"/>
    <mergeCell ref="A44:B44"/>
    <mergeCell ref="A80:B80"/>
    <mergeCell ref="D80:G80"/>
    <mergeCell ref="C103:D103"/>
    <mergeCell ref="C104:D104"/>
    <mergeCell ref="C108:D108"/>
    <mergeCell ref="A77:B77"/>
    <mergeCell ref="D77:G77"/>
    <mergeCell ref="A71:B71"/>
    <mergeCell ref="D71:G71"/>
    <mergeCell ref="A74:B74"/>
    <mergeCell ref="D74:G74"/>
    <mergeCell ref="A88:C88"/>
    <mergeCell ref="A89:C89"/>
    <mergeCell ref="A95:C95"/>
    <mergeCell ref="A97:C97"/>
    <mergeCell ref="A83:B83"/>
    <mergeCell ref="D83:G83"/>
    <mergeCell ref="A59:B67"/>
    <mergeCell ref="F68:H68"/>
    <mergeCell ref="A29:B29"/>
    <mergeCell ref="F29:G29"/>
    <mergeCell ref="A30:B30"/>
    <mergeCell ref="F30:G30"/>
    <mergeCell ref="F31:G31"/>
    <mergeCell ref="A32:B32"/>
    <mergeCell ref="A38:B38"/>
    <mergeCell ref="A39:B39"/>
    <mergeCell ref="A40:B40"/>
    <mergeCell ref="A24:B24"/>
    <mergeCell ref="F24:G24"/>
    <mergeCell ref="A25:B25"/>
    <mergeCell ref="F25:G25"/>
    <mergeCell ref="A26:B26"/>
    <mergeCell ref="F26:G26"/>
    <mergeCell ref="A27:B27"/>
    <mergeCell ref="F27:G27"/>
    <mergeCell ref="A28:B28"/>
    <mergeCell ref="F28:G28"/>
    <mergeCell ref="A19:B19"/>
    <mergeCell ref="F19:G19"/>
    <mergeCell ref="A20:B20"/>
    <mergeCell ref="F20:G20"/>
    <mergeCell ref="A21:B21"/>
    <mergeCell ref="F21:G21"/>
    <mergeCell ref="A22:B22"/>
    <mergeCell ref="F22:G22"/>
    <mergeCell ref="A23:B23"/>
    <mergeCell ref="F23:G23"/>
    <mergeCell ref="A14:B14"/>
    <mergeCell ref="F14:G14"/>
    <mergeCell ref="A15:B15"/>
    <mergeCell ref="F15:G15"/>
    <mergeCell ref="A16:B16"/>
    <mergeCell ref="F16:G16"/>
    <mergeCell ref="A17:B17"/>
    <mergeCell ref="F17:G17"/>
    <mergeCell ref="A18:B18"/>
    <mergeCell ref="F18:G18"/>
    <mergeCell ref="B1:I1"/>
    <mergeCell ref="A4:B4"/>
    <mergeCell ref="C4:E4"/>
    <mergeCell ref="A7:I7"/>
    <mergeCell ref="F11:G11"/>
    <mergeCell ref="A12:B12"/>
    <mergeCell ref="F12:G12"/>
    <mergeCell ref="A13:B13"/>
    <mergeCell ref="F13:G13"/>
    <mergeCell ref="A154:H154"/>
    <mergeCell ref="A115:B115"/>
    <mergeCell ref="A122:B122"/>
    <mergeCell ref="F122:G122"/>
    <mergeCell ref="A125:B125"/>
    <mergeCell ref="F118:I118"/>
    <mergeCell ref="C119:E119"/>
    <mergeCell ref="F120:G120"/>
    <mergeCell ref="A121:B121"/>
    <mergeCell ref="F121:G121"/>
    <mergeCell ref="A109:I109"/>
    <mergeCell ref="F111:I111"/>
    <mergeCell ref="A114:B114"/>
    <mergeCell ref="A148:H148"/>
    <mergeCell ref="A149:H149"/>
    <mergeCell ref="A150:H150"/>
    <mergeCell ref="A151:H151"/>
    <mergeCell ref="A152:H152"/>
    <mergeCell ref="A153:H15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25"/>
  <sheetViews>
    <sheetView topLeftCell="A34" workbookViewId="0">
      <selection activeCell="F64" sqref="F64"/>
    </sheetView>
    <sheetView topLeftCell="A40" workbookViewId="1">
      <selection activeCell="I495" sqref="I495"/>
    </sheetView>
  </sheetViews>
  <sheetFormatPr defaultColWidth="9.140625" defaultRowHeight="15" x14ac:dyDescent="0.25"/>
  <cols>
    <col min="1" max="1" width="9.140625" style="523"/>
    <col min="2" max="2" width="9.140625" style="524"/>
    <col min="3" max="3" width="52.42578125" style="523" customWidth="1"/>
    <col min="4" max="4" width="16.28515625" style="525" bestFit="1" customWidth="1"/>
    <col min="5" max="5" width="15.140625" style="525" bestFit="1" customWidth="1"/>
    <col min="6" max="7" width="15.140625" style="523" bestFit="1" customWidth="1"/>
    <col min="8" max="8" width="15" style="523" bestFit="1" customWidth="1"/>
    <col min="9" max="9" width="14.28515625" style="523" bestFit="1" customWidth="1"/>
    <col min="10" max="10" width="16.85546875" style="523" bestFit="1" customWidth="1"/>
    <col min="11" max="11" width="14.140625" style="536" customWidth="1"/>
    <col min="12" max="15" width="14" style="523" bestFit="1" customWidth="1"/>
    <col min="16" max="16" width="14" style="555" bestFit="1" customWidth="1"/>
    <col min="17" max="18" width="15.28515625" style="523" bestFit="1" customWidth="1"/>
    <col min="19" max="16384" width="9.140625" style="523"/>
  </cols>
  <sheetData>
    <row r="1" spans="1:18" x14ac:dyDescent="0.25">
      <c r="A1" s="541" t="s">
        <v>506</v>
      </c>
    </row>
    <row r="2" spans="1:18" x14ac:dyDescent="0.25">
      <c r="C2" s="556"/>
      <c r="D2" s="572"/>
      <c r="E2" s="572"/>
      <c r="F2" s="556"/>
      <c r="G2" s="556"/>
    </row>
    <row r="4" spans="1:18" s="531" customFormat="1" ht="45" x14ac:dyDescent="0.25">
      <c r="A4" s="531" t="s">
        <v>328</v>
      </c>
      <c r="B4" s="532" t="s">
        <v>328</v>
      </c>
      <c r="C4" s="531" t="s">
        <v>328</v>
      </c>
      <c r="D4" s="542" t="s">
        <v>294</v>
      </c>
      <c r="E4" s="542" t="s">
        <v>489</v>
      </c>
      <c r="F4" s="532" t="s">
        <v>490</v>
      </c>
      <c r="G4" s="532" t="s">
        <v>491</v>
      </c>
      <c r="H4" s="532" t="s">
        <v>492</v>
      </c>
      <c r="I4" s="532" t="s">
        <v>493</v>
      </c>
      <c r="J4" s="532" t="s">
        <v>494</v>
      </c>
      <c r="K4" s="543" t="s">
        <v>495</v>
      </c>
      <c r="L4" s="532" t="s">
        <v>496</v>
      </c>
      <c r="M4" s="532" t="s">
        <v>497</v>
      </c>
      <c r="N4" s="532" t="s">
        <v>498</v>
      </c>
      <c r="O4" s="532" t="s">
        <v>499</v>
      </c>
      <c r="P4" s="701" t="s">
        <v>500</v>
      </c>
      <c r="Q4" s="532" t="s">
        <v>8</v>
      </c>
      <c r="R4" s="533" t="s">
        <v>502</v>
      </c>
    </row>
    <row r="5" spans="1:18" s="531" customFormat="1" x14ac:dyDescent="0.25">
      <c r="A5" s="647">
        <v>1</v>
      </c>
      <c r="B5" s="648" t="s">
        <v>526</v>
      </c>
      <c r="C5" s="647" t="s">
        <v>529</v>
      </c>
      <c r="D5" s="668">
        <v>298028.77999999997</v>
      </c>
      <c r="E5" s="668">
        <v>24451.48</v>
      </c>
      <c r="F5" s="742">
        <v>24870.66</v>
      </c>
      <c r="G5" s="532"/>
      <c r="H5" s="667"/>
      <c r="I5" s="669"/>
      <c r="J5" s="674"/>
      <c r="K5" s="680"/>
      <c r="L5" s="680"/>
      <c r="M5" s="680"/>
      <c r="N5" s="690"/>
      <c r="O5" s="691"/>
      <c r="P5" s="700"/>
      <c r="Q5" s="526">
        <f>SUM(E5:P5)</f>
        <v>49322.14</v>
      </c>
      <c r="R5" s="537">
        <v>0</v>
      </c>
    </row>
    <row r="6" spans="1:18" s="531" customFormat="1" x14ac:dyDescent="0.25">
      <c r="A6" s="647">
        <v>2</v>
      </c>
      <c r="B6" s="648" t="s">
        <v>527</v>
      </c>
      <c r="C6" s="647" t="s">
        <v>530</v>
      </c>
      <c r="D6" s="668">
        <v>267259.57</v>
      </c>
      <c r="E6" s="668">
        <v>22293.06</v>
      </c>
      <c r="F6" s="742">
        <v>22269.68</v>
      </c>
      <c r="G6" s="532"/>
      <c r="H6" s="667"/>
      <c r="I6" s="669"/>
      <c r="J6" s="674"/>
      <c r="K6" s="680"/>
      <c r="L6" s="680"/>
      <c r="M6" s="680"/>
      <c r="N6" s="690"/>
      <c r="O6" s="691"/>
      <c r="P6" s="700"/>
      <c r="Q6" s="526">
        <f t="shared" ref="Q6:Q53" si="0">SUM(E6:P6)</f>
        <v>44562.740000000005</v>
      </c>
      <c r="R6" s="537">
        <v>0</v>
      </c>
    </row>
    <row r="7" spans="1:18" x14ac:dyDescent="0.25">
      <c r="A7" s="647">
        <v>3</v>
      </c>
      <c r="B7" s="524" t="s">
        <v>158</v>
      </c>
      <c r="C7" s="523" t="s">
        <v>190</v>
      </c>
      <c r="D7" s="525">
        <v>5905730.7300000004</v>
      </c>
      <c r="E7" s="527">
        <v>485398.34</v>
      </c>
      <c r="F7" s="673">
        <v>492757.49</v>
      </c>
      <c r="G7" s="557"/>
      <c r="H7" s="666"/>
      <c r="I7" s="557"/>
      <c r="J7" s="673"/>
      <c r="K7" s="558"/>
      <c r="L7" s="558"/>
      <c r="M7" s="559"/>
      <c r="N7" s="526"/>
      <c r="O7" s="692"/>
      <c r="Q7" s="526">
        <f t="shared" si="0"/>
        <v>978155.83000000007</v>
      </c>
      <c r="R7" s="537">
        <v>0</v>
      </c>
    </row>
    <row r="8" spans="1:18" x14ac:dyDescent="0.25">
      <c r="A8" s="647">
        <v>4</v>
      </c>
      <c r="B8" s="524" t="s">
        <v>159</v>
      </c>
      <c r="C8" s="523" t="s">
        <v>192</v>
      </c>
      <c r="D8" s="525">
        <v>9687740.0200000014</v>
      </c>
      <c r="E8" s="703">
        <v>795164.86</v>
      </c>
      <c r="F8" s="673">
        <v>808415.92</v>
      </c>
      <c r="G8" s="557"/>
      <c r="H8" s="666"/>
      <c r="I8" s="557"/>
      <c r="J8" s="673"/>
      <c r="K8" s="558"/>
      <c r="L8" s="558"/>
      <c r="M8" s="559"/>
      <c r="N8" s="526"/>
      <c r="O8" s="555"/>
      <c r="Q8" s="526">
        <f t="shared" si="0"/>
        <v>1603580.78</v>
      </c>
      <c r="R8" s="537">
        <v>0</v>
      </c>
    </row>
    <row r="9" spans="1:18" x14ac:dyDescent="0.25">
      <c r="A9" s="647">
        <v>5</v>
      </c>
      <c r="B9" s="524" t="s">
        <v>160</v>
      </c>
      <c r="C9" s="523" t="s">
        <v>193</v>
      </c>
      <c r="D9" s="525">
        <v>1350384.3499999999</v>
      </c>
      <c r="E9" s="703">
        <v>112200.54</v>
      </c>
      <c r="F9" s="673">
        <v>112562.16</v>
      </c>
      <c r="G9" s="557"/>
      <c r="H9" s="666"/>
      <c r="I9" s="557"/>
      <c r="J9" s="673"/>
      <c r="K9" s="558"/>
      <c r="L9" s="558"/>
      <c r="M9" s="559"/>
      <c r="N9" s="526"/>
      <c r="O9" s="555"/>
      <c r="Q9" s="526">
        <f t="shared" si="0"/>
        <v>224762.7</v>
      </c>
      <c r="R9" s="537">
        <v>0</v>
      </c>
    </row>
    <row r="10" spans="1:18" x14ac:dyDescent="0.25">
      <c r="A10" s="647">
        <v>6</v>
      </c>
      <c r="B10" s="745" t="s">
        <v>161</v>
      </c>
      <c r="C10" s="746" t="s">
        <v>536</v>
      </c>
      <c r="D10" s="527">
        <v>1583711.73</v>
      </c>
      <c r="E10" s="703">
        <v>128465.38</v>
      </c>
      <c r="F10" s="673">
        <v>132295.12</v>
      </c>
      <c r="G10" s="574"/>
      <c r="H10" s="666"/>
      <c r="I10" s="557"/>
      <c r="J10" s="673"/>
      <c r="K10" s="558"/>
      <c r="L10" s="558"/>
      <c r="M10" s="559"/>
      <c r="N10" s="526"/>
      <c r="O10" s="555"/>
      <c r="Q10" s="526">
        <f t="shared" si="0"/>
        <v>260760.5</v>
      </c>
      <c r="R10" s="537">
        <v>0</v>
      </c>
    </row>
    <row r="11" spans="1:18" x14ac:dyDescent="0.25">
      <c r="A11" s="647">
        <v>7</v>
      </c>
      <c r="B11" s="524" t="s">
        <v>162</v>
      </c>
      <c r="C11" s="523" t="s">
        <v>295</v>
      </c>
      <c r="D11" s="525">
        <v>5346468.25</v>
      </c>
      <c r="E11" s="703">
        <v>440248.86</v>
      </c>
      <c r="F11" s="673">
        <v>446019.94</v>
      </c>
      <c r="G11" s="557"/>
      <c r="H11" s="666"/>
      <c r="I11" s="557"/>
      <c r="J11" s="673"/>
      <c r="K11" s="558"/>
      <c r="L11" s="558"/>
      <c r="M11" s="559"/>
      <c r="N11" s="526"/>
      <c r="O11" s="555"/>
      <c r="Q11" s="526">
        <f t="shared" si="0"/>
        <v>886268.8</v>
      </c>
      <c r="R11" s="537">
        <v>0</v>
      </c>
    </row>
    <row r="12" spans="1:18" x14ac:dyDescent="0.25">
      <c r="A12" s="647">
        <v>8</v>
      </c>
      <c r="B12" s="524" t="s">
        <v>163</v>
      </c>
      <c r="C12" s="523" t="s">
        <v>377</v>
      </c>
      <c r="D12" s="525">
        <v>5255370.76</v>
      </c>
      <c r="E12" s="703">
        <v>433777.9</v>
      </c>
      <c r="F12" s="673">
        <v>438326.62</v>
      </c>
      <c r="G12" s="557"/>
      <c r="H12" s="666"/>
      <c r="I12" s="557"/>
      <c r="J12" s="673"/>
      <c r="K12" s="558"/>
      <c r="L12" s="558"/>
      <c r="M12" s="559"/>
      <c r="N12" s="526"/>
      <c r="O12" s="555"/>
      <c r="Q12" s="526">
        <f t="shared" si="0"/>
        <v>872104.52</v>
      </c>
      <c r="R12" s="537">
        <v>0</v>
      </c>
    </row>
    <row r="13" spans="1:18" x14ac:dyDescent="0.25">
      <c r="A13" s="647">
        <v>9</v>
      </c>
      <c r="B13" s="524" t="s">
        <v>164</v>
      </c>
      <c r="C13" s="523" t="s">
        <v>196</v>
      </c>
      <c r="D13" s="525">
        <v>6152950.2399999993</v>
      </c>
      <c r="E13" s="703">
        <v>505265.93</v>
      </c>
      <c r="F13" s="673">
        <v>513425.85</v>
      </c>
      <c r="G13" s="557"/>
      <c r="H13" s="666"/>
      <c r="I13" s="557"/>
      <c r="J13" s="673"/>
      <c r="K13" s="558"/>
      <c r="L13" s="558"/>
      <c r="M13" s="559"/>
      <c r="N13" s="526"/>
      <c r="O13" s="555"/>
      <c r="Q13" s="526">
        <f t="shared" si="0"/>
        <v>1018691.78</v>
      </c>
      <c r="R13" s="537">
        <v>0</v>
      </c>
    </row>
    <row r="14" spans="1:18" x14ac:dyDescent="0.25">
      <c r="A14" s="647">
        <v>10</v>
      </c>
      <c r="B14" s="524" t="s">
        <v>165</v>
      </c>
      <c r="C14" s="523" t="s">
        <v>197</v>
      </c>
      <c r="D14" s="525">
        <v>10423410.480000002</v>
      </c>
      <c r="E14" s="703">
        <v>858865.25</v>
      </c>
      <c r="F14" s="673">
        <v>869504.11</v>
      </c>
      <c r="G14" s="557"/>
      <c r="H14" s="666"/>
      <c r="I14" s="557"/>
      <c r="J14" s="673"/>
      <c r="K14" s="558"/>
      <c r="L14" s="558"/>
      <c r="M14" s="559"/>
      <c r="N14" s="526"/>
      <c r="O14" s="555"/>
      <c r="Q14" s="526">
        <f t="shared" si="0"/>
        <v>1728369.3599999999</v>
      </c>
      <c r="R14" s="537">
        <v>0</v>
      </c>
    </row>
    <row r="15" spans="1:18" x14ac:dyDescent="0.25">
      <c r="A15" s="647">
        <v>11</v>
      </c>
      <c r="B15" s="524" t="s">
        <v>166</v>
      </c>
      <c r="C15" s="523" t="s">
        <v>384</v>
      </c>
      <c r="D15" s="525">
        <v>5952516.4199999999</v>
      </c>
      <c r="E15" s="703">
        <v>484859.99</v>
      </c>
      <c r="F15" s="673">
        <v>497059.68</v>
      </c>
      <c r="G15" s="557"/>
      <c r="H15" s="666"/>
      <c r="I15" s="557"/>
      <c r="J15" s="673"/>
      <c r="K15" s="558"/>
      <c r="L15" s="558"/>
      <c r="M15" s="559"/>
      <c r="N15" s="526"/>
      <c r="O15" s="555"/>
      <c r="Q15" s="526">
        <f t="shared" si="0"/>
        <v>981919.66999999993</v>
      </c>
      <c r="R15" s="537">
        <v>0</v>
      </c>
    </row>
    <row r="16" spans="1:18" x14ac:dyDescent="0.25">
      <c r="A16" s="647">
        <v>12</v>
      </c>
      <c r="B16" s="524" t="s">
        <v>167</v>
      </c>
      <c r="C16" s="523" t="s">
        <v>383</v>
      </c>
      <c r="D16" s="525">
        <v>1095429.95</v>
      </c>
      <c r="E16" s="703">
        <v>90419.86</v>
      </c>
      <c r="F16" s="673">
        <v>91364.55</v>
      </c>
      <c r="G16" s="557"/>
      <c r="H16" s="666"/>
      <c r="I16" s="557"/>
      <c r="J16" s="673"/>
      <c r="K16" s="558"/>
      <c r="L16" s="558"/>
      <c r="M16" s="559"/>
      <c r="N16" s="526"/>
      <c r="O16" s="555"/>
      <c r="Q16" s="526">
        <f t="shared" si="0"/>
        <v>181784.41</v>
      </c>
      <c r="R16" s="537">
        <v>0</v>
      </c>
    </row>
    <row r="17" spans="1:18" x14ac:dyDescent="0.25">
      <c r="A17" s="647">
        <v>13</v>
      </c>
      <c r="B17" s="524" t="s">
        <v>168</v>
      </c>
      <c r="C17" s="523" t="s">
        <v>200</v>
      </c>
      <c r="D17" s="525">
        <v>9142489.2800000012</v>
      </c>
      <c r="E17" s="703">
        <v>750894</v>
      </c>
      <c r="F17" s="673">
        <v>762872.3</v>
      </c>
      <c r="G17" s="557"/>
      <c r="H17" s="666"/>
      <c r="I17" s="557"/>
      <c r="J17" s="673"/>
      <c r="K17" s="558"/>
      <c r="L17" s="558"/>
      <c r="M17" s="559"/>
      <c r="N17" s="526"/>
      <c r="O17" s="555"/>
      <c r="Q17" s="526">
        <f t="shared" si="0"/>
        <v>1513766.3</v>
      </c>
      <c r="R17" s="537">
        <v>0</v>
      </c>
    </row>
    <row r="18" spans="1:18" x14ac:dyDescent="0.25">
      <c r="A18" s="647">
        <v>14</v>
      </c>
      <c r="B18" s="524" t="s">
        <v>169</v>
      </c>
      <c r="C18" s="523" t="s">
        <v>202</v>
      </c>
      <c r="D18" s="525">
        <v>2427071.44</v>
      </c>
      <c r="E18" s="703">
        <v>199480.37</v>
      </c>
      <c r="F18" s="673">
        <v>202508.28</v>
      </c>
      <c r="G18" s="557"/>
      <c r="H18" s="666"/>
      <c r="I18" s="557"/>
      <c r="J18" s="673"/>
      <c r="K18" s="558"/>
      <c r="L18" s="558"/>
      <c r="M18" s="559"/>
      <c r="N18" s="526"/>
      <c r="O18" s="555"/>
      <c r="Q18" s="526">
        <f t="shared" si="0"/>
        <v>401988.65</v>
      </c>
      <c r="R18" s="537">
        <v>0</v>
      </c>
    </row>
    <row r="19" spans="1:18" x14ac:dyDescent="0.25">
      <c r="A19" s="647">
        <v>15</v>
      </c>
      <c r="B19" s="570" t="s">
        <v>170</v>
      </c>
      <c r="C19" s="569" t="s">
        <v>204</v>
      </c>
      <c r="D19" s="571">
        <v>0</v>
      </c>
      <c r="E19" s="703"/>
      <c r="F19" s="743">
        <v>0</v>
      </c>
      <c r="G19" s="574"/>
      <c r="H19" s="666"/>
      <c r="I19" s="557"/>
      <c r="J19" s="673"/>
      <c r="K19" s="558"/>
      <c r="L19" s="558"/>
      <c r="M19" s="559"/>
      <c r="N19" s="526"/>
      <c r="O19" s="555"/>
      <c r="Q19" s="526">
        <f t="shared" si="0"/>
        <v>0</v>
      </c>
      <c r="R19" s="537">
        <v>0</v>
      </c>
    </row>
    <row r="20" spans="1:18" x14ac:dyDescent="0.25">
      <c r="A20" s="647">
        <v>16</v>
      </c>
      <c r="B20" s="524" t="s">
        <v>171</v>
      </c>
      <c r="C20" s="523" t="s">
        <v>205</v>
      </c>
      <c r="D20" s="525">
        <v>1653077.94</v>
      </c>
      <c r="E20" s="703">
        <v>136646.84</v>
      </c>
      <c r="F20" s="673">
        <v>137857.37</v>
      </c>
      <c r="G20" s="557"/>
      <c r="H20" s="666"/>
      <c r="I20" s="557"/>
      <c r="J20" s="673"/>
      <c r="K20" s="558"/>
      <c r="L20" s="558"/>
      <c r="M20" s="559"/>
      <c r="N20" s="526"/>
      <c r="O20" s="555"/>
      <c r="Q20" s="526">
        <f t="shared" si="0"/>
        <v>274504.20999999996</v>
      </c>
      <c r="R20" s="537">
        <v>0</v>
      </c>
    </row>
    <row r="21" spans="1:18" x14ac:dyDescent="0.25">
      <c r="A21" s="647">
        <v>17</v>
      </c>
      <c r="B21" s="524" t="s">
        <v>172</v>
      </c>
      <c r="C21" s="523" t="s">
        <v>296</v>
      </c>
      <c r="D21" s="525">
        <v>4417918.6399999997</v>
      </c>
      <c r="E21" s="703">
        <v>363962.87</v>
      </c>
      <c r="F21" s="673">
        <v>368541.43</v>
      </c>
      <c r="G21" s="557"/>
      <c r="H21" s="666"/>
      <c r="I21" s="557"/>
      <c r="J21" s="673"/>
      <c r="K21" s="558"/>
      <c r="L21" s="558"/>
      <c r="M21" s="559"/>
      <c r="N21" s="526"/>
      <c r="O21" s="555"/>
      <c r="Q21" s="526">
        <f t="shared" si="0"/>
        <v>732504.3</v>
      </c>
      <c r="R21" s="537">
        <v>0</v>
      </c>
    </row>
    <row r="22" spans="1:18" x14ac:dyDescent="0.25">
      <c r="A22" s="647">
        <v>18</v>
      </c>
      <c r="B22" s="524" t="s">
        <v>173</v>
      </c>
      <c r="C22" s="523" t="s">
        <v>227</v>
      </c>
      <c r="D22" s="525">
        <v>5867214.7299999995</v>
      </c>
      <c r="E22" s="703">
        <v>481353.82</v>
      </c>
      <c r="F22" s="673">
        <v>489623.72</v>
      </c>
      <c r="G22" s="557"/>
      <c r="H22" s="666"/>
      <c r="I22" s="557"/>
      <c r="J22" s="673"/>
      <c r="K22" s="558"/>
      <c r="L22" s="558"/>
      <c r="M22" s="559"/>
      <c r="N22" s="526"/>
      <c r="O22" s="555"/>
      <c r="Q22" s="526">
        <f t="shared" si="0"/>
        <v>970977.54</v>
      </c>
      <c r="R22" s="537">
        <v>0</v>
      </c>
    </row>
    <row r="23" spans="1:18" x14ac:dyDescent="0.25">
      <c r="A23" s="647">
        <v>19</v>
      </c>
      <c r="B23" s="524" t="s">
        <v>174</v>
      </c>
      <c r="C23" s="523" t="s">
        <v>195</v>
      </c>
      <c r="D23" s="525">
        <v>919769.33000000007</v>
      </c>
      <c r="E23" s="703">
        <v>75370.149999999994</v>
      </c>
      <c r="F23" s="673">
        <v>76763.56</v>
      </c>
      <c r="G23" s="557"/>
      <c r="H23" s="666"/>
      <c r="I23" s="557"/>
      <c r="J23" s="673"/>
      <c r="K23" s="558"/>
      <c r="L23" s="558"/>
      <c r="M23" s="559"/>
      <c r="N23" s="526"/>
      <c r="O23" s="555"/>
      <c r="Q23" s="526">
        <f t="shared" si="0"/>
        <v>152133.71</v>
      </c>
      <c r="R23" s="537">
        <v>0</v>
      </c>
    </row>
    <row r="24" spans="1:18" x14ac:dyDescent="0.25">
      <c r="A24" s="647">
        <v>20</v>
      </c>
      <c r="B24" s="524" t="s">
        <v>175</v>
      </c>
      <c r="C24" s="523" t="s">
        <v>189</v>
      </c>
      <c r="D24" s="525">
        <v>1132579.8100000003</v>
      </c>
      <c r="E24" s="703">
        <v>93540.76</v>
      </c>
      <c r="F24" s="673">
        <v>94458.1</v>
      </c>
      <c r="G24" s="557"/>
      <c r="H24" s="666"/>
      <c r="I24" s="557"/>
      <c r="J24" s="673"/>
      <c r="K24" s="558"/>
      <c r="L24" s="558"/>
      <c r="M24" s="559"/>
      <c r="N24" s="526"/>
      <c r="O24" s="555"/>
      <c r="Q24" s="526">
        <f t="shared" si="0"/>
        <v>187998.86</v>
      </c>
      <c r="R24" s="537">
        <v>0</v>
      </c>
    </row>
    <row r="25" spans="1:18" x14ac:dyDescent="0.25">
      <c r="A25" s="647">
        <v>21</v>
      </c>
      <c r="B25" s="524" t="s">
        <v>176</v>
      </c>
      <c r="C25" s="523" t="s">
        <v>206</v>
      </c>
      <c r="D25" s="525">
        <v>3550532.1600000006</v>
      </c>
      <c r="E25" s="703">
        <v>291401.55</v>
      </c>
      <c r="F25" s="673">
        <v>296284.59999999998</v>
      </c>
      <c r="G25" s="557"/>
      <c r="H25" s="666"/>
      <c r="I25" s="557"/>
      <c r="J25" s="673"/>
      <c r="K25" s="558"/>
      <c r="L25" s="558"/>
      <c r="M25" s="559"/>
      <c r="N25" s="526"/>
      <c r="O25" s="555"/>
      <c r="Q25" s="526">
        <f t="shared" si="0"/>
        <v>587686.14999999991</v>
      </c>
      <c r="R25" s="537">
        <v>0</v>
      </c>
    </row>
    <row r="26" spans="1:18" x14ac:dyDescent="0.25">
      <c r="A26" s="647">
        <v>22</v>
      </c>
      <c r="B26" s="524" t="s">
        <v>177</v>
      </c>
      <c r="C26" s="523" t="s">
        <v>207</v>
      </c>
      <c r="D26" s="525">
        <v>3434816.54</v>
      </c>
      <c r="E26" s="703">
        <v>282765.64</v>
      </c>
      <c r="F26" s="673">
        <v>286550.08</v>
      </c>
      <c r="G26" s="557"/>
      <c r="H26" s="666"/>
      <c r="I26" s="557"/>
      <c r="J26" s="673"/>
      <c r="K26" s="558"/>
      <c r="L26" s="558"/>
      <c r="M26" s="559"/>
      <c r="N26" s="526"/>
      <c r="O26" s="555"/>
      <c r="Q26" s="526">
        <f t="shared" si="0"/>
        <v>569315.72</v>
      </c>
      <c r="R26" s="537">
        <v>0</v>
      </c>
    </row>
    <row r="27" spans="1:18" x14ac:dyDescent="0.25">
      <c r="A27" s="647">
        <v>23</v>
      </c>
      <c r="B27" s="524" t="s">
        <v>178</v>
      </c>
      <c r="C27" s="523" t="s">
        <v>208</v>
      </c>
      <c r="D27" s="525">
        <v>3841654.26</v>
      </c>
      <c r="E27" s="703">
        <v>318686.65000000002</v>
      </c>
      <c r="F27" s="673">
        <v>320269.78000000003</v>
      </c>
      <c r="G27" s="557"/>
      <c r="H27" s="666"/>
      <c r="I27" s="557"/>
      <c r="J27" s="673"/>
      <c r="K27" s="558"/>
      <c r="L27" s="558"/>
      <c r="M27" s="559"/>
      <c r="N27" s="526"/>
      <c r="O27" s="555"/>
      <c r="Q27" s="526">
        <f t="shared" si="0"/>
        <v>638956.43000000005</v>
      </c>
      <c r="R27" s="537">
        <v>0</v>
      </c>
    </row>
    <row r="28" spans="1:18" x14ac:dyDescent="0.25">
      <c r="A28" s="647">
        <v>24</v>
      </c>
      <c r="B28" s="524" t="s">
        <v>179</v>
      </c>
      <c r="C28" s="523" t="s">
        <v>210</v>
      </c>
      <c r="D28" s="525">
        <v>8841825.3200000003</v>
      </c>
      <c r="E28" s="703">
        <v>727291.13</v>
      </c>
      <c r="F28" s="673">
        <v>737684.93</v>
      </c>
      <c r="G28" s="557"/>
      <c r="H28" s="666"/>
      <c r="I28" s="557"/>
      <c r="J28" s="673"/>
      <c r="K28" s="558"/>
      <c r="L28" s="558"/>
      <c r="M28" s="559"/>
      <c r="N28" s="526"/>
      <c r="O28" s="555"/>
      <c r="Q28" s="526">
        <f t="shared" si="0"/>
        <v>1464976.06</v>
      </c>
      <c r="R28" s="537">
        <v>0</v>
      </c>
    </row>
    <row r="29" spans="1:18" x14ac:dyDescent="0.25">
      <c r="A29" s="647">
        <v>25</v>
      </c>
      <c r="B29" s="524">
        <v>3441</v>
      </c>
      <c r="C29" s="523" t="s">
        <v>228</v>
      </c>
      <c r="D29" s="525">
        <v>4458303.79</v>
      </c>
      <c r="E29" s="703">
        <v>365051.77</v>
      </c>
      <c r="F29" s="673">
        <v>372113.82</v>
      </c>
      <c r="G29" s="557"/>
      <c r="H29" s="666"/>
      <c r="I29" s="557"/>
      <c r="J29" s="673"/>
      <c r="K29" s="558"/>
      <c r="L29" s="558"/>
      <c r="M29" s="559"/>
      <c r="N29" s="526"/>
      <c r="O29" s="555"/>
      <c r="Q29" s="526">
        <f t="shared" si="0"/>
        <v>737165.59000000008</v>
      </c>
      <c r="R29" s="537">
        <v>0</v>
      </c>
    </row>
    <row r="30" spans="1:18" x14ac:dyDescent="0.25">
      <c r="A30" s="647">
        <v>26</v>
      </c>
      <c r="B30" s="524">
        <v>3924</v>
      </c>
      <c r="C30" s="523" t="s">
        <v>376</v>
      </c>
      <c r="D30" s="525">
        <v>3693471.08</v>
      </c>
      <c r="E30" s="703">
        <v>303122.37</v>
      </c>
      <c r="F30" s="673">
        <v>308213.52</v>
      </c>
      <c r="G30" s="557"/>
      <c r="H30" s="666"/>
      <c r="I30" s="557"/>
      <c r="J30" s="673"/>
      <c r="K30" s="558"/>
      <c r="L30" s="558"/>
      <c r="M30" s="559"/>
      <c r="N30" s="526"/>
      <c r="O30" s="555"/>
      <c r="Q30" s="526">
        <f t="shared" si="0"/>
        <v>611335.89</v>
      </c>
      <c r="R30" s="537">
        <v>0</v>
      </c>
    </row>
    <row r="31" spans="1:18" x14ac:dyDescent="0.25">
      <c r="A31" s="647">
        <v>27</v>
      </c>
      <c r="B31" s="524" t="s">
        <v>180</v>
      </c>
      <c r="C31" s="523" t="s">
        <v>191</v>
      </c>
      <c r="D31" s="525">
        <v>2020244.56</v>
      </c>
      <c r="E31" s="703">
        <v>166503.70000000001</v>
      </c>
      <c r="F31" s="673">
        <v>168521.9</v>
      </c>
      <c r="G31" s="557"/>
      <c r="H31" s="666"/>
      <c r="I31" s="557"/>
      <c r="J31" s="673"/>
      <c r="K31" s="558"/>
      <c r="L31" s="558"/>
      <c r="M31" s="559"/>
      <c r="N31" s="526"/>
      <c r="O31" s="555"/>
      <c r="Q31" s="526">
        <f t="shared" si="0"/>
        <v>335025.59999999998</v>
      </c>
      <c r="R31" s="537">
        <v>0</v>
      </c>
    </row>
    <row r="32" spans="1:18" x14ac:dyDescent="0.25">
      <c r="A32" s="647">
        <v>28</v>
      </c>
      <c r="B32" s="564" t="s">
        <v>181</v>
      </c>
      <c r="C32" s="563" t="s">
        <v>201</v>
      </c>
      <c r="D32" s="562">
        <v>0</v>
      </c>
      <c r="E32" s="704"/>
      <c r="F32" s="744">
        <v>0</v>
      </c>
      <c r="G32" s="562"/>
      <c r="H32" s="671"/>
      <c r="I32" s="562"/>
      <c r="J32" s="673"/>
      <c r="K32" s="558"/>
      <c r="L32" s="558"/>
      <c r="M32" s="559"/>
      <c r="N32" s="526"/>
      <c r="O32" s="555"/>
      <c r="Q32" s="526">
        <f t="shared" si="0"/>
        <v>0</v>
      </c>
      <c r="R32" s="537">
        <v>0</v>
      </c>
    </row>
    <row r="33" spans="1:18" x14ac:dyDescent="0.25">
      <c r="A33" s="647">
        <v>29</v>
      </c>
      <c r="B33" s="524" t="s">
        <v>182</v>
      </c>
      <c r="C33" s="523" t="s">
        <v>341</v>
      </c>
      <c r="D33" s="525">
        <v>5099211.84</v>
      </c>
      <c r="E33" s="703">
        <v>418200.93</v>
      </c>
      <c r="F33" s="673">
        <v>425546.45</v>
      </c>
      <c r="G33" s="557"/>
      <c r="H33" s="666"/>
      <c r="I33" s="557"/>
      <c r="J33" s="673"/>
      <c r="K33" s="558"/>
      <c r="L33" s="558"/>
      <c r="M33" s="559"/>
      <c r="N33" s="526"/>
      <c r="O33" s="555"/>
      <c r="Q33" s="526">
        <f t="shared" si="0"/>
        <v>843747.38</v>
      </c>
      <c r="R33" s="537">
        <v>0</v>
      </c>
    </row>
    <row r="34" spans="1:18" x14ac:dyDescent="0.25">
      <c r="A34" s="647">
        <v>30</v>
      </c>
      <c r="B34" s="524" t="s">
        <v>183</v>
      </c>
      <c r="C34" s="523" t="s">
        <v>219</v>
      </c>
      <c r="D34" s="525">
        <v>5914578.1399999997</v>
      </c>
      <c r="E34" s="703">
        <v>486040.8</v>
      </c>
      <c r="F34" s="673">
        <v>493503.39</v>
      </c>
      <c r="G34" s="557"/>
      <c r="H34" s="666"/>
      <c r="I34" s="557"/>
      <c r="J34" s="673"/>
      <c r="K34" s="558"/>
      <c r="L34" s="558"/>
      <c r="M34" s="559"/>
      <c r="N34" s="526"/>
      <c r="O34" s="555"/>
      <c r="Q34" s="526">
        <f t="shared" si="0"/>
        <v>979544.19</v>
      </c>
      <c r="R34" s="537">
        <v>0</v>
      </c>
    </row>
    <row r="35" spans="1:18" x14ac:dyDescent="0.25">
      <c r="A35" s="647">
        <v>31</v>
      </c>
      <c r="B35" s="524">
        <v>4002</v>
      </c>
      <c r="C35" s="523" t="s">
        <v>218</v>
      </c>
      <c r="D35" s="525">
        <v>8574250.8399999999</v>
      </c>
      <c r="E35" s="703">
        <v>707326.89</v>
      </c>
      <c r="F35" s="673">
        <v>715174.9</v>
      </c>
      <c r="G35" s="557"/>
      <c r="H35" s="666"/>
      <c r="I35" s="557"/>
      <c r="J35" s="673"/>
      <c r="K35" s="558"/>
      <c r="L35" s="558"/>
      <c r="M35" s="559"/>
      <c r="N35" s="526"/>
      <c r="O35" s="555"/>
      <c r="Q35" s="526">
        <f t="shared" si="0"/>
        <v>1422501.79</v>
      </c>
      <c r="R35" s="537">
        <v>0</v>
      </c>
    </row>
    <row r="36" spans="1:18" x14ac:dyDescent="0.25">
      <c r="A36" s="647">
        <v>32</v>
      </c>
      <c r="B36" s="524">
        <v>4012</v>
      </c>
      <c r="C36" s="523" t="s">
        <v>221</v>
      </c>
      <c r="D36" s="525">
        <v>4904770.5200000005</v>
      </c>
      <c r="E36" s="703">
        <v>401311.12</v>
      </c>
      <c r="F36" s="673">
        <v>409405.4</v>
      </c>
      <c r="G36" s="557"/>
      <c r="H36" s="666"/>
      <c r="I36" s="557"/>
      <c r="J36" s="673"/>
      <c r="K36" s="558"/>
      <c r="L36" s="558"/>
      <c r="M36" s="559"/>
      <c r="N36" s="526"/>
      <c r="O36" s="555"/>
      <c r="Q36" s="526">
        <f t="shared" si="0"/>
        <v>810716.52</v>
      </c>
      <c r="R36" s="537">
        <v>0</v>
      </c>
    </row>
    <row r="37" spans="1:18" x14ac:dyDescent="0.25">
      <c r="A37" s="647">
        <v>33</v>
      </c>
      <c r="B37" s="524">
        <v>4013</v>
      </c>
      <c r="C37" s="523" t="s">
        <v>223</v>
      </c>
      <c r="D37" s="525">
        <v>8119848.8800000008</v>
      </c>
      <c r="E37" s="703">
        <v>667648.91</v>
      </c>
      <c r="F37" s="673">
        <v>677472.72</v>
      </c>
      <c r="G37" s="557"/>
      <c r="H37" s="666"/>
      <c r="I37" s="557"/>
      <c r="J37" s="673"/>
      <c r="K37" s="558"/>
      <c r="L37" s="558"/>
      <c r="M37" s="559"/>
      <c r="N37" s="526"/>
      <c r="O37" s="555"/>
      <c r="Q37" s="526">
        <f t="shared" si="0"/>
        <v>1345121.63</v>
      </c>
      <c r="R37" s="537">
        <v>0</v>
      </c>
    </row>
    <row r="38" spans="1:18" x14ac:dyDescent="0.25">
      <c r="A38" s="647">
        <v>34</v>
      </c>
      <c r="B38" s="524">
        <v>4020</v>
      </c>
      <c r="C38" s="523" t="s">
        <v>347</v>
      </c>
      <c r="D38" s="525">
        <v>10867277.120000001</v>
      </c>
      <c r="E38" s="703">
        <v>892802.19</v>
      </c>
      <c r="F38" s="673">
        <v>906770.45</v>
      </c>
      <c r="G38" s="557"/>
      <c r="H38" s="666"/>
      <c r="I38" s="557"/>
      <c r="J38" s="673"/>
      <c r="K38" s="558"/>
      <c r="L38" s="558"/>
      <c r="M38" s="559"/>
      <c r="N38" s="526"/>
      <c r="O38" s="555"/>
      <c r="Q38" s="526">
        <f t="shared" si="0"/>
        <v>1799572.64</v>
      </c>
      <c r="R38" s="537">
        <v>0</v>
      </c>
    </row>
    <row r="39" spans="1:18" x14ac:dyDescent="0.25">
      <c r="A39" s="647">
        <v>35</v>
      </c>
      <c r="B39" s="524">
        <v>4030</v>
      </c>
      <c r="C39" s="523" t="s">
        <v>335</v>
      </c>
      <c r="D39" s="525">
        <v>2619365.38</v>
      </c>
      <c r="E39" s="703">
        <v>216879.02</v>
      </c>
      <c r="F39" s="673">
        <v>218407.85</v>
      </c>
      <c r="G39" s="557"/>
      <c r="H39" s="666"/>
      <c r="I39" s="557"/>
      <c r="J39" s="673"/>
      <c r="K39" s="558"/>
      <c r="L39" s="558"/>
      <c r="M39" s="559"/>
      <c r="N39" s="526"/>
      <c r="O39" s="555"/>
      <c r="Q39" s="526">
        <f t="shared" si="0"/>
        <v>435286.87</v>
      </c>
      <c r="R39" s="537">
        <v>0</v>
      </c>
    </row>
    <row r="40" spans="1:18" x14ac:dyDescent="0.25">
      <c r="A40" s="647">
        <v>36</v>
      </c>
      <c r="B40" s="524">
        <v>4031</v>
      </c>
      <c r="C40" s="523" t="s">
        <v>352</v>
      </c>
      <c r="D40" s="525">
        <v>3914815.85</v>
      </c>
      <c r="E40" s="703">
        <v>322483.34000000003</v>
      </c>
      <c r="F40" s="673">
        <v>326575.68</v>
      </c>
      <c r="G40" s="557"/>
      <c r="H40" s="666"/>
      <c r="I40" s="557"/>
      <c r="J40" s="673"/>
      <c r="K40" s="558"/>
      <c r="L40" s="558"/>
      <c r="M40" s="559"/>
      <c r="N40" s="526"/>
      <c r="O40" s="555"/>
      <c r="Q40" s="526">
        <f t="shared" si="0"/>
        <v>649059.02</v>
      </c>
      <c r="R40" s="537">
        <v>0</v>
      </c>
    </row>
    <row r="41" spans="1:18" x14ac:dyDescent="0.25">
      <c r="A41" s="647">
        <v>37</v>
      </c>
      <c r="B41" s="524">
        <v>4041</v>
      </c>
      <c r="C41" s="523" t="s">
        <v>225</v>
      </c>
      <c r="D41" s="525">
        <v>775960.87</v>
      </c>
      <c r="E41" s="703">
        <v>63488.77</v>
      </c>
      <c r="F41" s="673">
        <v>64770.19</v>
      </c>
      <c r="G41" s="557"/>
      <c r="H41" s="666"/>
      <c r="I41" s="557"/>
      <c r="J41" s="673"/>
      <c r="K41" s="558"/>
      <c r="L41" s="558"/>
      <c r="M41" s="559"/>
      <c r="N41" s="526"/>
      <c r="O41" s="555"/>
      <c r="Q41" s="526">
        <f t="shared" si="0"/>
        <v>128258.95999999999</v>
      </c>
      <c r="R41" s="537">
        <v>0</v>
      </c>
    </row>
    <row r="42" spans="1:18" x14ac:dyDescent="0.25">
      <c r="A42" s="647">
        <v>38</v>
      </c>
      <c r="B42" s="524">
        <v>4050</v>
      </c>
      <c r="C42" s="523" t="s">
        <v>216</v>
      </c>
      <c r="D42" s="525">
        <v>6227871.4299999988</v>
      </c>
      <c r="E42" s="703">
        <v>512294.34</v>
      </c>
      <c r="F42" s="673">
        <v>519597.92</v>
      </c>
      <c r="G42" s="557"/>
      <c r="H42" s="666"/>
      <c r="I42" s="557"/>
      <c r="J42" s="673"/>
      <c r="K42" s="558"/>
      <c r="L42" s="558"/>
      <c r="M42" s="559"/>
      <c r="N42" s="526"/>
      <c r="O42" s="555"/>
      <c r="Q42" s="526">
        <f t="shared" si="0"/>
        <v>1031892.26</v>
      </c>
      <c r="R42" s="537">
        <v>0</v>
      </c>
    </row>
    <row r="43" spans="1:18" x14ac:dyDescent="0.25">
      <c r="A43" s="647">
        <v>39</v>
      </c>
      <c r="B43" s="524">
        <v>4051</v>
      </c>
      <c r="C43" s="523" t="s">
        <v>214</v>
      </c>
      <c r="D43" s="525">
        <v>6573895.1500000013</v>
      </c>
      <c r="E43" s="703">
        <v>541173.16</v>
      </c>
      <c r="F43" s="673">
        <v>548429.27</v>
      </c>
      <c r="G43" s="557"/>
      <c r="H43" s="666"/>
      <c r="I43" s="557"/>
      <c r="J43" s="673"/>
      <c r="K43" s="558"/>
      <c r="L43" s="558"/>
      <c r="M43" s="559"/>
      <c r="N43" s="526"/>
      <c r="O43" s="555"/>
      <c r="Q43" s="526">
        <f t="shared" si="0"/>
        <v>1089602.4300000002</v>
      </c>
      <c r="R43" s="537">
        <v>0</v>
      </c>
    </row>
    <row r="44" spans="1:18" x14ac:dyDescent="0.25">
      <c r="A44" s="647">
        <v>40</v>
      </c>
      <c r="B44" s="524">
        <v>4061</v>
      </c>
      <c r="C44" s="523" t="s">
        <v>349</v>
      </c>
      <c r="D44" s="525">
        <v>8356896.4500000002</v>
      </c>
      <c r="E44" s="703">
        <v>686342</v>
      </c>
      <c r="F44" s="673">
        <v>697323.13</v>
      </c>
      <c r="G44" s="557"/>
      <c r="H44" s="666"/>
      <c r="I44" s="557"/>
      <c r="J44" s="673"/>
      <c r="K44" s="558"/>
      <c r="L44" s="558"/>
      <c r="M44" s="559"/>
      <c r="N44" s="526"/>
      <c r="O44" s="555"/>
      <c r="Q44" s="526">
        <f t="shared" si="0"/>
        <v>1383665.13</v>
      </c>
      <c r="R44" s="537">
        <v>0</v>
      </c>
    </row>
    <row r="45" spans="1:18" x14ac:dyDescent="0.25">
      <c r="A45" s="647">
        <v>41</v>
      </c>
      <c r="B45" s="524">
        <v>4080</v>
      </c>
      <c r="C45" s="523" t="s">
        <v>237</v>
      </c>
      <c r="D45" s="750">
        <v>166059.87</v>
      </c>
      <c r="E45" s="751">
        <v>166059.87</v>
      </c>
      <c r="F45" s="673">
        <v>0</v>
      </c>
      <c r="G45" s="557"/>
      <c r="H45" s="666"/>
      <c r="I45" s="557"/>
      <c r="J45" s="673"/>
      <c r="K45" s="558"/>
      <c r="L45" s="558"/>
      <c r="M45" s="559"/>
      <c r="N45" s="526"/>
      <c r="O45" s="555"/>
      <c r="Q45" s="526">
        <f t="shared" si="0"/>
        <v>166059.87</v>
      </c>
      <c r="R45" s="537">
        <v>0</v>
      </c>
    </row>
    <row r="46" spans="1:18" x14ac:dyDescent="0.25">
      <c r="A46" s="647">
        <v>42</v>
      </c>
      <c r="B46" s="524">
        <v>4081</v>
      </c>
      <c r="C46" s="523" t="s">
        <v>234</v>
      </c>
      <c r="D46" s="525">
        <v>1014899.57</v>
      </c>
      <c r="E46" s="703">
        <v>83555.86</v>
      </c>
      <c r="F46" s="673">
        <v>84667.61</v>
      </c>
      <c r="G46" s="557"/>
      <c r="H46" s="666"/>
      <c r="I46" s="557"/>
      <c r="J46" s="673"/>
      <c r="K46" s="558"/>
      <c r="L46" s="558"/>
      <c r="M46" s="559"/>
      <c r="N46" s="526"/>
      <c r="O46" s="555"/>
      <c r="Q46" s="526">
        <f t="shared" si="0"/>
        <v>168223.47</v>
      </c>
      <c r="R46" s="537">
        <v>0</v>
      </c>
    </row>
    <row r="47" spans="1:18" x14ac:dyDescent="0.25">
      <c r="A47" s="647">
        <v>43</v>
      </c>
      <c r="B47" s="524">
        <v>4090</v>
      </c>
      <c r="C47" s="523" t="s">
        <v>297</v>
      </c>
      <c r="D47" s="525">
        <v>2220850.8499999996</v>
      </c>
      <c r="E47" s="703">
        <v>182095.15</v>
      </c>
      <c r="F47" s="673">
        <v>185341.43</v>
      </c>
      <c r="G47" s="557"/>
      <c r="H47" s="666"/>
      <c r="I47" s="557"/>
      <c r="J47" s="673"/>
      <c r="K47" s="558"/>
      <c r="L47" s="558"/>
      <c r="M47" s="559"/>
      <c r="N47" s="526"/>
      <c r="O47" s="555"/>
      <c r="Q47" s="526">
        <f>SUM(E47:P47)</f>
        <v>367436.57999999996</v>
      </c>
      <c r="R47" s="537">
        <v>0</v>
      </c>
    </row>
    <row r="48" spans="1:18" x14ac:dyDescent="0.25">
      <c r="A48" s="647">
        <v>44</v>
      </c>
      <c r="B48" s="524">
        <v>4091</v>
      </c>
      <c r="C48" s="523" t="s">
        <v>275</v>
      </c>
      <c r="D48" s="525">
        <v>3463844.94</v>
      </c>
      <c r="E48" s="703">
        <v>285991.09999999998</v>
      </c>
      <c r="F48" s="673">
        <v>288895.8</v>
      </c>
      <c r="G48" s="557"/>
      <c r="H48" s="666"/>
      <c r="I48" s="557"/>
      <c r="J48" s="673"/>
      <c r="K48" s="558"/>
      <c r="L48" s="558"/>
      <c r="M48" s="559"/>
      <c r="N48" s="526"/>
      <c r="O48" s="555"/>
      <c r="Q48" s="526">
        <f t="shared" si="0"/>
        <v>574886.89999999991</v>
      </c>
      <c r="R48" s="537">
        <v>0</v>
      </c>
    </row>
    <row r="49" spans="1:26" x14ac:dyDescent="0.25">
      <c r="A49" s="647">
        <v>45</v>
      </c>
      <c r="B49" s="524">
        <v>4100</v>
      </c>
      <c r="C49" s="523" t="s">
        <v>298</v>
      </c>
      <c r="D49" s="525">
        <v>3845172.95</v>
      </c>
      <c r="E49" s="703">
        <v>312807.54399999999</v>
      </c>
      <c r="F49" s="673">
        <v>321124.13</v>
      </c>
      <c r="G49" s="557"/>
      <c r="H49" s="666"/>
      <c r="I49" s="557"/>
      <c r="J49" s="673"/>
      <c r="K49" s="558"/>
      <c r="L49" s="558"/>
      <c r="M49" s="559"/>
      <c r="N49" s="526"/>
      <c r="O49" s="555"/>
      <c r="Q49" s="526">
        <f t="shared" si="0"/>
        <v>633931.674</v>
      </c>
      <c r="R49" s="537">
        <v>0</v>
      </c>
    </row>
    <row r="50" spans="1:26" x14ac:dyDescent="0.25">
      <c r="A50" s="647">
        <v>46</v>
      </c>
      <c r="B50" s="564">
        <v>4102</v>
      </c>
      <c r="C50" s="563" t="s">
        <v>299</v>
      </c>
      <c r="D50" s="562">
        <v>1168940.7700000003</v>
      </c>
      <c r="E50" s="704">
        <v>95722.880000000005</v>
      </c>
      <c r="F50" s="744">
        <v>97565.26</v>
      </c>
      <c r="G50" s="562"/>
      <c r="H50" s="671"/>
      <c r="I50" s="562"/>
      <c r="J50" s="673"/>
      <c r="K50" s="558"/>
      <c r="L50" s="558"/>
      <c r="M50" s="559"/>
      <c r="N50" s="526"/>
      <c r="O50" s="555"/>
      <c r="Q50" s="526">
        <f t="shared" si="0"/>
        <v>193288.14</v>
      </c>
      <c r="R50" s="537">
        <v>0</v>
      </c>
      <c r="S50" s="567"/>
      <c r="T50" s="568"/>
      <c r="U50" s="568"/>
      <c r="V50" s="568"/>
      <c r="W50" s="568"/>
      <c r="X50" s="568"/>
      <c r="Y50" s="568"/>
      <c r="Z50" s="568"/>
    </row>
    <row r="51" spans="1:26" x14ac:dyDescent="0.25">
      <c r="A51" s="647">
        <v>47</v>
      </c>
      <c r="B51" s="524">
        <v>4103</v>
      </c>
      <c r="C51" s="523" t="s">
        <v>324</v>
      </c>
      <c r="D51" s="525">
        <v>8031180.3499999996</v>
      </c>
      <c r="E51" s="703">
        <v>660664.68999999994</v>
      </c>
      <c r="F51" s="673">
        <v>670046.88</v>
      </c>
      <c r="G51" s="557"/>
      <c r="H51" s="666"/>
      <c r="I51" s="557"/>
      <c r="J51" s="673"/>
      <c r="K51" s="558"/>
      <c r="L51" s="558"/>
      <c r="M51" s="559"/>
      <c r="N51" s="537"/>
      <c r="O51" s="559"/>
      <c r="P51" s="559"/>
      <c r="Q51" s="526">
        <f t="shared" si="0"/>
        <v>1330711.5699999998</v>
      </c>
      <c r="R51" s="537">
        <v>0</v>
      </c>
    </row>
    <row r="52" spans="1:26" x14ac:dyDescent="0.25">
      <c r="A52" s="647">
        <v>48</v>
      </c>
      <c r="B52" s="524">
        <v>4111</v>
      </c>
      <c r="C52" s="523" t="s">
        <v>342</v>
      </c>
      <c r="D52" s="525">
        <v>2429371.5800000005</v>
      </c>
      <c r="E52" s="703">
        <v>200228.99</v>
      </c>
      <c r="F52" s="673">
        <v>202649.33</v>
      </c>
      <c r="G52" s="557"/>
      <c r="H52" s="666"/>
      <c r="I52" s="557"/>
      <c r="J52" s="673"/>
      <c r="K52" s="558"/>
      <c r="L52" s="558"/>
      <c r="M52" s="559"/>
      <c r="N52" s="526"/>
      <c r="O52" s="555"/>
      <c r="Q52" s="526">
        <f t="shared" si="0"/>
        <v>402878.31999999995</v>
      </c>
      <c r="R52" s="537">
        <v>0</v>
      </c>
    </row>
    <row r="53" spans="1:26" x14ac:dyDescent="0.25">
      <c r="A53" s="647">
        <v>49</v>
      </c>
      <c r="B53" s="524">
        <v>4131</v>
      </c>
      <c r="C53" s="523" t="s">
        <v>374</v>
      </c>
      <c r="D53" s="525">
        <v>803834.34000000008</v>
      </c>
      <c r="E53" s="703">
        <v>66112.399999999994</v>
      </c>
      <c r="F53" s="673">
        <v>67065.63</v>
      </c>
      <c r="G53" s="557"/>
      <c r="H53" s="666"/>
      <c r="I53" s="557"/>
      <c r="J53" s="673"/>
      <c r="K53" s="558"/>
      <c r="L53" s="558"/>
      <c r="M53" s="559"/>
      <c r="N53" s="526"/>
      <c r="O53" s="555"/>
      <c r="Q53" s="526">
        <f t="shared" si="0"/>
        <v>133178.03</v>
      </c>
      <c r="R53" s="537">
        <v>0</v>
      </c>
    </row>
    <row r="54" spans="1:26" x14ac:dyDescent="0.25">
      <c r="E54" s="527"/>
      <c r="J54" s="675"/>
      <c r="L54" s="555"/>
      <c r="R54" s="537">
        <f t="shared" ref="R54" si="1">SUM(E54:E54)</f>
        <v>0</v>
      </c>
    </row>
    <row r="55" spans="1:26" x14ac:dyDescent="0.25">
      <c r="D55" s="525">
        <f>SUM(D5:D54)</f>
        <v>203812867.85000002</v>
      </c>
      <c r="E55" s="527">
        <f>SUM(E5:E54)</f>
        <v>16906713.023999993</v>
      </c>
      <c r="F55" s="527">
        <f>SUM(F5:F54)</f>
        <v>16991468.589999996</v>
      </c>
      <c r="G55" s="525">
        <f>SUM(G7:G54)</f>
        <v>0</v>
      </c>
      <c r="H55" s="525">
        <f t="shared" ref="H55:P55" si="2">SUM(H5:H54)</f>
        <v>0</v>
      </c>
      <c r="I55" s="525">
        <f t="shared" si="2"/>
        <v>0</v>
      </c>
      <c r="J55" s="538">
        <f t="shared" si="2"/>
        <v>0</v>
      </c>
      <c r="K55" s="538">
        <f t="shared" si="2"/>
        <v>0</v>
      </c>
      <c r="L55" s="681">
        <f t="shared" si="2"/>
        <v>0</v>
      </c>
      <c r="M55" s="525">
        <f t="shared" si="2"/>
        <v>0</v>
      </c>
      <c r="N55" s="525">
        <f t="shared" si="2"/>
        <v>0</v>
      </c>
      <c r="O55" s="525">
        <f t="shared" si="2"/>
        <v>0</v>
      </c>
      <c r="P55" s="681">
        <f t="shared" si="2"/>
        <v>0</v>
      </c>
      <c r="Q55" s="525">
        <f>SUM(Q5:Q54)</f>
        <v>33898181.614</v>
      </c>
      <c r="R55" s="537">
        <f>SUM(E55:E55)</f>
        <v>16906713.023999993</v>
      </c>
    </row>
    <row r="57" spans="1:26" x14ac:dyDescent="0.25">
      <c r="B57" s="752"/>
      <c r="C57" s="753" t="s">
        <v>559</v>
      </c>
      <c r="I57" s="534" t="s">
        <v>294</v>
      </c>
      <c r="J57" s="527">
        <f>'Annual Rev &amp; Fees'!L63</f>
        <v>203646807.98000008</v>
      </c>
      <c r="L57" s="528"/>
    </row>
    <row r="58" spans="1:26" x14ac:dyDescent="0.25">
      <c r="I58" s="534" t="s">
        <v>503</v>
      </c>
      <c r="J58" s="530">
        <f>D55-E55</f>
        <v>186906154.82600003</v>
      </c>
      <c r="L58" s="528"/>
    </row>
    <row r="59" spans="1:26" x14ac:dyDescent="0.25">
      <c r="I59" s="534" t="s">
        <v>504</v>
      </c>
      <c r="J59" s="529">
        <f>J58/11</f>
        <v>16991468.620545458</v>
      </c>
      <c r="K59" s="539"/>
      <c r="L59" s="528"/>
    </row>
    <row r="60" spans="1:26" x14ac:dyDescent="0.25">
      <c r="I60" s="534" t="s">
        <v>505</v>
      </c>
      <c r="J60" s="530">
        <f>F55</f>
        <v>16991468.589999996</v>
      </c>
      <c r="L60" s="528"/>
    </row>
    <row r="61" spans="1:26" x14ac:dyDescent="0.25">
      <c r="J61" s="529">
        <f>J59-J60</f>
        <v>3.0545461922883987E-2</v>
      </c>
      <c r="K61" s="536" t="s">
        <v>501</v>
      </c>
      <c r="L61" s="528"/>
    </row>
    <row r="62" spans="1:26" x14ac:dyDescent="0.25">
      <c r="J62" s="528"/>
      <c r="L62" s="528"/>
    </row>
    <row r="63" spans="1:26" x14ac:dyDescent="0.25">
      <c r="D63" s="540"/>
      <c r="J63" s="528"/>
      <c r="L63" s="528"/>
    </row>
    <row r="67" spans="1:18" x14ac:dyDescent="0.25">
      <c r="N67" s="556" t="s">
        <v>517</v>
      </c>
    </row>
    <row r="69" spans="1:18" ht="45" x14ac:dyDescent="0.25">
      <c r="A69" s="531" t="s">
        <v>328</v>
      </c>
      <c r="B69" s="532" t="s">
        <v>328</v>
      </c>
      <c r="C69" s="531" t="s">
        <v>328</v>
      </c>
      <c r="D69" s="542" t="s">
        <v>294</v>
      </c>
      <c r="E69" s="542" t="s">
        <v>489</v>
      </c>
      <c r="F69" s="532" t="s">
        <v>490</v>
      </c>
      <c r="G69" s="532" t="s">
        <v>491</v>
      </c>
      <c r="H69" s="532" t="s">
        <v>492</v>
      </c>
      <c r="I69" s="532" t="s">
        <v>493</v>
      </c>
      <c r="J69" s="532" t="s">
        <v>494</v>
      </c>
      <c r="K69" s="543" t="s">
        <v>495</v>
      </c>
      <c r="L69" s="532" t="s">
        <v>496</v>
      </c>
      <c r="M69" s="532" t="s">
        <v>497</v>
      </c>
      <c r="N69" s="532" t="s">
        <v>498</v>
      </c>
      <c r="O69" s="532" t="s">
        <v>499</v>
      </c>
      <c r="P69" s="701" t="s">
        <v>500</v>
      </c>
      <c r="Q69" s="532" t="s">
        <v>8</v>
      </c>
      <c r="R69" s="533" t="s">
        <v>502</v>
      </c>
    </row>
    <row r="70" spans="1:18" x14ac:dyDescent="0.25">
      <c r="A70" s="741">
        <v>1</v>
      </c>
      <c r="B70" s="648" t="s">
        <v>526</v>
      </c>
      <c r="C70" s="647" t="s">
        <v>529</v>
      </c>
      <c r="D70" s="668">
        <v>298028.77999999997</v>
      </c>
      <c r="E70" s="668">
        <v>24451.48</v>
      </c>
      <c r="F70" s="532"/>
      <c r="G70" s="532"/>
      <c r="H70" s="669"/>
      <c r="I70" s="672"/>
      <c r="J70" s="679"/>
      <c r="K70" s="680"/>
      <c r="L70" s="680"/>
      <c r="M70" s="690"/>
      <c r="N70" s="691"/>
      <c r="O70" s="700"/>
      <c r="P70" s="701"/>
      <c r="Q70" s="670">
        <f>SUM(E70:P70)</f>
        <v>24451.48</v>
      </c>
      <c r="R70" s="537">
        <f>SUM(E70:E70)</f>
        <v>24451.48</v>
      </c>
    </row>
    <row r="71" spans="1:18" x14ac:dyDescent="0.25">
      <c r="A71" s="741">
        <v>2</v>
      </c>
      <c r="B71" s="648" t="s">
        <v>527</v>
      </c>
      <c r="C71" s="647" t="s">
        <v>530</v>
      </c>
      <c r="D71" s="668">
        <v>267259.57</v>
      </c>
      <c r="E71" s="668">
        <v>22293.06</v>
      </c>
      <c r="F71" s="532"/>
      <c r="G71" s="532"/>
      <c r="H71" s="669"/>
      <c r="I71" s="672"/>
      <c r="J71" s="679"/>
      <c r="K71" s="680"/>
      <c r="L71" s="680"/>
      <c r="M71" s="690"/>
      <c r="N71" s="691"/>
      <c r="O71" s="700"/>
      <c r="P71" s="701"/>
      <c r="Q71" s="670">
        <f>SUM(E71:P71)</f>
        <v>22293.06</v>
      </c>
      <c r="R71" s="537">
        <f t="shared" ref="R71:R115" si="3">SUM(E71:E71)</f>
        <v>22293.06</v>
      </c>
    </row>
    <row r="72" spans="1:18" x14ac:dyDescent="0.25">
      <c r="A72" s="741">
        <v>3</v>
      </c>
      <c r="B72" s="524" t="s">
        <v>158</v>
      </c>
      <c r="C72" s="523" t="s">
        <v>190</v>
      </c>
      <c r="D72" s="525">
        <v>5905730.7300000004</v>
      </c>
      <c r="E72" s="527">
        <v>485398.34</v>
      </c>
      <c r="F72" s="557"/>
      <c r="G72" s="557"/>
      <c r="H72" s="557"/>
      <c r="I72" s="673"/>
      <c r="J72" s="673"/>
      <c r="K72" s="558"/>
      <c r="L72" s="559"/>
      <c r="M72" s="559"/>
      <c r="N72" s="559"/>
      <c r="O72" s="555"/>
      <c r="Q72" s="670">
        <f>SUM(E72:P72)</f>
        <v>485398.34</v>
      </c>
      <c r="R72" s="537">
        <f t="shared" si="3"/>
        <v>485398.34</v>
      </c>
    </row>
    <row r="73" spans="1:18" x14ac:dyDescent="0.25">
      <c r="A73" s="741">
        <v>4</v>
      </c>
      <c r="B73" s="524" t="s">
        <v>159</v>
      </c>
      <c r="C73" s="523" t="s">
        <v>192</v>
      </c>
      <c r="D73" s="525">
        <v>9687740.0200000014</v>
      </c>
      <c r="E73" s="703">
        <v>795164.86</v>
      </c>
      <c r="F73" s="557"/>
      <c r="G73" s="557"/>
      <c r="H73" s="557"/>
      <c r="I73" s="673"/>
      <c r="J73" s="673"/>
      <c r="K73" s="558"/>
      <c r="L73" s="559"/>
      <c r="M73" s="559"/>
      <c r="N73" s="559"/>
      <c r="O73" s="555"/>
      <c r="Q73" s="670">
        <f>SUM(E73:P73)</f>
        <v>795164.86</v>
      </c>
      <c r="R73" s="537">
        <f t="shared" si="3"/>
        <v>795164.86</v>
      </c>
    </row>
    <row r="74" spans="1:18" x14ac:dyDescent="0.25">
      <c r="A74" s="741">
        <v>5</v>
      </c>
      <c r="B74" s="524" t="s">
        <v>160</v>
      </c>
      <c r="C74" s="523" t="s">
        <v>193</v>
      </c>
      <c r="D74" s="525">
        <v>1350384.3499999999</v>
      </c>
      <c r="E74" s="703">
        <v>112200.54</v>
      </c>
      <c r="F74" s="557"/>
      <c r="G74" s="557"/>
      <c r="H74" s="557"/>
      <c r="I74" s="673"/>
      <c r="J74" s="673"/>
      <c r="K74" s="558"/>
      <c r="L74" s="559"/>
      <c r="M74" s="559"/>
      <c r="N74" s="559"/>
      <c r="O74" s="555"/>
      <c r="Q74" s="670">
        <f t="shared" ref="Q74:Q115" si="4">SUM(E74:P74)</f>
        <v>112200.54</v>
      </c>
      <c r="R74" s="537">
        <f t="shared" si="3"/>
        <v>112200.54</v>
      </c>
    </row>
    <row r="75" spans="1:18" x14ac:dyDescent="0.25">
      <c r="A75" s="741">
        <v>6</v>
      </c>
      <c r="B75" s="524" t="s">
        <v>161</v>
      </c>
      <c r="C75" s="523" t="s">
        <v>194</v>
      </c>
      <c r="D75" s="571">
        <v>1583711.73</v>
      </c>
      <c r="E75" s="703">
        <v>128465.38</v>
      </c>
      <c r="F75" s="557"/>
      <c r="G75" s="557"/>
      <c r="H75" s="557"/>
      <c r="I75" s="673"/>
      <c r="J75" s="673"/>
      <c r="K75" s="558"/>
      <c r="L75" s="559"/>
      <c r="M75" s="559"/>
      <c r="N75" s="559"/>
      <c r="O75" s="555"/>
      <c r="Q75" s="670">
        <f t="shared" si="4"/>
        <v>128465.38</v>
      </c>
      <c r="R75" s="537">
        <f t="shared" si="3"/>
        <v>128465.38</v>
      </c>
    </row>
    <row r="76" spans="1:18" x14ac:dyDescent="0.25">
      <c r="A76" s="741">
        <v>7</v>
      </c>
      <c r="B76" s="524" t="s">
        <v>162</v>
      </c>
      <c r="C76" s="523" t="s">
        <v>295</v>
      </c>
      <c r="D76" s="525">
        <v>5346468.25</v>
      </c>
      <c r="E76" s="703">
        <v>440248.86</v>
      </c>
      <c r="F76" s="557"/>
      <c r="G76" s="557"/>
      <c r="H76" s="557"/>
      <c r="I76" s="673"/>
      <c r="J76" s="673"/>
      <c r="K76" s="558"/>
      <c r="L76" s="559"/>
      <c r="M76" s="559"/>
      <c r="N76" s="559"/>
      <c r="O76" s="555"/>
      <c r="Q76" s="670">
        <f t="shared" si="4"/>
        <v>440248.86</v>
      </c>
      <c r="R76" s="537">
        <f t="shared" si="3"/>
        <v>440248.86</v>
      </c>
    </row>
    <row r="77" spans="1:18" x14ac:dyDescent="0.25">
      <c r="A77" s="741">
        <v>8</v>
      </c>
      <c r="B77" s="524" t="s">
        <v>163</v>
      </c>
      <c r="C77" s="523" t="s">
        <v>377</v>
      </c>
      <c r="D77" s="525">
        <v>5255370.76</v>
      </c>
      <c r="E77" s="703">
        <v>433777.9</v>
      </c>
      <c r="F77" s="557"/>
      <c r="G77" s="557"/>
      <c r="H77" s="557"/>
      <c r="I77" s="673"/>
      <c r="J77" s="673"/>
      <c r="K77" s="558"/>
      <c r="L77" s="559"/>
      <c r="M77" s="559"/>
      <c r="N77" s="559"/>
      <c r="O77" s="555"/>
      <c r="Q77" s="670">
        <f t="shared" si="4"/>
        <v>433777.9</v>
      </c>
      <c r="R77" s="537">
        <f t="shared" si="3"/>
        <v>433777.9</v>
      </c>
    </row>
    <row r="78" spans="1:18" x14ac:dyDescent="0.25">
      <c r="A78" s="741">
        <v>9</v>
      </c>
      <c r="B78" s="524" t="s">
        <v>164</v>
      </c>
      <c r="C78" s="523" t="s">
        <v>196</v>
      </c>
      <c r="D78" s="525">
        <v>6152950.2399999993</v>
      </c>
      <c r="E78" s="703">
        <v>505265.93</v>
      </c>
      <c r="F78" s="557"/>
      <c r="G78" s="557"/>
      <c r="H78" s="557"/>
      <c r="I78" s="673"/>
      <c r="J78" s="673"/>
      <c r="K78" s="558"/>
      <c r="L78" s="559"/>
      <c r="M78" s="559"/>
      <c r="N78" s="559"/>
      <c r="O78" s="555"/>
      <c r="Q78" s="670">
        <f t="shared" si="4"/>
        <v>505265.93</v>
      </c>
      <c r="R78" s="537">
        <f t="shared" si="3"/>
        <v>505265.93</v>
      </c>
    </row>
    <row r="79" spans="1:18" x14ac:dyDescent="0.25">
      <c r="A79" s="741">
        <v>10</v>
      </c>
      <c r="B79" s="524" t="s">
        <v>165</v>
      </c>
      <c r="C79" s="523" t="s">
        <v>197</v>
      </c>
      <c r="D79" s="525">
        <v>10423112.100000001</v>
      </c>
      <c r="E79" s="703">
        <v>858865.25</v>
      </c>
      <c r="F79" s="557"/>
      <c r="G79" s="557"/>
      <c r="H79" s="557"/>
      <c r="I79" s="673"/>
      <c r="J79" s="673"/>
      <c r="K79" s="558"/>
      <c r="L79" s="559"/>
      <c r="M79" s="559"/>
      <c r="N79" s="559"/>
      <c r="O79" s="555"/>
      <c r="Q79" s="670">
        <f t="shared" si="4"/>
        <v>858865.25</v>
      </c>
      <c r="R79" s="537">
        <f t="shared" si="3"/>
        <v>858865.25</v>
      </c>
    </row>
    <row r="80" spans="1:18" x14ac:dyDescent="0.25">
      <c r="A80" s="741">
        <v>11</v>
      </c>
      <c r="B80" s="524" t="s">
        <v>166</v>
      </c>
      <c r="C80" s="523" t="s">
        <v>384</v>
      </c>
      <c r="D80" s="525">
        <v>5952516.4199999999</v>
      </c>
      <c r="E80" s="703">
        <v>484859.99</v>
      </c>
      <c r="F80" s="557"/>
      <c r="G80" s="557"/>
      <c r="H80" s="557"/>
      <c r="I80" s="673"/>
      <c r="J80" s="673"/>
      <c r="K80" s="558"/>
      <c r="L80" s="559"/>
      <c r="M80" s="559"/>
      <c r="N80" s="559"/>
      <c r="O80" s="555"/>
      <c r="Q80" s="670">
        <f t="shared" si="4"/>
        <v>484859.99</v>
      </c>
      <c r="R80" s="537">
        <f t="shared" si="3"/>
        <v>484859.99</v>
      </c>
    </row>
    <row r="81" spans="1:18" x14ac:dyDescent="0.25">
      <c r="A81" s="741">
        <v>12</v>
      </c>
      <c r="B81" s="524" t="s">
        <v>167</v>
      </c>
      <c r="C81" s="523" t="s">
        <v>383</v>
      </c>
      <c r="D81" s="525">
        <v>1095429.95</v>
      </c>
      <c r="E81" s="703">
        <v>90419.86</v>
      </c>
      <c r="F81" s="557"/>
      <c r="G81" s="557"/>
      <c r="H81" s="557"/>
      <c r="I81" s="673"/>
      <c r="J81" s="673"/>
      <c r="K81" s="558"/>
      <c r="L81" s="559"/>
      <c r="M81" s="559"/>
      <c r="N81" s="559"/>
      <c r="O81" s="555"/>
      <c r="Q81" s="670">
        <f t="shared" si="4"/>
        <v>90419.86</v>
      </c>
      <c r="R81" s="537">
        <f t="shared" si="3"/>
        <v>90419.86</v>
      </c>
    </row>
    <row r="82" spans="1:18" x14ac:dyDescent="0.25">
      <c r="A82" s="741">
        <v>13</v>
      </c>
      <c r="B82" s="524" t="s">
        <v>168</v>
      </c>
      <c r="C82" s="523" t="s">
        <v>200</v>
      </c>
      <c r="D82" s="525">
        <v>9142489.2800000012</v>
      </c>
      <c r="E82" s="703">
        <v>750894</v>
      </c>
      <c r="F82" s="557"/>
      <c r="G82" s="557"/>
      <c r="H82" s="557"/>
      <c r="I82" s="673"/>
      <c r="J82" s="673"/>
      <c r="K82" s="558"/>
      <c r="L82" s="559"/>
      <c r="M82" s="559"/>
      <c r="N82" s="559"/>
      <c r="O82" s="555"/>
      <c r="Q82" s="670">
        <f t="shared" si="4"/>
        <v>750894</v>
      </c>
      <c r="R82" s="537">
        <f t="shared" si="3"/>
        <v>750894</v>
      </c>
    </row>
    <row r="83" spans="1:18" x14ac:dyDescent="0.25">
      <c r="A83" s="741">
        <v>14</v>
      </c>
      <c r="B83" s="524" t="s">
        <v>169</v>
      </c>
      <c r="C83" s="523" t="s">
        <v>202</v>
      </c>
      <c r="D83" s="525">
        <v>2427071.44</v>
      </c>
      <c r="E83" s="703">
        <v>199480.37</v>
      </c>
      <c r="F83" s="557"/>
      <c r="G83" s="557"/>
      <c r="H83" s="557"/>
      <c r="I83" s="673"/>
      <c r="J83" s="673"/>
      <c r="K83" s="558"/>
      <c r="L83" s="559"/>
      <c r="M83" s="559"/>
      <c r="N83" s="559"/>
      <c r="O83" s="555"/>
      <c r="Q83" s="670">
        <f t="shared" si="4"/>
        <v>199480.37</v>
      </c>
      <c r="R83" s="537">
        <f t="shared" si="3"/>
        <v>199480.37</v>
      </c>
    </row>
    <row r="84" spans="1:18" x14ac:dyDescent="0.25">
      <c r="A84" s="741">
        <v>15</v>
      </c>
      <c r="B84" s="524" t="s">
        <v>170</v>
      </c>
      <c r="C84" s="523" t="s">
        <v>204</v>
      </c>
      <c r="D84" s="571">
        <v>0</v>
      </c>
      <c r="E84" s="703"/>
      <c r="F84" s="557"/>
      <c r="G84" s="557"/>
      <c r="H84" s="557"/>
      <c r="I84" s="673"/>
      <c r="J84" s="673"/>
      <c r="K84" s="558"/>
      <c r="L84" s="559"/>
      <c r="M84" s="559"/>
      <c r="N84" s="559"/>
      <c r="O84" s="555"/>
      <c r="Q84" s="670">
        <f t="shared" si="4"/>
        <v>0</v>
      </c>
      <c r="R84" s="537">
        <f t="shared" si="3"/>
        <v>0</v>
      </c>
    </row>
    <row r="85" spans="1:18" x14ac:dyDescent="0.25">
      <c r="A85" s="741">
        <v>16</v>
      </c>
      <c r="B85" s="524" t="s">
        <v>171</v>
      </c>
      <c r="C85" s="523" t="s">
        <v>205</v>
      </c>
      <c r="D85" s="525">
        <v>1653077.94</v>
      </c>
      <c r="E85" s="703">
        <v>136646.84</v>
      </c>
      <c r="F85" s="557"/>
      <c r="G85" s="557"/>
      <c r="H85" s="557"/>
      <c r="I85" s="673"/>
      <c r="J85" s="673"/>
      <c r="K85" s="558"/>
      <c r="L85" s="559"/>
      <c r="M85" s="559"/>
      <c r="N85" s="559"/>
      <c r="O85" s="555"/>
      <c r="Q85" s="670">
        <f t="shared" si="4"/>
        <v>136646.84</v>
      </c>
      <c r="R85" s="537">
        <f t="shared" si="3"/>
        <v>136646.84</v>
      </c>
    </row>
    <row r="86" spans="1:18" x14ac:dyDescent="0.25">
      <c r="A86" s="741">
        <v>17</v>
      </c>
      <c r="B86" s="524" t="s">
        <v>172</v>
      </c>
      <c r="C86" s="523" t="s">
        <v>296</v>
      </c>
      <c r="D86" s="525">
        <v>4417918.6399999997</v>
      </c>
      <c r="E86" s="703">
        <v>363962.87</v>
      </c>
      <c r="F86" s="557"/>
      <c r="G86" s="557"/>
      <c r="H86" s="557"/>
      <c r="I86" s="673"/>
      <c r="J86" s="673"/>
      <c r="K86" s="558"/>
      <c r="L86" s="559"/>
      <c r="M86" s="559"/>
      <c r="N86" s="559"/>
      <c r="O86" s="555"/>
      <c r="Q86" s="670">
        <f t="shared" si="4"/>
        <v>363962.87</v>
      </c>
      <c r="R86" s="537">
        <f t="shared" si="3"/>
        <v>363962.87</v>
      </c>
    </row>
    <row r="87" spans="1:18" x14ac:dyDescent="0.25">
      <c r="A87" s="741">
        <v>18</v>
      </c>
      <c r="B87" s="524" t="s">
        <v>173</v>
      </c>
      <c r="C87" s="523" t="s">
        <v>227</v>
      </c>
      <c r="D87" s="525">
        <v>5867214.7299999995</v>
      </c>
      <c r="E87" s="703">
        <v>481353.82</v>
      </c>
      <c r="F87" s="557"/>
      <c r="G87" s="557"/>
      <c r="H87" s="557"/>
      <c r="I87" s="673"/>
      <c r="J87" s="673"/>
      <c r="K87" s="558"/>
      <c r="L87" s="559"/>
      <c r="M87" s="559"/>
      <c r="N87" s="559"/>
      <c r="O87" s="555"/>
      <c r="Q87" s="670">
        <f t="shared" si="4"/>
        <v>481353.82</v>
      </c>
      <c r="R87" s="537">
        <f t="shared" si="3"/>
        <v>481353.82</v>
      </c>
    </row>
    <row r="88" spans="1:18" x14ac:dyDescent="0.25">
      <c r="A88" s="741">
        <v>19</v>
      </c>
      <c r="B88" s="524" t="s">
        <v>174</v>
      </c>
      <c r="C88" s="523" t="s">
        <v>195</v>
      </c>
      <c r="D88" s="525">
        <v>919769.33000000007</v>
      </c>
      <c r="E88" s="703">
        <v>75370.149999999994</v>
      </c>
      <c r="F88" s="557"/>
      <c r="G88" s="557"/>
      <c r="H88" s="557"/>
      <c r="I88" s="673"/>
      <c r="J88" s="673"/>
      <c r="K88" s="558"/>
      <c r="L88" s="559"/>
      <c r="M88" s="559"/>
      <c r="N88" s="559"/>
      <c r="O88" s="555"/>
      <c r="Q88" s="670">
        <f t="shared" si="4"/>
        <v>75370.149999999994</v>
      </c>
      <c r="R88" s="537">
        <f t="shared" si="3"/>
        <v>75370.149999999994</v>
      </c>
    </row>
    <row r="89" spans="1:18" x14ac:dyDescent="0.25">
      <c r="A89" s="741">
        <v>20</v>
      </c>
      <c r="B89" s="524" t="s">
        <v>175</v>
      </c>
      <c r="C89" s="523" t="s">
        <v>189</v>
      </c>
      <c r="D89" s="525">
        <v>1132579.8100000003</v>
      </c>
      <c r="E89" s="703">
        <v>93540.76</v>
      </c>
      <c r="F89" s="557"/>
      <c r="G89" s="557"/>
      <c r="H89" s="557"/>
      <c r="I89" s="673"/>
      <c r="J89" s="673"/>
      <c r="K89" s="558"/>
      <c r="L89" s="559"/>
      <c r="M89" s="559"/>
      <c r="N89" s="559"/>
      <c r="O89" s="555"/>
      <c r="Q89" s="670">
        <f t="shared" si="4"/>
        <v>93540.76</v>
      </c>
      <c r="R89" s="537">
        <f t="shared" si="3"/>
        <v>93540.76</v>
      </c>
    </row>
    <row r="90" spans="1:18" x14ac:dyDescent="0.25">
      <c r="A90" s="741">
        <v>21</v>
      </c>
      <c r="B90" s="524" t="s">
        <v>176</v>
      </c>
      <c r="C90" s="523" t="s">
        <v>206</v>
      </c>
      <c r="D90" s="525">
        <v>3550532.1600000006</v>
      </c>
      <c r="E90" s="703">
        <v>291401.55</v>
      </c>
      <c r="F90" s="557"/>
      <c r="G90" s="557"/>
      <c r="H90" s="557"/>
      <c r="I90" s="673"/>
      <c r="J90" s="673"/>
      <c r="K90" s="558"/>
      <c r="L90" s="559"/>
      <c r="M90" s="559"/>
      <c r="N90" s="559"/>
      <c r="O90" s="555"/>
      <c r="Q90" s="670">
        <f t="shared" si="4"/>
        <v>291401.55</v>
      </c>
      <c r="R90" s="537">
        <f t="shared" si="3"/>
        <v>291401.55</v>
      </c>
    </row>
    <row r="91" spans="1:18" x14ac:dyDescent="0.25">
      <c r="A91" s="741">
        <v>22</v>
      </c>
      <c r="B91" s="524" t="s">
        <v>177</v>
      </c>
      <c r="C91" s="523" t="s">
        <v>207</v>
      </c>
      <c r="D91" s="525">
        <v>3434816.54</v>
      </c>
      <c r="E91" s="703">
        <v>282765.64</v>
      </c>
      <c r="F91" s="557"/>
      <c r="G91" s="557"/>
      <c r="H91" s="557"/>
      <c r="I91" s="673"/>
      <c r="J91" s="673"/>
      <c r="K91" s="558"/>
      <c r="L91" s="559"/>
      <c r="M91" s="559"/>
      <c r="N91" s="559"/>
      <c r="O91" s="555"/>
      <c r="Q91" s="670">
        <f t="shared" si="4"/>
        <v>282765.64</v>
      </c>
      <c r="R91" s="537">
        <f t="shared" si="3"/>
        <v>282765.64</v>
      </c>
    </row>
    <row r="92" spans="1:18" x14ac:dyDescent="0.25">
      <c r="A92" s="741">
        <v>23</v>
      </c>
      <c r="B92" s="524" t="s">
        <v>178</v>
      </c>
      <c r="C92" s="523" t="s">
        <v>208</v>
      </c>
      <c r="D92" s="525">
        <v>3841654.26</v>
      </c>
      <c r="E92" s="703">
        <v>318686.65000000002</v>
      </c>
      <c r="F92" s="557"/>
      <c r="G92" s="557"/>
      <c r="H92" s="557"/>
      <c r="I92" s="673"/>
      <c r="J92" s="673"/>
      <c r="K92" s="558"/>
      <c r="L92" s="559"/>
      <c r="M92" s="559"/>
      <c r="N92" s="559"/>
      <c r="O92" s="555"/>
      <c r="Q92" s="670">
        <f t="shared" si="4"/>
        <v>318686.65000000002</v>
      </c>
      <c r="R92" s="537">
        <f t="shared" si="3"/>
        <v>318686.65000000002</v>
      </c>
    </row>
    <row r="93" spans="1:18" x14ac:dyDescent="0.25">
      <c r="A93" s="741">
        <v>24</v>
      </c>
      <c r="B93" s="524" t="s">
        <v>179</v>
      </c>
      <c r="C93" s="523" t="s">
        <v>210</v>
      </c>
      <c r="D93" s="525">
        <v>8841825.3200000003</v>
      </c>
      <c r="E93" s="703">
        <v>727291.13</v>
      </c>
      <c r="F93" s="557"/>
      <c r="G93" s="557"/>
      <c r="H93" s="557"/>
      <c r="I93" s="673"/>
      <c r="J93" s="673"/>
      <c r="K93" s="558"/>
      <c r="L93" s="559"/>
      <c r="M93" s="559"/>
      <c r="N93" s="559"/>
      <c r="O93" s="555"/>
      <c r="Q93" s="670">
        <f t="shared" si="4"/>
        <v>727291.13</v>
      </c>
      <c r="R93" s="537">
        <f t="shared" si="3"/>
        <v>727291.13</v>
      </c>
    </row>
    <row r="94" spans="1:18" x14ac:dyDescent="0.25">
      <c r="A94" s="741">
        <v>25</v>
      </c>
      <c r="B94" s="524">
        <v>3441</v>
      </c>
      <c r="C94" s="523" t="s">
        <v>228</v>
      </c>
      <c r="D94" s="525">
        <v>4458303.79</v>
      </c>
      <c r="E94" s="703">
        <v>365051.77</v>
      </c>
      <c r="F94" s="557"/>
      <c r="G94" s="557"/>
      <c r="H94" s="557"/>
      <c r="I94" s="673"/>
      <c r="J94" s="673"/>
      <c r="K94" s="558"/>
      <c r="L94" s="559"/>
      <c r="M94" s="559"/>
      <c r="N94" s="559"/>
      <c r="O94" s="555"/>
      <c r="Q94" s="670">
        <f t="shared" si="4"/>
        <v>365051.77</v>
      </c>
      <c r="R94" s="537">
        <f t="shared" si="3"/>
        <v>365051.77</v>
      </c>
    </row>
    <row r="95" spans="1:18" x14ac:dyDescent="0.25">
      <c r="A95" s="741">
        <v>26</v>
      </c>
      <c r="B95" s="524">
        <v>3924</v>
      </c>
      <c r="C95" s="523" t="s">
        <v>376</v>
      </c>
      <c r="D95" s="525">
        <v>3693471.08</v>
      </c>
      <c r="E95" s="703">
        <v>303122.37</v>
      </c>
      <c r="F95" s="557"/>
      <c r="G95" s="557"/>
      <c r="H95" s="557"/>
      <c r="I95" s="673"/>
      <c r="J95" s="673"/>
      <c r="K95" s="558"/>
      <c r="L95" s="559"/>
      <c r="M95" s="559"/>
      <c r="N95" s="559"/>
      <c r="O95" s="555"/>
      <c r="Q95" s="670">
        <f t="shared" si="4"/>
        <v>303122.37</v>
      </c>
      <c r="R95" s="537">
        <f t="shared" si="3"/>
        <v>303122.37</v>
      </c>
    </row>
    <row r="96" spans="1:18" x14ac:dyDescent="0.25">
      <c r="A96" s="741">
        <v>27</v>
      </c>
      <c r="B96" s="524" t="s">
        <v>180</v>
      </c>
      <c r="C96" s="523" t="s">
        <v>191</v>
      </c>
      <c r="D96" s="525">
        <v>2020244.56</v>
      </c>
      <c r="E96" s="703">
        <v>166503.70000000001</v>
      </c>
      <c r="F96" s="557"/>
      <c r="G96" s="557"/>
      <c r="H96" s="557"/>
      <c r="I96" s="673"/>
      <c r="J96" s="673"/>
      <c r="K96" s="558"/>
      <c r="L96" s="559"/>
      <c r="M96" s="559"/>
      <c r="N96" s="559"/>
      <c r="O96" s="555"/>
      <c r="Q96" s="670">
        <f t="shared" si="4"/>
        <v>166503.70000000001</v>
      </c>
      <c r="R96" s="537">
        <f t="shared" si="3"/>
        <v>166503.70000000001</v>
      </c>
    </row>
    <row r="97" spans="1:18" x14ac:dyDescent="0.25">
      <c r="A97" s="741">
        <v>28</v>
      </c>
      <c r="B97" s="524" t="s">
        <v>181</v>
      </c>
      <c r="C97" s="523" t="s">
        <v>201</v>
      </c>
      <c r="D97" s="562">
        <v>0</v>
      </c>
      <c r="E97" s="704"/>
      <c r="F97" s="557"/>
      <c r="G97" s="557"/>
      <c r="H97" s="557"/>
      <c r="I97" s="673"/>
      <c r="J97" s="673"/>
      <c r="K97" s="558"/>
      <c r="L97" s="559"/>
      <c r="M97" s="559"/>
      <c r="N97" s="559"/>
      <c r="O97" s="555"/>
      <c r="Q97" s="670">
        <f t="shared" si="4"/>
        <v>0</v>
      </c>
      <c r="R97" s="537"/>
    </row>
    <row r="98" spans="1:18" x14ac:dyDescent="0.25">
      <c r="A98" s="741">
        <v>29</v>
      </c>
      <c r="B98" s="524" t="s">
        <v>182</v>
      </c>
      <c r="C98" s="523" t="s">
        <v>341</v>
      </c>
      <c r="D98" s="525">
        <v>5099211.84</v>
      </c>
      <c r="E98" s="703">
        <v>418200.93</v>
      </c>
      <c r="F98" s="557"/>
      <c r="G98" s="557"/>
      <c r="H98" s="557"/>
      <c r="I98" s="673"/>
      <c r="J98" s="673"/>
      <c r="K98" s="558"/>
      <c r="L98" s="559"/>
      <c r="M98" s="559"/>
      <c r="N98" s="559"/>
      <c r="O98" s="555"/>
      <c r="Q98" s="670">
        <f>SUM(E98:P98)</f>
        <v>418200.93</v>
      </c>
      <c r="R98" s="537">
        <f>SUM(E98:E98)</f>
        <v>418200.93</v>
      </c>
    </row>
    <row r="99" spans="1:18" x14ac:dyDescent="0.25">
      <c r="A99" s="741">
        <v>30</v>
      </c>
      <c r="B99" s="524" t="s">
        <v>183</v>
      </c>
      <c r="C99" s="523" t="s">
        <v>219</v>
      </c>
      <c r="D99" s="525">
        <v>5914578.1399999997</v>
      </c>
      <c r="E99" s="703">
        <v>486040.8</v>
      </c>
      <c r="F99" s="557"/>
      <c r="G99" s="557"/>
      <c r="H99" s="557"/>
      <c r="I99" s="673"/>
      <c r="J99" s="673"/>
      <c r="K99" s="558"/>
      <c r="L99" s="559"/>
      <c r="M99" s="559"/>
      <c r="N99" s="559"/>
      <c r="O99" s="555"/>
      <c r="Q99" s="670">
        <f t="shared" si="4"/>
        <v>486040.8</v>
      </c>
      <c r="R99" s="537">
        <f t="shared" si="3"/>
        <v>486040.8</v>
      </c>
    </row>
    <row r="100" spans="1:18" x14ac:dyDescent="0.25">
      <c r="A100" s="741">
        <v>31</v>
      </c>
      <c r="B100" s="524">
        <v>4002</v>
      </c>
      <c r="C100" s="523" t="s">
        <v>218</v>
      </c>
      <c r="D100" s="525">
        <v>8574250.8399999999</v>
      </c>
      <c r="E100" s="703">
        <v>707326.89</v>
      </c>
      <c r="F100" s="557"/>
      <c r="G100" s="557"/>
      <c r="H100" s="557"/>
      <c r="I100" s="673"/>
      <c r="J100" s="673"/>
      <c r="K100" s="558"/>
      <c r="L100" s="559"/>
      <c r="M100" s="559"/>
      <c r="N100" s="559"/>
      <c r="O100" s="555"/>
      <c r="Q100" s="670">
        <f t="shared" si="4"/>
        <v>707326.89</v>
      </c>
      <c r="R100" s="537">
        <f t="shared" si="3"/>
        <v>707326.89</v>
      </c>
    </row>
    <row r="101" spans="1:18" x14ac:dyDescent="0.25">
      <c r="A101" s="741">
        <v>32</v>
      </c>
      <c r="B101" s="524">
        <v>4012</v>
      </c>
      <c r="C101" s="523" t="s">
        <v>221</v>
      </c>
      <c r="D101" s="525">
        <v>4904770.5200000005</v>
      </c>
      <c r="E101" s="703">
        <v>401311.12</v>
      </c>
      <c r="F101" s="557"/>
      <c r="G101" s="557"/>
      <c r="H101" s="557"/>
      <c r="I101" s="673"/>
      <c r="J101" s="673"/>
      <c r="K101" s="558"/>
      <c r="L101" s="559"/>
      <c r="M101" s="559"/>
      <c r="N101" s="559"/>
      <c r="O101" s="555"/>
      <c r="Q101" s="670">
        <f t="shared" si="4"/>
        <v>401311.12</v>
      </c>
      <c r="R101" s="537">
        <f t="shared" si="3"/>
        <v>401311.12</v>
      </c>
    </row>
    <row r="102" spans="1:18" x14ac:dyDescent="0.25">
      <c r="A102" s="741">
        <v>33</v>
      </c>
      <c r="B102" s="524">
        <v>4013</v>
      </c>
      <c r="C102" s="523" t="s">
        <v>223</v>
      </c>
      <c r="D102" s="525">
        <v>8119848.8800000008</v>
      </c>
      <c r="E102" s="703">
        <v>667648.91</v>
      </c>
      <c r="F102" s="557"/>
      <c r="G102" s="557"/>
      <c r="H102" s="557"/>
      <c r="I102" s="673"/>
      <c r="J102" s="673"/>
      <c r="K102" s="558"/>
      <c r="L102" s="559"/>
      <c r="M102" s="559"/>
      <c r="N102" s="559"/>
      <c r="O102" s="555"/>
      <c r="Q102" s="670">
        <f t="shared" si="4"/>
        <v>667648.91</v>
      </c>
      <c r="R102" s="537">
        <f t="shared" si="3"/>
        <v>667648.91</v>
      </c>
    </row>
    <row r="103" spans="1:18" x14ac:dyDescent="0.25">
      <c r="A103" s="741">
        <v>34</v>
      </c>
      <c r="B103" s="524">
        <v>4020</v>
      </c>
      <c r="C103" s="523" t="s">
        <v>347</v>
      </c>
      <c r="D103" s="525">
        <v>10867277.120000001</v>
      </c>
      <c r="E103" s="703">
        <v>892802.19</v>
      </c>
      <c r="F103" s="557"/>
      <c r="G103" s="557"/>
      <c r="H103" s="557"/>
      <c r="I103" s="673"/>
      <c r="J103" s="673"/>
      <c r="K103" s="558"/>
      <c r="L103" s="559"/>
      <c r="M103" s="559"/>
      <c r="N103" s="559"/>
      <c r="O103" s="555"/>
      <c r="Q103" s="670">
        <f t="shared" si="4"/>
        <v>892802.19</v>
      </c>
      <c r="R103" s="537">
        <f t="shared" si="3"/>
        <v>892802.19</v>
      </c>
    </row>
    <row r="104" spans="1:18" x14ac:dyDescent="0.25">
      <c r="A104" s="741">
        <v>35</v>
      </c>
      <c r="B104" s="524">
        <v>4030</v>
      </c>
      <c r="C104" s="523" t="s">
        <v>335</v>
      </c>
      <c r="D104" s="525">
        <v>2619365.38</v>
      </c>
      <c r="E104" s="703">
        <v>216879.02</v>
      </c>
      <c r="F104" s="557"/>
      <c r="G104" s="557"/>
      <c r="H104" s="557"/>
      <c r="I104" s="673"/>
      <c r="J104" s="673"/>
      <c r="K104" s="558"/>
      <c r="L104" s="559"/>
      <c r="M104" s="559"/>
      <c r="N104" s="559"/>
      <c r="O104" s="555"/>
      <c r="Q104" s="670">
        <f t="shared" si="4"/>
        <v>216879.02</v>
      </c>
      <c r="R104" s="537">
        <f t="shared" si="3"/>
        <v>216879.02</v>
      </c>
    </row>
    <row r="105" spans="1:18" x14ac:dyDescent="0.25">
      <c r="A105" s="741">
        <v>36</v>
      </c>
      <c r="B105" s="524">
        <v>4031</v>
      </c>
      <c r="C105" s="523" t="s">
        <v>352</v>
      </c>
      <c r="D105" s="525">
        <v>3914815.85</v>
      </c>
      <c r="E105" s="703">
        <v>322483.34000000003</v>
      </c>
      <c r="F105" s="557"/>
      <c r="G105" s="557"/>
      <c r="H105" s="557"/>
      <c r="I105" s="673"/>
      <c r="J105" s="673"/>
      <c r="K105" s="558"/>
      <c r="L105" s="559"/>
      <c r="M105" s="559"/>
      <c r="N105" s="559"/>
      <c r="O105" s="555"/>
      <c r="Q105" s="670">
        <f t="shared" si="4"/>
        <v>322483.34000000003</v>
      </c>
      <c r="R105" s="537">
        <f t="shared" si="3"/>
        <v>322483.34000000003</v>
      </c>
    </row>
    <row r="106" spans="1:18" x14ac:dyDescent="0.25">
      <c r="A106" s="741">
        <v>37</v>
      </c>
      <c r="B106" s="524">
        <v>4041</v>
      </c>
      <c r="C106" s="523" t="s">
        <v>225</v>
      </c>
      <c r="D106" s="525">
        <v>775960.87</v>
      </c>
      <c r="E106" s="703">
        <v>63488.77</v>
      </c>
      <c r="F106" s="557"/>
      <c r="G106" s="557"/>
      <c r="H106" s="557"/>
      <c r="I106" s="673"/>
      <c r="J106" s="673"/>
      <c r="K106" s="558"/>
      <c r="L106" s="559"/>
      <c r="M106" s="559"/>
      <c r="N106" s="559"/>
      <c r="O106" s="555"/>
      <c r="Q106" s="670">
        <f t="shared" si="4"/>
        <v>63488.77</v>
      </c>
      <c r="R106" s="537">
        <f t="shared" si="3"/>
        <v>63488.77</v>
      </c>
    </row>
    <row r="107" spans="1:18" x14ac:dyDescent="0.25">
      <c r="A107" s="741">
        <v>38</v>
      </c>
      <c r="B107" s="524">
        <v>4050</v>
      </c>
      <c r="C107" s="523" t="s">
        <v>216</v>
      </c>
      <c r="D107" s="525">
        <v>6227871.4299999988</v>
      </c>
      <c r="E107" s="703">
        <v>512294.34</v>
      </c>
      <c r="F107" s="557"/>
      <c r="G107" s="557"/>
      <c r="H107" s="557"/>
      <c r="I107" s="673"/>
      <c r="J107" s="673"/>
      <c r="K107" s="558"/>
      <c r="L107" s="559"/>
      <c r="M107" s="559"/>
      <c r="N107" s="559"/>
      <c r="O107" s="555"/>
      <c r="Q107" s="670">
        <f t="shared" si="4"/>
        <v>512294.34</v>
      </c>
      <c r="R107" s="537">
        <f t="shared" si="3"/>
        <v>512294.34</v>
      </c>
    </row>
    <row r="108" spans="1:18" x14ac:dyDescent="0.25">
      <c r="A108" s="741">
        <v>39</v>
      </c>
      <c r="B108" s="524">
        <v>4051</v>
      </c>
      <c r="C108" s="523" t="s">
        <v>214</v>
      </c>
      <c r="D108" s="525">
        <v>6573895.1500000013</v>
      </c>
      <c r="E108" s="703">
        <v>541173.16</v>
      </c>
      <c r="F108" s="557"/>
      <c r="G108" s="557"/>
      <c r="H108" s="557"/>
      <c r="I108" s="673"/>
      <c r="J108" s="673"/>
      <c r="K108" s="558"/>
      <c r="L108" s="559"/>
      <c r="M108" s="559"/>
      <c r="N108" s="559"/>
      <c r="O108" s="555"/>
      <c r="Q108" s="670">
        <f t="shared" si="4"/>
        <v>541173.16</v>
      </c>
      <c r="R108" s="537">
        <f t="shared" si="3"/>
        <v>541173.16</v>
      </c>
    </row>
    <row r="109" spans="1:18" x14ac:dyDescent="0.25">
      <c r="A109" s="741">
        <v>40</v>
      </c>
      <c r="B109" s="524">
        <v>4061</v>
      </c>
      <c r="C109" s="523" t="s">
        <v>349</v>
      </c>
      <c r="D109" s="525">
        <v>8356896.4500000002</v>
      </c>
      <c r="E109" s="703">
        <v>686342</v>
      </c>
      <c r="F109" s="557"/>
      <c r="G109" s="557"/>
      <c r="H109" s="557"/>
      <c r="I109" s="673"/>
      <c r="J109" s="673"/>
      <c r="K109" s="558"/>
      <c r="L109" s="559"/>
      <c r="M109" s="559"/>
      <c r="N109" s="559"/>
      <c r="O109" s="555"/>
      <c r="Q109" s="670">
        <f t="shared" si="4"/>
        <v>686342</v>
      </c>
      <c r="R109" s="537">
        <f t="shared" si="3"/>
        <v>686342</v>
      </c>
    </row>
    <row r="110" spans="1:18" x14ac:dyDescent="0.25">
      <c r="A110" s="741">
        <v>41</v>
      </c>
      <c r="B110" s="524">
        <v>4080</v>
      </c>
      <c r="C110" s="523" t="s">
        <v>237</v>
      </c>
      <c r="D110" s="525">
        <v>166059.87</v>
      </c>
      <c r="E110" s="703">
        <v>166059.87</v>
      </c>
      <c r="F110" s="557"/>
      <c r="G110" s="557"/>
      <c r="H110" s="557"/>
      <c r="I110" s="673"/>
      <c r="J110" s="673"/>
      <c r="K110" s="558"/>
      <c r="L110" s="559"/>
      <c r="M110" s="559"/>
      <c r="N110" s="559"/>
      <c r="O110" s="555"/>
      <c r="Q110" s="670">
        <f t="shared" si="4"/>
        <v>166059.87</v>
      </c>
      <c r="R110" s="537">
        <f t="shared" si="3"/>
        <v>166059.87</v>
      </c>
    </row>
    <row r="111" spans="1:18" x14ac:dyDescent="0.25">
      <c r="A111" s="741">
        <v>42</v>
      </c>
      <c r="B111" s="524">
        <v>4081</v>
      </c>
      <c r="C111" s="523" t="s">
        <v>234</v>
      </c>
      <c r="D111" s="525">
        <v>1014899.57</v>
      </c>
      <c r="E111" s="703">
        <v>83555.86</v>
      </c>
      <c r="F111" s="557"/>
      <c r="G111" s="557"/>
      <c r="H111" s="557"/>
      <c r="I111" s="673"/>
      <c r="J111" s="673"/>
      <c r="K111" s="558"/>
      <c r="L111" s="559"/>
      <c r="M111" s="559"/>
      <c r="N111" s="559"/>
      <c r="O111" s="555"/>
      <c r="Q111" s="670">
        <f t="shared" si="4"/>
        <v>83555.86</v>
      </c>
      <c r="R111" s="537">
        <f t="shared" si="3"/>
        <v>83555.86</v>
      </c>
    </row>
    <row r="112" spans="1:18" x14ac:dyDescent="0.25">
      <c r="A112" s="741">
        <v>43</v>
      </c>
      <c r="B112" s="524">
        <v>4090</v>
      </c>
      <c r="C112" s="523" t="s">
        <v>297</v>
      </c>
      <c r="D112" s="525">
        <v>2220850.8499999996</v>
      </c>
      <c r="E112" s="703">
        <v>182095.15</v>
      </c>
      <c r="F112" s="557"/>
      <c r="G112" s="557"/>
      <c r="H112" s="557"/>
      <c r="I112" s="673"/>
      <c r="J112" s="673"/>
      <c r="K112" s="558"/>
      <c r="L112" s="559"/>
      <c r="M112" s="559"/>
      <c r="N112" s="559"/>
      <c r="O112" s="555"/>
      <c r="Q112" s="670">
        <f t="shared" si="4"/>
        <v>182095.15</v>
      </c>
      <c r="R112" s="537">
        <f t="shared" si="3"/>
        <v>182095.15</v>
      </c>
    </row>
    <row r="113" spans="1:18" x14ac:dyDescent="0.25">
      <c r="A113" s="741">
        <v>44</v>
      </c>
      <c r="B113" s="524">
        <v>4091</v>
      </c>
      <c r="C113" s="523" t="s">
        <v>275</v>
      </c>
      <c r="D113" s="525">
        <v>3463844.94</v>
      </c>
      <c r="E113" s="703">
        <v>285991.09999999998</v>
      </c>
      <c r="F113" s="557"/>
      <c r="G113" s="557"/>
      <c r="H113" s="557"/>
      <c r="I113" s="673"/>
      <c r="J113" s="673"/>
      <c r="K113" s="558"/>
      <c r="L113" s="559"/>
      <c r="M113" s="559"/>
      <c r="N113" s="559"/>
      <c r="O113" s="555"/>
      <c r="Q113" s="670">
        <f t="shared" si="4"/>
        <v>285991.09999999998</v>
      </c>
      <c r="R113" s="537">
        <f t="shared" si="3"/>
        <v>285991.09999999998</v>
      </c>
    </row>
    <row r="114" spans="1:18" x14ac:dyDescent="0.25">
      <c r="A114" s="741">
        <v>45</v>
      </c>
      <c r="B114" s="524">
        <v>4100</v>
      </c>
      <c r="C114" s="523" t="s">
        <v>298</v>
      </c>
      <c r="D114" s="525">
        <v>3845172.95</v>
      </c>
      <c r="E114" s="703">
        <v>312807.54399999999</v>
      </c>
      <c r="F114" s="557"/>
      <c r="G114" s="557"/>
      <c r="H114" s="557"/>
      <c r="I114" s="673"/>
      <c r="J114" s="673"/>
      <c r="K114" s="558"/>
      <c r="L114" s="559"/>
      <c r="M114" s="559"/>
      <c r="N114" s="559"/>
      <c r="O114" s="555"/>
      <c r="Q114" s="670">
        <f t="shared" si="4"/>
        <v>312807.54399999999</v>
      </c>
      <c r="R114" s="537">
        <f t="shared" si="3"/>
        <v>312807.54399999999</v>
      </c>
    </row>
    <row r="115" spans="1:18" x14ac:dyDescent="0.25">
      <c r="A115" s="741">
        <v>46</v>
      </c>
      <c r="B115" s="524">
        <v>4102</v>
      </c>
      <c r="C115" s="523" t="s">
        <v>299</v>
      </c>
      <c r="D115" s="562">
        <v>1168940.7700000003</v>
      </c>
      <c r="E115" s="704">
        <v>95722.880000000005</v>
      </c>
      <c r="F115" s="557">
        <v>0</v>
      </c>
      <c r="G115" s="557">
        <v>0</v>
      </c>
      <c r="H115" s="557">
        <v>0</v>
      </c>
      <c r="I115" s="673">
        <v>0</v>
      </c>
      <c r="J115" s="673">
        <v>0</v>
      </c>
      <c r="K115" s="558">
        <v>0</v>
      </c>
      <c r="L115" s="559">
        <v>0</v>
      </c>
      <c r="M115" s="559"/>
      <c r="N115" s="559"/>
      <c r="O115" s="555">
        <v>0</v>
      </c>
      <c r="P115" s="555">
        <v>0</v>
      </c>
      <c r="Q115" s="670">
        <f t="shared" si="4"/>
        <v>95722.880000000005</v>
      </c>
      <c r="R115" s="537">
        <f t="shared" si="3"/>
        <v>95722.880000000005</v>
      </c>
    </row>
    <row r="116" spans="1:18" x14ac:dyDescent="0.25">
      <c r="A116" s="741">
        <v>47</v>
      </c>
      <c r="B116" s="524">
        <v>4103</v>
      </c>
      <c r="C116" s="523" t="s">
        <v>324</v>
      </c>
      <c r="D116" s="525">
        <v>8031180.3499999996</v>
      </c>
      <c r="E116" s="703">
        <v>660664.68999999994</v>
      </c>
      <c r="F116" s="557"/>
      <c r="G116" s="557"/>
      <c r="H116" s="557"/>
      <c r="I116" s="673"/>
      <c r="J116" s="673"/>
      <c r="K116" s="558"/>
      <c r="L116" s="559"/>
      <c r="M116" s="559"/>
      <c r="N116" s="559"/>
      <c r="O116" s="555"/>
      <c r="Q116" s="526">
        <f t="shared" ref="Q116:Q118" si="5">SUM(E116:P116)</f>
        <v>660664.68999999994</v>
      </c>
      <c r="R116" s="537">
        <f t="shared" ref="R116:R118" si="6">SUM(E116:P116)</f>
        <v>660664.68999999994</v>
      </c>
    </row>
    <row r="117" spans="1:18" x14ac:dyDescent="0.25">
      <c r="A117" s="741">
        <v>48</v>
      </c>
      <c r="B117" s="524">
        <v>4111</v>
      </c>
      <c r="C117" s="523" t="s">
        <v>342</v>
      </c>
      <c r="D117" s="525">
        <v>2429371.5800000005</v>
      </c>
      <c r="E117" s="703">
        <v>200228.99</v>
      </c>
      <c r="F117" s="557"/>
      <c r="G117" s="557"/>
      <c r="H117" s="557"/>
      <c r="I117" s="673"/>
      <c r="J117" s="673"/>
      <c r="K117" s="558"/>
      <c r="L117" s="559"/>
      <c r="M117" s="559"/>
      <c r="N117" s="559"/>
      <c r="O117" s="555"/>
      <c r="Q117" s="526">
        <f t="shared" si="5"/>
        <v>200228.99</v>
      </c>
      <c r="R117" s="537">
        <f t="shared" si="6"/>
        <v>200228.99</v>
      </c>
    </row>
    <row r="118" spans="1:18" x14ac:dyDescent="0.25">
      <c r="A118" s="741">
        <v>49</v>
      </c>
      <c r="B118" s="524">
        <v>4131</v>
      </c>
      <c r="C118" s="523" t="s">
        <v>374</v>
      </c>
      <c r="D118" s="525">
        <v>803834.34000000008</v>
      </c>
      <c r="E118" s="703">
        <v>66112.399999999994</v>
      </c>
      <c r="F118" s="557"/>
      <c r="G118" s="557"/>
      <c r="H118" s="557"/>
      <c r="I118" s="673"/>
      <c r="J118" s="673"/>
      <c r="K118" s="558"/>
      <c r="L118" s="559"/>
      <c r="M118" s="559"/>
      <c r="N118" s="559"/>
      <c r="O118" s="555"/>
      <c r="Q118" s="526">
        <f t="shared" si="5"/>
        <v>66112.399999999994</v>
      </c>
      <c r="R118" s="537">
        <f t="shared" si="6"/>
        <v>66112.399999999994</v>
      </c>
    </row>
    <row r="119" spans="1:18" x14ac:dyDescent="0.25">
      <c r="E119" s="527"/>
    </row>
    <row r="120" spans="1:18" x14ac:dyDescent="0.25">
      <c r="E120" s="527"/>
    </row>
    <row r="121" spans="1:18" x14ac:dyDescent="0.25">
      <c r="E121" s="527"/>
    </row>
    <row r="122" spans="1:18" x14ac:dyDescent="0.25">
      <c r="D122" s="525">
        <f>SUM(D70:D119)</f>
        <v>203812569.47000003</v>
      </c>
      <c r="E122" s="525">
        <f>SUM(E70:E119)</f>
        <v>16906713.023999993</v>
      </c>
      <c r="F122" s="525">
        <f t="shared" ref="F122:K122" si="7">SUM(F72:F119)</f>
        <v>0</v>
      </c>
      <c r="G122" s="525">
        <f t="shared" si="7"/>
        <v>0</v>
      </c>
      <c r="H122" s="525">
        <f>SUM(H70:H119)</f>
        <v>0</v>
      </c>
      <c r="I122" s="525">
        <f>SUM(I70:I119)</f>
        <v>0</v>
      </c>
      <c r="J122" s="525">
        <f t="shared" si="7"/>
        <v>0</v>
      </c>
      <c r="K122" s="538">
        <f t="shared" si="7"/>
        <v>0</v>
      </c>
      <c r="L122" s="525">
        <f>SUM(L70:L119)</f>
        <v>0</v>
      </c>
      <c r="M122" s="525">
        <f>SUM(M70:M119)</f>
        <v>0</v>
      </c>
      <c r="N122" s="525">
        <f>SUM(N70:N119)</f>
        <v>0</v>
      </c>
      <c r="O122" s="525">
        <f t="shared" ref="O122:P122" si="8">SUM(O70:O119)</f>
        <v>0</v>
      </c>
      <c r="P122" s="681">
        <f t="shared" si="8"/>
        <v>0</v>
      </c>
      <c r="Q122" s="525">
        <f>SUM(Q70:Q119)</f>
        <v>16906713.023999993</v>
      </c>
      <c r="R122" s="525">
        <f>SUM(R70:R119)</f>
        <v>16906713.023999993</v>
      </c>
    </row>
    <row r="124" spans="1:18" x14ac:dyDescent="0.25">
      <c r="E124" s="525">
        <f>E55-E122</f>
        <v>0</v>
      </c>
    </row>
    <row r="125" spans="1:18" x14ac:dyDescent="0.25">
      <c r="E125" s="527"/>
    </row>
  </sheetData>
  <pageMargins left="0.7" right="0.7" top="0.75" bottom="0.75" header="0.3" footer="0.3"/>
  <pageSetup scale="35" fitToHeight="0" orientation="landscape" r:id="rId1"/>
  <ignoredErrors>
    <ignoredError sqref="Q116:Q118 Q17:Q54 Q6:Q16" formulaRange="1"/>
    <ignoredError sqref="G5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V246"/>
  <sheetViews>
    <sheetView workbookViewId="0">
      <selection activeCell="D113" sqref="D113"/>
    </sheetView>
    <sheetView tabSelected="1" workbookViewId="1"/>
  </sheetViews>
  <sheetFormatPr defaultColWidth="9.140625" defaultRowHeight="15.75" x14ac:dyDescent="0.25"/>
  <cols>
    <col min="1" max="1" width="10.28515625" style="614" customWidth="1"/>
    <col min="2" max="2" width="30.28515625" style="3" bestFit="1" customWidth="1"/>
    <col min="3" max="3" width="11.7109375" style="3" bestFit="1" customWidth="1"/>
    <col min="4" max="4" width="16.140625" style="3" customWidth="1"/>
    <col min="5" max="5" width="11.7109375" style="3" customWidth="1"/>
    <col min="6" max="6" width="18" style="3" bestFit="1"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614"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92" t="s">
        <v>15</v>
      </c>
      <c r="C1" s="793"/>
      <c r="D1" s="793"/>
      <c r="E1" s="793"/>
      <c r="F1" s="793"/>
      <c r="G1" s="793"/>
      <c r="H1" s="793"/>
      <c r="I1" s="793"/>
      <c r="J1" s="135"/>
      <c r="K1" s="135"/>
      <c r="L1" s="135"/>
      <c r="N1" s="82">
        <f>A1</f>
        <v>50</v>
      </c>
      <c r="O1" s="826" t="s">
        <v>15</v>
      </c>
      <c r="P1" s="827"/>
      <c r="Q1" s="827"/>
      <c r="R1" s="827"/>
      <c r="S1" s="827"/>
      <c r="T1" s="827"/>
      <c r="U1" s="827"/>
    </row>
    <row r="2" spans="1:21" ht="21" x14ac:dyDescent="0.35">
      <c r="A2" s="1" t="s">
        <v>528</v>
      </c>
      <c r="B2" s="2"/>
      <c r="C2" s="2"/>
      <c r="D2" s="2"/>
      <c r="E2" s="2"/>
      <c r="F2" s="2"/>
      <c r="G2" s="2"/>
      <c r="H2" s="2"/>
      <c r="I2" s="2"/>
      <c r="N2" s="828" t="s">
        <v>18</v>
      </c>
      <c r="O2" s="828"/>
      <c r="P2" s="828"/>
      <c r="Q2" s="828"/>
      <c r="R2" s="828"/>
      <c r="S2" s="828"/>
      <c r="T2" s="828"/>
      <c r="U2" s="828"/>
    </row>
    <row r="3" spans="1:21" x14ac:dyDescent="0.25">
      <c r="A3" s="253"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628"/>
      <c r="O5" s="628"/>
      <c r="P5" s="629"/>
      <c r="Q5" s="629"/>
      <c r="R5" s="5"/>
      <c r="S5" s="5"/>
      <c r="T5" s="5"/>
      <c r="U5" s="5"/>
    </row>
    <row r="6" spans="1:21" ht="12" customHeight="1" x14ac:dyDescent="0.25">
      <c r="A6" s="630"/>
      <c r="B6" s="630"/>
      <c r="C6" s="623"/>
      <c r="D6" s="623"/>
      <c r="E6" s="623"/>
      <c r="F6" s="4"/>
      <c r="G6" s="4"/>
      <c r="H6" s="4"/>
      <c r="I6" s="4"/>
      <c r="N6" s="628"/>
      <c r="O6" s="628"/>
      <c r="P6" s="629"/>
      <c r="Q6" s="629"/>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631"/>
      <c r="O9" s="631"/>
      <c r="P9" s="632"/>
      <c r="Q9" s="632"/>
      <c r="R9" s="635" t="s">
        <v>407</v>
      </c>
      <c r="S9" s="635"/>
      <c r="T9" s="832">
        <f>H9</f>
        <v>1</v>
      </c>
      <c r="U9" s="832"/>
    </row>
    <row r="10" spans="1:21" x14ac:dyDescent="0.25">
      <c r="A10" s="7"/>
      <c r="B10" s="7" t="s">
        <v>328</v>
      </c>
      <c r="C10" s="8" t="s">
        <v>328</v>
      </c>
      <c r="D10" s="8" t="s">
        <v>328</v>
      </c>
      <c r="E10" s="8"/>
      <c r="F10" s="9"/>
      <c r="G10" s="9"/>
      <c r="H10" s="10"/>
      <c r="I10" s="341" t="s">
        <v>555</v>
      </c>
      <c r="N10" s="631"/>
      <c r="O10" s="631"/>
      <c r="P10" s="632"/>
      <c r="Q10" s="632"/>
      <c r="R10" s="14"/>
      <c r="S10" s="14"/>
      <c r="T10" s="15"/>
      <c r="U10" s="384" t="str">
        <f>I10</f>
        <v>2025-26</v>
      </c>
    </row>
    <row r="11" spans="1:21" x14ac:dyDescent="0.25">
      <c r="A11" s="7"/>
      <c r="B11" s="7"/>
      <c r="C11" s="88" t="s">
        <v>523</v>
      </c>
      <c r="D11" s="349" t="s">
        <v>524</v>
      </c>
      <c r="E11" s="89" t="s">
        <v>8</v>
      </c>
      <c r="F11" s="797" t="s">
        <v>1</v>
      </c>
      <c r="G11" s="797"/>
      <c r="H11" s="10" t="s">
        <v>60</v>
      </c>
      <c r="I11" s="11" t="s">
        <v>27</v>
      </c>
      <c r="N11" s="631"/>
      <c r="O11" s="631"/>
      <c r="P11" s="632"/>
      <c r="Q11" s="632"/>
      <c r="R11" s="833" t="s">
        <v>1</v>
      </c>
      <c r="S11" s="833"/>
      <c r="T11" s="15" t="s">
        <v>60</v>
      </c>
      <c r="U11" s="16" t="s">
        <v>27</v>
      </c>
    </row>
    <row r="12" spans="1:21" ht="15.75" customHeight="1" x14ac:dyDescent="0.25">
      <c r="A12" s="36" t="s">
        <v>1</v>
      </c>
      <c r="B12" s="36"/>
      <c r="C12" s="340" t="s">
        <v>2</v>
      </c>
      <c r="D12" s="340" t="s">
        <v>2</v>
      </c>
      <c r="E12" s="9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624"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c r="D14" s="141">
        <v>0</v>
      </c>
      <c r="E14" s="187">
        <f>IF(D$30=0,C14*2,C14+D14)</f>
        <v>0</v>
      </c>
      <c r="F14" s="846">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c r="D15" s="143">
        <v>0</v>
      </c>
      <c r="E15" s="116">
        <f t="shared" ref="E15:E29" si="1">IF(D$30=0,C15*2,C15+D15)</f>
        <v>0</v>
      </c>
      <c r="F15" s="850">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10.5</v>
      </c>
      <c r="D16" s="143">
        <v>0</v>
      </c>
      <c r="E16" s="116">
        <f t="shared" si="1"/>
        <v>21</v>
      </c>
      <c r="F16" s="850">
        <v>1</v>
      </c>
      <c r="G16" s="850"/>
      <c r="H16" s="80">
        <f t="shared" si="2"/>
        <v>21</v>
      </c>
      <c r="I16" s="101">
        <f>ROUND(ROUND(ROUND(H16*$C$8,4)*($H$8),2)*(MAX($H$9,1)),2)</f>
        <v>116829.87</v>
      </c>
      <c r="K16" s="236"/>
      <c r="N16" s="851" t="s">
        <v>22</v>
      </c>
      <c r="O16" s="851"/>
      <c r="P16" s="848">
        <f t="shared" si="0"/>
        <v>0</v>
      </c>
      <c r="Q16" s="848"/>
      <c r="R16" s="852">
        <v>1</v>
      </c>
      <c r="S16" s="852"/>
      <c r="T16" s="95">
        <f t="shared" si="4"/>
        <v>0</v>
      </c>
      <c r="U16" s="491">
        <f t="shared" si="5"/>
        <v>0</v>
      </c>
    </row>
    <row r="17" spans="1:21" x14ac:dyDescent="0.25">
      <c r="A17" s="804" t="s">
        <v>23</v>
      </c>
      <c r="B17" s="804"/>
      <c r="C17" s="143">
        <v>5</v>
      </c>
      <c r="D17" s="143">
        <v>0</v>
      </c>
      <c r="E17" s="116">
        <f t="shared" si="1"/>
        <v>10</v>
      </c>
      <c r="F17" s="850">
        <v>1</v>
      </c>
      <c r="G17" s="850"/>
      <c r="H17" s="80">
        <f t="shared" si="2"/>
        <v>10</v>
      </c>
      <c r="I17" s="101">
        <f>ROUND(ROUND(ROUND(H17*$C$8,4)*($H$8),2)*(MAX($H$9,1)),2)</f>
        <v>55633.27</v>
      </c>
      <c r="J17" s="65" t="str">
        <f>IF(ROUND(E17,2)=ROUND(SUM(E60:E62),2)," ","CHECK 4-8 LINES BELOW")</f>
        <v xml:space="preserve"> </v>
      </c>
      <c r="K17" s="236"/>
      <c r="N17" s="851" t="s">
        <v>23</v>
      </c>
      <c r="O17" s="851"/>
      <c r="P17" s="848">
        <f t="shared" si="0"/>
        <v>0</v>
      </c>
      <c r="Q17" s="848"/>
      <c r="R17" s="852">
        <v>1</v>
      </c>
      <c r="S17" s="852"/>
      <c r="T17" s="95">
        <f t="shared" si="4"/>
        <v>0</v>
      </c>
      <c r="U17" s="491">
        <f t="shared" si="5"/>
        <v>0</v>
      </c>
    </row>
    <row r="18" spans="1:21" x14ac:dyDescent="0.25">
      <c r="A18" s="804" t="s">
        <v>24</v>
      </c>
      <c r="B18" s="804"/>
      <c r="C18" s="143"/>
      <c r="D18" s="143">
        <v>0</v>
      </c>
      <c r="E18" s="116">
        <f>IF(D$30=0,C18*2,C18+D18)</f>
        <v>0</v>
      </c>
      <c r="F18" s="850">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c r="D19" s="143">
        <v>0</v>
      </c>
      <c r="E19" s="116">
        <f t="shared" si="1"/>
        <v>0</v>
      </c>
      <c r="F19" s="850">
        <v>0.97199999999999998</v>
      </c>
      <c r="G19" s="850"/>
      <c r="H19" s="80">
        <f>ROUND(E19*F19,4)</f>
        <v>0</v>
      </c>
      <c r="I19" s="101">
        <f>ROUND(ROUND(ROUND(H19*$C$8,4)*($H$8),2)*(MAX($H$9,1)),2)</f>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c r="D20" s="143">
        <v>0</v>
      </c>
      <c r="E20" s="116">
        <f t="shared" si="1"/>
        <v>0</v>
      </c>
      <c r="F20" s="850">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c r="D21" s="143">
        <v>0</v>
      </c>
      <c r="E21" s="116">
        <f t="shared" si="1"/>
        <v>0</v>
      </c>
      <c r="F21" s="850">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c r="D22" s="143"/>
      <c r="E22" s="116">
        <f t="shared" si="1"/>
        <v>0</v>
      </c>
      <c r="F22" s="850">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c r="D23" s="143">
        <v>0</v>
      </c>
      <c r="E23" s="116">
        <f t="shared" si="1"/>
        <v>0</v>
      </c>
      <c r="F23" s="850">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c r="D24" s="143">
        <v>0</v>
      </c>
      <c r="E24" s="116">
        <f t="shared" si="1"/>
        <v>0</v>
      </c>
      <c r="F24" s="850">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c r="D25" s="143"/>
      <c r="E25" s="116">
        <f t="shared" si="1"/>
        <v>0</v>
      </c>
      <c r="F25" s="850">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c r="D26" s="143">
        <v>0</v>
      </c>
      <c r="E26" s="116">
        <f t="shared" si="1"/>
        <v>0</v>
      </c>
      <c r="F26" s="850">
        <v>1.165</v>
      </c>
      <c r="G26" s="850"/>
      <c r="H26" s="80">
        <f t="shared" si="2"/>
        <v>0</v>
      </c>
      <c r="I26" s="101">
        <f t="shared" si="3"/>
        <v>0</v>
      </c>
      <c r="L26" s="250"/>
      <c r="N26" s="851" t="s">
        <v>85</v>
      </c>
      <c r="O26" s="851"/>
      <c r="P26" s="848">
        <f t="shared" si="0"/>
        <v>0</v>
      </c>
      <c r="Q26" s="848"/>
      <c r="R26" s="852">
        <v>1</v>
      </c>
      <c r="S26" s="852"/>
      <c r="T26" s="95">
        <f t="shared" si="4"/>
        <v>0</v>
      </c>
      <c r="U26" s="491">
        <f t="shared" si="5"/>
        <v>0</v>
      </c>
    </row>
    <row r="27" spans="1:21" x14ac:dyDescent="0.25">
      <c r="A27" s="804" t="s">
        <v>86</v>
      </c>
      <c r="B27" s="804"/>
      <c r="C27" s="143">
        <v>2.5</v>
      </c>
      <c r="D27" s="143">
        <v>0</v>
      </c>
      <c r="E27" s="116">
        <f t="shared" si="1"/>
        <v>5</v>
      </c>
      <c r="F27" s="850">
        <v>1.165</v>
      </c>
      <c r="G27" s="850"/>
      <c r="H27" s="80">
        <f t="shared" si="2"/>
        <v>5.8250000000000002</v>
      </c>
      <c r="I27" s="101">
        <f t="shared" si="3"/>
        <v>32406.38</v>
      </c>
      <c r="L27" s="250"/>
      <c r="N27" s="851" t="s">
        <v>86</v>
      </c>
      <c r="O27" s="851"/>
      <c r="P27" s="848">
        <f t="shared" si="0"/>
        <v>0</v>
      </c>
      <c r="Q27" s="848"/>
      <c r="R27" s="852">
        <v>1</v>
      </c>
      <c r="S27" s="852"/>
      <c r="T27" s="95">
        <f t="shared" si="4"/>
        <v>0</v>
      </c>
      <c r="U27" s="491">
        <f t="shared" si="5"/>
        <v>0</v>
      </c>
    </row>
    <row r="28" spans="1:21" x14ac:dyDescent="0.25">
      <c r="A28" s="804" t="s">
        <v>87</v>
      </c>
      <c r="B28" s="804"/>
      <c r="C28" s="143"/>
      <c r="D28" s="143">
        <v>0</v>
      </c>
      <c r="E28" s="116">
        <f t="shared" si="1"/>
        <v>0</v>
      </c>
      <c r="F28" s="850">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c r="D29" s="110">
        <v>0</v>
      </c>
      <c r="E29" s="154">
        <f t="shared" si="1"/>
        <v>0</v>
      </c>
      <c r="F29" s="850">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18</v>
      </c>
      <c r="D30" s="94">
        <f>SUM(D14:D29)</f>
        <v>0</v>
      </c>
      <c r="E30" s="94">
        <f>SUM(E14:E29)</f>
        <v>36</v>
      </c>
      <c r="F30" s="808"/>
      <c r="G30" s="808"/>
      <c r="H30" s="99">
        <f>SUM(H14:H29)</f>
        <v>36.825000000000003</v>
      </c>
      <c r="I30" s="94">
        <f>SUM(I14:I29)</f>
        <v>204869.52</v>
      </c>
      <c r="N30" s="855" t="s">
        <v>5</v>
      </c>
      <c r="O30" s="855"/>
      <c r="P30" s="856">
        <f>SUM(P14:P29)</f>
        <v>0</v>
      </c>
      <c r="Q30" s="856"/>
      <c r="R30" s="857"/>
      <c r="S30" s="857"/>
      <c r="T30" s="100">
        <f>SUM(T14:T29)</f>
        <v>0</v>
      </c>
      <c r="U30" s="491">
        <f>SUM(U14:U29)</f>
        <v>0</v>
      </c>
    </row>
    <row r="31" spans="1:21" x14ac:dyDescent="0.25">
      <c r="A31" s="616"/>
      <c r="B31" s="616"/>
      <c r="C31" s="101"/>
      <c r="D31" s="101"/>
      <c r="E31" s="101"/>
      <c r="F31" s="621"/>
      <c r="G31" s="621"/>
      <c r="H31" s="80"/>
      <c r="I31" s="101"/>
      <c r="N31" s="643"/>
      <c r="O31" s="643"/>
      <c r="P31" s="29"/>
      <c r="Q31" s="29"/>
      <c r="R31" s="636"/>
      <c r="S31" s="636"/>
      <c r="T31" s="102"/>
      <c r="U31" s="103"/>
    </row>
    <row r="32" spans="1:21" hidden="1" x14ac:dyDescent="0.25">
      <c r="A32" s="281" t="s">
        <v>251</v>
      </c>
      <c r="B32" s="616"/>
      <c r="C32" s="101"/>
      <c r="D32" s="101"/>
      <c r="E32" s="101"/>
      <c r="F32" s="621"/>
      <c r="G32" s="621"/>
      <c r="H32" s="80"/>
      <c r="I32" s="101"/>
      <c r="N32" s="643"/>
      <c r="O32" s="643"/>
      <c r="P32" s="29"/>
      <c r="Q32" s="29"/>
      <c r="R32" s="636"/>
      <c r="S32" s="636"/>
      <c r="T32" s="102"/>
      <c r="U32" s="103"/>
    </row>
    <row r="33" spans="1:21" hidden="1" x14ac:dyDescent="0.25">
      <c r="A33" s="146"/>
      <c r="B33" s="616"/>
      <c r="C33" s="101"/>
      <c r="D33" s="101"/>
      <c r="E33" s="101"/>
      <c r="F33" s="621"/>
      <c r="G33" s="621"/>
      <c r="H33" s="80"/>
      <c r="I33" s="101"/>
      <c r="N33" s="643"/>
      <c r="O33" s="643"/>
      <c r="P33" s="29"/>
      <c r="Q33" s="29"/>
      <c r="R33" s="636"/>
      <c r="S33" s="636"/>
      <c r="T33" s="102"/>
      <c r="U33" s="103"/>
    </row>
    <row r="34" spans="1:21" hidden="1" x14ac:dyDescent="0.25">
      <c r="A34" s="146"/>
      <c r="B34" s="616"/>
      <c r="C34" s="101"/>
      <c r="D34" s="101"/>
      <c r="E34" s="101"/>
      <c r="F34" s="860" t="s">
        <v>232</v>
      </c>
      <c r="G34" s="860"/>
      <c r="H34" s="860"/>
      <c r="I34" s="101"/>
      <c r="N34" s="643"/>
      <c r="O34" s="643"/>
      <c r="P34" s="29"/>
      <c r="Q34" s="29"/>
      <c r="R34" s="636"/>
      <c r="S34" s="636"/>
      <c r="T34" s="102"/>
      <c r="U34" s="103"/>
    </row>
    <row r="35" spans="1:21" ht="15.75" hidden="1" customHeight="1" x14ac:dyDescent="0.25">
      <c r="A35" s="3"/>
      <c r="B35" s="614"/>
      <c r="C35" s="614"/>
      <c r="D35" s="614"/>
      <c r="E35" s="614"/>
      <c r="F35" s="860"/>
      <c r="G35" s="860"/>
      <c r="H35" s="860"/>
      <c r="I35" s="24" t="str">
        <f>I10</f>
        <v>2025-26</v>
      </c>
      <c r="N35" s="829" t="s">
        <v>26</v>
      </c>
      <c r="O35" s="829"/>
      <c r="P35" s="829"/>
      <c r="Q35" s="829"/>
      <c r="R35" s="829"/>
      <c r="S35" s="829"/>
      <c r="T35" s="829"/>
      <c r="U35" s="25" t="str">
        <f>I35</f>
        <v>2025-26</v>
      </c>
    </row>
    <row r="36" spans="1:21" hidden="1" x14ac:dyDescent="0.25">
      <c r="A36" s="616"/>
      <c r="B36" s="616"/>
      <c r="C36" s="88" t="s">
        <v>334</v>
      </c>
      <c r="D36" s="88"/>
      <c r="E36" s="89" t="s">
        <v>8</v>
      </c>
      <c r="F36" s="860"/>
      <c r="G36" s="860"/>
      <c r="H36" s="860"/>
      <c r="I36" s="24" t="s">
        <v>27</v>
      </c>
      <c r="N36" s="643"/>
      <c r="O36" s="643"/>
      <c r="P36" s="29"/>
      <c r="Q36" s="29"/>
      <c r="R36" s="636"/>
      <c r="S36" s="636"/>
      <c r="T36" s="102"/>
      <c r="U36" s="25" t="s">
        <v>27</v>
      </c>
    </row>
    <row r="37" spans="1:21" ht="26.25" hidden="1" x14ac:dyDescent="0.25">
      <c r="A37" s="798" t="s">
        <v>50</v>
      </c>
      <c r="B37" s="798"/>
      <c r="C37" s="340" t="s">
        <v>2</v>
      </c>
      <c r="D37" s="340"/>
      <c r="E37" s="90" t="s">
        <v>2</v>
      </c>
      <c r="F37" s="861"/>
      <c r="G37" s="861"/>
      <c r="H37" s="861"/>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643"/>
      <c r="O45" s="643"/>
      <c r="P45" s="643"/>
      <c r="Q45" s="643"/>
      <c r="R45" s="33"/>
      <c r="S45" s="636"/>
      <c r="T45" s="636"/>
      <c r="U45" s="103"/>
    </row>
    <row r="46" spans="1:21" ht="16.5" hidden="1" thickBot="1" x14ac:dyDescent="0.3">
      <c r="A46" s="3"/>
      <c r="B46" s="52" t="s">
        <v>96</v>
      </c>
      <c r="E46" s="152">
        <f>H30+E44</f>
        <v>36.825000000000003</v>
      </c>
      <c r="F46" s="34"/>
      <c r="G46" s="106"/>
      <c r="H46" s="107" t="s">
        <v>98</v>
      </c>
      <c r="I46" s="94">
        <f>SUM(I44,I30)</f>
        <v>204869.52</v>
      </c>
      <c r="N46" s="863" t="s">
        <v>44</v>
      </c>
      <c r="O46" s="863"/>
      <c r="P46" s="863"/>
      <c r="Q46" s="863"/>
      <c r="R46" s="35">
        <f>R44+T30</f>
        <v>0</v>
      </c>
      <c r="S46" s="857" t="s">
        <v>42</v>
      </c>
      <c r="T46" s="857"/>
      <c r="U46" s="108">
        <f>SUM(U44,U30)</f>
        <v>0</v>
      </c>
    </row>
    <row r="47" spans="1:21" hidden="1" x14ac:dyDescent="0.25">
      <c r="A47" s="616"/>
      <c r="B47" s="616"/>
      <c r="C47" s="616"/>
      <c r="D47" s="616"/>
      <c r="E47" s="616"/>
      <c r="F47" s="34"/>
      <c r="G47" s="621"/>
      <c r="H47" s="621"/>
      <c r="I47" s="101"/>
      <c r="N47" s="643"/>
      <c r="O47" s="643"/>
      <c r="P47" s="643"/>
      <c r="Q47" s="643"/>
      <c r="R47" s="35"/>
      <c r="S47" s="636"/>
      <c r="T47" s="636"/>
      <c r="U47" s="103"/>
    </row>
    <row r="48" spans="1:21" x14ac:dyDescent="0.25">
      <c r="A48" s="613" t="s">
        <v>411</v>
      </c>
      <c r="B48" s="616"/>
      <c r="C48" s="616"/>
      <c r="D48" s="616"/>
      <c r="E48" s="616"/>
      <c r="F48" s="34"/>
      <c r="G48" s="621"/>
      <c r="H48" s="621"/>
      <c r="I48" s="101"/>
      <c r="N48" s="638" t="s">
        <v>411</v>
      </c>
      <c r="O48" s="643"/>
      <c r="P48" s="643"/>
      <c r="Q48" s="643"/>
      <c r="R48" s="35"/>
      <c r="S48" s="636"/>
      <c r="T48" s="636"/>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0" t="s">
        <v>413</v>
      </c>
      <c r="F50" s="411"/>
      <c r="G50" s="412"/>
      <c r="H50" s="412"/>
      <c r="I50" s="413"/>
      <c r="N50" s="431" t="s">
        <v>413</v>
      </c>
      <c r="O50" s="414"/>
      <c r="P50" s="414"/>
      <c r="Q50" s="414"/>
      <c r="R50" s="415"/>
      <c r="S50" s="416"/>
      <c r="T50" s="416"/>
      <c r="U50" s="423"/>
    </row>
    <row r="51" spans="1:22" x14ac:dyDescent="0.25">
      <c r="A51" s="408"/>
      <c r="B51" s="3" t="s">
        <v>556</v>
      </c>
      <c r="C51" s="616"/>
      <c r="D51" s="616"/>
      <c r="E51" s="626" t="s">
        <v>414</v>
      </c>
      <c r="F51" s="419">
        <v>204869.52</v>
      </c>
      <c r="G51" s="109" t="s">
        <v>6</v>
      </c>
      <c r="H51" s="420">
        <v>6.6699999999999995E-2</v>
      </c>
      <c r="I51" s="101">
        <f>ROUND(F51*H51,2)</f>
        <v>13664.8</v>
      </c>
      <c r="N51" s="425"/>
      <c r="O51" s="51" t="s">
        <v>556</v>
      </c>
      <c r="P51" s="643"/>
      <c r="Q51" s="44" t="s">
        <v>414</v>
      </c>
      <c r="R51" s="427">
        <f>U30</f>
        <v>0</v>
      </c>
      <c r="S51" s="428" t="s">
        <v>6</v>
      </c>
      <c r="T51" s="429">
        <v>6.6699999999999995E-2</v>
      </c>
      <c r="U51" s="421">
        <f>ROUND(R51*T51,2)</f>
        <v>0</v>
      </c>
    </row>
    <row r="52" spans="1:22" x14ac:dyDescent="0.25">
      <c r="A52" s="616"/>
      <c r="B52" s="756" t="s">
        <v>560</v>
      </c>
      <c r="C52" s="616"/>
      <c r="D52" s="616"/>
      <c r="E52" s="626" t="s">
        <v>414</v>
      </c>
      <c r="F52" s="419">
        <v>204869.52</v>
      </c>
      <c r="G52" s="109" t="s">
        <v>6</v>
      </c>
      <c r="H52" s="420">
        <v>5.4000000000000003E-3</v>
      </c>
      <c r="I52" s="101">
        <f>ROUND(F52*H52,2)</f>
        <v>1106.3</v>
      </c>
      <c r="N52" s="643"/>
      <c r="O52" s="757" t="s">
        <v>560</v>
      </c>
      <c r="P52" s="643"/>
      <c r="Q52" s="44" t="s">
        <v>414</v>
      </c>
      <c r="R52" s="427">
        <f>U30</f>
        <v>0</v>
      </c>
      <c r="S52" s="428" t="s">
        <v>6</v>
      </c>
      <c r="T52" s="429">
        <v>5.4000000000000003E-3</v>
      </c>
      <c r="U52" s="430">
        <f>ROUND(R52*T52,2)</f>
        <v>0</v>
      </c>
    </row>
    <row r="53" spans="1:22" x14ac:dyDescent="0.25">
      <c r="A53" s="616"/>
      <c r="B53" s="613" t="s">
        <v>415</v>
      </c>
      <c r="C53" s="616"/>
      <c r="D53" s="616"/>
      <c r="E53" s="626"/>
      <c r="F53" s="419"/>
      <c r="G53" s="109"/>
      <c r="H53" s="420"/>
      <c r="I53" s="97">
        <f>SUM(I51:I52)</f>
        <v>14771.099999999999</v>
      </c>
      <c r="N53" s="643"/>
      <c r="O53" s="638" t="s">
        <v>415</v>
      </c>
      <c r="P53" s="643"/>
      <c r="Q53" s="44"/>
      <c r="R53" s="427"/>
      <c r="S53" s="428"/>
      <c r="T53" s="429"/>
      <c r="U53" s="421">
        <f>SUM(U51:U52)</f>
        <v>0</v>
      </c>
    </row>
    <row r="54" spans="1:22" x14ac:dyDescent="0.25">
      <c r="A54" s="241"/>
      <c r="C54" s="619" t="s">
        <v>458</v>
      </c>
      <c r="D54" s="619" t="s">
        <v>458</v>
      </c>
      <c r="G54" s="42"/>
      <c r="H54" s="114"/>
      <c r="I54" s="114"/>
      <c r="N54" s="479"/>
      <c r="O54" s="51"/>
      <c r="P54" s="40" t="s">
        <v>458</v>
      </c>
      <c r="Q54" s="40" t="s">
        <v>458</v>
      </c>
      <c r="R54" s="51"/>
      <c r="S54" s="51"/>
      <c r="T54" s="480"/>
      <c r="U54" s="481"/>
      <c r="V54" s="114"/>
    </row>
    <row r="55" spans="1:22" x14ac:dyDescent="0.25">
      <c r="A55" s="616"/>
      <c r="B55" s="616"/>
      <c r="C55" s="88" t="s">
        <v>523</v>
      </c>
      <c r="D55" s="349" t="s">
        <v>524</v>
      </c>
      <c r="E55" s="89" t="s">
        <v>8</v>
      </c>
      <c r="F55" s="46" t="s">
        <v>452</v>
      </c>
      <c r="G55" s="109" t="s">
        <v>453</v>
      </c>
      <c r="H55" s="472" t="s">
        <v>454</v>
      </c>
      <c r="I55" s="101"/>
      <c r="N55" s="643"/>
      <c r="O55" s="643"/>
      <c r="P55" s="482"/>
      <c r="Q55" s="483"/>
      <c r="R55" s="484"/>
      <c r="S55" s="486" t="s">
        <v>453</v>
      </c>
      <c r="T55" s="487" t="s">
        <v>454</v>
      </c>
      <c r="U55" s="485"/>
      <c r="V55" s="442"/>
    </row>
    <row r="56" spans="1:22" x14ac:dyDescent="0.25">
      <c r="A56" s="36" t="s">
        <v>455</v>
      </c>
      <c r="B56" s="36"/>
      <c r="C56" s="340" t="s">
        <v>2</v>
      </c>
      <c r="D56" s="340" t="s">
        <v>2</v>
      </c>
      <c r="E56" s="90" t="s">
        <v>2</v>
      </c>
      <c r="F56" s="624" t="s">
        <v>456</v>
      </c>
      <c r="G56" s="618" t="s">
        <v>456</v>
      </c>
      <c r="H56" s="473" t="s">
        <v>457</v>
      </c>
      <c r="I56" s="36"/>
      <c r="N56" s="477" t="s">
        <v>455</v>
      </c>
      <c r="O56" s="477"/>
      <c r="P56" s="864" t="s">
        <v>2</v>
      </c>
      <c r="Q56" s="864"/>
      <c r="R56" s="477" t="s">
        <v>461</v>
      </c>
      <c r="S56" s="634" t="s">
        <v>456</v>
      </c>
      <c r="T56" s="488" t="s">
        <v>457</v>
      </c>
      <c r="U56" s="477"/>
      <c r="V56" s="476"/>
    </row>
    <row r="57" spans="1:22" x14ac:dyDescent="0.25">
      <c r="A57" s="814" t="s">
        <v>564</v>
      </c>
      <c r="B57" s="814"/>
      <c r="C57" s="143">
        <v>0</v>
      </c>
      <c r="D57" s="143">
        <v>0</v>
      </c>
      <c r="E57" s="116">
        <f t="shared" ref="E57:E59" si="10">IF(D$72=0,C57*2,C57+D57)</f>
        <v>0</v>
      </c>
      <c r="F57" s="617" t="s">
        <v>451</v>
      </c>
      <c r="G57" s="617">
        <v>251</v>
      </c>
      <c r="H57" s="475">
        <v>1047</v>
      </c>
      <c r="I57" s="101">
        <f>ROUND(E57*H57,2)</f>
        <v>0</v>
      </c>
      <c r="N57" s="865" t="s">
        <v>459</v>
      </c>
      <c r="O57" s="865"/>
      <c r="P57" s="867"/>
      <c r="Q57" s="867"/>
      <c r="R57" s="627" t="s">
        <v>451</v>
      </c>
      <c r="S57" s="627">
        <v>251</v>
      </c>
      <c r="T57" s="478">
        <f>H57</f>
        <v>1047</v>
      </c>
      <c r="U57" s="492">
        <f>ROUND(P57*T57,2)</f>
        <v>0</v>
      </c>
      <c r="V57" s="442"/>
    </row>
    <row r="58" spans="1:22" x14ac:dyDescent="0.25">
      <c r="A58" s="815"/>
      <c r="B58" s="815"/>
      <c r="C58" s="143">
        <v>0</v>
      </c>
      <c r="D58" s="143">
        <v>0</v>
      </c>
      <c r="E58" s="116">
        <f t="shared" si="10"/>
        <v>0</v>
      </c>
      <c r="F58" s="617" t="s">
        <v>451</v>
      </c>
      <c r="G58" s="617">
        <v>252</v>
      </c>
      <c r="H58" s="475">
        <v>3380</v>
      </c>
      <c r="I58" s="101">
        <f t="shared" ref="I58:I65" si="11">ROUND(E58*H58,2)</f>
        <v>0</v>
      </c>
      <c r="N58" s="866"/>
      <c r="O58" s="866"/>
      <c r="P58" s="868"/>
      <c r="Q58" s="868"/>
      <c r="R58" s="627" t="s">
        <v>451</v>
      </c>
      <c r="S58" s="627">
        <v>252</v>
      </c>
      <c r="T58" s="478">
        <f t="shared" ref="T58:T65" si="12">H58</f>
        <v>3380</v>
      </c>
      <c r="U58" s="492">
        <f t="shared" ref="U58:U65" si="13">ROUND(P58*T58,2)</f>
        <v>0</v>
      </c>
      <c r="V58" s="442"/>
    </row>
    <row r="59" spans="1:22" x14ac:dyDescent="0.25">
      <c r="A59" s="815"/>
      <c r="B59" s="815"/>
      <c r="C59" s="143">
        <v>0</v>
      </c>
      <c r="D59" s="143">
        <v>0</v>
      </c>
      <c r="E59" s="116">
        <f t="shared" si="10"/>
        <v>0</v>
      </c>
      <c r="F59" s="617" t="s">
        <v>451</v>
      </c>
      <c r="G59" s="617">
        <v>253</v>
      </c>
      <c r="H59" s="475">
        <v>6896</v>
      </c>
      <c r="I59" s="101">
        <f t="shared" si="11"/>
        <v>0</v>
      </c>
      <c r="N59" s="866"/>
      <c r="O59" s="866"/>
      <c r="P59" s="868"/>
      <c r="Q59" s="868"/>
      <c r="R59" s="627" t="s">
        <v>451</v>
      </c>
      <c r="S59" s="627">
        <v>253</v>
      </c>
      <c r="T59" s="478">
        <f t="shared" si="12"/>
        <v>6896</v>
      </c>
      <c r="U59" s="492">
        <f t="shared" si="13"/>
        <v>0</v>
      </c>
      <c r="V59" s="442"/>
    </row>
    <row r="60" spans="1:22" x14ac:dyDescent="0.25">
      <c r="A60" s="815"/>
      <c r="B60" s="815"/>
      <c r="C60" s="143">
        <v>5</v>
      </c>
      <c r="D60" s="143">
        <v>0</v>
      </c>
      <c r="E60" s="116">
        <f>IF(D$66=0,C60*2,C60+D60)</f>
        <v>10</v>
      </c>
      <c r="F60" s="619" t="s">
        <v>13</v>
      </c>
      <c r="G60" s="617">
        <v>251</v>
      </c>
      <c r="H60" s="475">
        <v>1173</v>
      </c>
      <c r="I60" s="101">
        <f t="shared" si="11"/>
        <v>11730</v>
      </c>
      <c r="N60" s="866"/>
      <c r="O60" s="866"/>
      <c r="P60" s="868"/>
      <c r="Q60" s="868"/>
      <c r="R60" s="40" t="s">
        <v>13</v>
      </c>
      <c r="S60" s="627">
        <v>251</v>
      </c>
      <c r="T60" s="478">
        <f t="shared" si="12"/>
        <v>1173</v>
      </c>
      <c r="U60" s="492">
        <f t="shared" si="13"/>
        <v>0</v>
      </c>
      <c r="V60" s="442"/>
    </row>
    <row r="61" spans="1:22" x14ac:dyDescent="0.25">
      <c r="A61" s="815"/>
      <c r="B61" s="815"/>
      <c r="C61" s="143">
        <v>0</v>
      </c>
      <c r="D61" s="143">
        <v>0</v>
      </c>
      <c r="E61" s="116">
        <f t="shared" ref="E61:E65" si="14">IF(D$66=0,C61*2,C61+D61)</f>
        <v>0</v>
      </c>
      <c r="F61" s="619" t="s">
        <v>13</v>
      </c>
      <c r="G61" s="617">
        <v>252</v>
      </c>
      <c r="H61" s="475">
        <v>3506</v>
      </c>
      <c r="I61" s="101">
        <f t="shared" si="11"/>
        <v>0</v>
      </c>
      <c r="N61" s="866"/>
      <c r="O61" s="866"/>
      <c r="P61" s="868"/>
      <c r="Q61" s="868"/>
      <c r="R61" s="40" t="s">
        <v>13</v>
      </c>
      <c r="S61" s="627">
        <v>252</v>
      </c>
      <c r="T61" s="478">
        <f t="shared" si="12"/>
        <v>3506</v>
      </c>
      <c r="U61" s="492">
        <f t="shared" si="13"/>
        <v>0</v>
      </c>
      <c r="V61" s="442"/>
    </row>
    <row r="62" spans="1:22" x14ac:dyDescent="0.25">
      <c r="A62" s="815"/>
      <c r="B62" s="815"/>
      <c r="C62" s="143">
        <v>0</v>
      </c>
      <c r="D62" s="143">
        <v>0</v>
      </c>
      <c r="E62" s="116">
        <f t="shared" si="14"/>
        <v>0</v>
      </c>
      <c r="F62" s="619" t="s">
        <v>13</v>
      </c>
      <c r="G62" s="617">
        <v>253</v>
      </c>
      <c r="H62" s="475">
        <v>7023</v>
      </c>
      <c r="I62" s="101">
        <f t="shared" si="11"/>
        <v>0</v>
      </c>
      <c r="N62" s="866"/>
      <c r="O62" s="866"/>
      <c r="P62" s="868"/>
      <c r="Q62" s="868"/>
      <c r="R62" s="40" t="s">
        <v>13</v>
      </c>
      <c r="S62" s="627">
        <v>253</v>
      </c>
      <c r="T62" s="478">
        <f t="shared" si="12"/>
        <v>7023</v>
      </c>
      <c r="U62" s="492">
        <f t="shared" si="13"/>
        <v>0</v>
      </c>
      <c r="V62" s="442"/>
    </row>
    <row r="63" spans="1:22" x14ac:dyDescent="0.25">
      <c r="A63" s="815"/>
      <c r="B63" s="815"/>
      <c r="C63" s="143">
        <v>0</v>
      </c>
      <c r="D63" s="143">
        <v>0</v>
      </c>
      <c r="E63" s="116">
        <f t="shared" si="14"/>
        <v>0</v>
      </c>
      <c r="F63" s="619" t="s">
        <v>14</v>
      </c>
      <c r="G63" s="617">
        <v>251</v>
      </c>
      <c r="H63" s="475">
        <v>835</v>
      </c>
      <c r="I63" s="101">
        <f>ROUND(E63*H63,2)</f>
        <v>0</v>
      </c>
      <c r="N63" s="866"/>
      <c r="O63" s="866"/>
      <c r="P63" s="868"/>
      <c r="Q63" s="868"/>
      <c r="R63" s="40" t="s">
        <v>14</v>
      </c>
      <c r="S63" s="627">
        <v>251</v>
      </c>
      <c r="T63" s="478">
        <f t="shared" si="12"/>
        <v>835</v>
      </c>
      <c r="U63" s="492">
        <f t="shared" si="13"/>
        <v>0</v>
      </c>
      <c r="V63" s="442"/>
    </row>
    <row r="64" spans="1:22" x14ac:dyDescent="0.25">
      <c r="A64" s="815"/>
      <c r="B64" s="815"/>
      <c r="C64" s="143">
        <v>0</v>
      </c>
      <c r="D64" s="143">
        <v>0</v>
      </c>
      <c r="E64" s="116">
        <f t="shared" si="14"/>
        <v>0</v>
      </c>
      <c r="F64" s="619" t="s">
        <v>14</v>
      </c>
      <c r="G64" s="617">
        <v>252</v>
      </c>
      <c r="H64" s="475">
        <v>3168</v>
      </c>
      <c r="I64" s="101">
        <f t="shared" si="11"/>
        <v>0</v>
      </c>
      <c r="N64" s="866"/>
      <c r="O64" s="866"/>
      <c r="P64" s="868"/>
      <c r="Q64" s="868"/>
      <c r="R64" s="40" t="s">
        <v>14</v>
      </c>
      <c r="S64" s="627">
        <v>252</v>
      </c>
      <c r="T64" s="478">
        <f t="shared" si="12"/>
        <v>3168</v>
      </c>
      <c r="U64" s="492">
        <f t="shared" si="13"/>
        <v>0</v>
      </c>
      <c r="V64" s="442"/>
    </row>
    <row r="65" spans="1:22" ht="16.5" thickBot="1" x14ac:dyDescent="0.3">
      <c r="A65" s="815"/>
      <c r="B65" s="815"/>
      <c r="C65" s="143">
        <v>0</v>
      </c>
      <c r="D65" s="143">
        <v>0</v>
      </c>
      <c r="E65" s="116">
        <f t="shared" si="14"/>
        <v>0</v>
      </c>
      <c r="F65" s="619" t="s">
        <v>14</v>
      </c>
      <c r="G65" s="617">
        <v>253</v>
      </c>
      <c r="H65" s="475">
        <v>6685</v>
      </c>
      <c r="I65" s="101">
        <f t="shared" si="11"/>
        <v>0</v>
      </c>
      <c r="N65" s="866"/>
      <c r="O65" s="866"/>
      <c r="P65" s="874"/>
      <c r="Q65" s="874"/>
      <c r="R65" s="40" t="s">
        <v>14</v>
      </c>
      <c r="S65" s="627">
        <v>253</v>
      </c>
      <c r="T65" s="478">
        <f t="shared" si="12"/>
        <v>6685</v>
      </c>
      <c r="U65" s="493">
        <f t="shared" si="13"/>
        <v>0</v>
      </c>
      <c r="V65" s="442"/>
    </row>
    <row r="66" spans="1:22" ht="16.5" thickBot="1" x14ac:dyDescent="0.3">
      <c r="A66" s="241"/>
      <c r="C66" s="97">
        <f>SUM(C57:C65)</f>
        <v>5</v>
      </c>
      <c r="D66" s="97">
        <f>SUM(D57:D65)</f>
        <v>0</v>
      </c>
      <c r="E66" s="97">
        <f>SUM(E57:E65)</f>
        <v>10</v>
      </c>
      <c r="F66" s="816" t="s">
        <v>460</v>
      </c>
      <c r="G66" s="816"/>
      <c r="H66" s="816"/>
      <c r="I66" s="97">
        <f>SUM(I57:I65)</f>
        <v>11730</v>
      </c>
      <c r="N66" s="479"/>
      <c r="O66" s="51"/>
      <c r="P66" s="875">
        <f>SUM(P57:P65)</f>
        <v>0</v>
      </c>
      <c r="Q66" s="875"/>
      <c r="R66" s="863" t="s">
        <v>460</v>
      </c>
      <c r="S66" s="863"/>
      <c r="T66" s="863"/>
      <c r="U66" s="494">
        <f>SUM(U57:U65)</f>
        <v>0</v>
      </c>
      <c r="V66" s="442"/>
    </row>
    <row r="67" spans="1:22" x14ac:dyDescent="0.25">
      <c r="A67" s="241"/>
      <c r="C67" s="101"/>
      <c r="D67" s="101"/>
      <c r="E67" s="101"/>
      <c r="F67" s="616"/>
      <c r="G67" s="616"/>
      <c r="H67" s="616"/>
      <c r="I67" s="101"/>
      <c r="N67" s="633"/>
      <c r="O67" s="633"/>
      <c r="P67" s="633"/>
      <c r="Q67" s="633"/>
      <c r="R67" s="633"/>
      <c r="S67" s="633"/>
      <c r="T67" s="637"/>
      <c r="U67" s="637"/>
    </row>
    <row r="68" spans="1:22" x14ac:dyDescent="0.25">
      <c r="A68" s="613" t="s">
        <v>462</v>
      </c>
      <c r="N68" s="638" t="s">
        <v>470</v>
      </c>
      <c r="O68" s="51"/>
      <c r="P68" s="51"/>
      <c r="Q68" s="51"/>
      <c r="R68" s="51"/>
      <c r="S68" s="51"/>
      <c r="T68" s="51"/>
      <c r="U68" s="51"/>
    </row>
    <row r="69" spans="1:22" x14ac:dyDescent="0.25">
      <c r="A69" s="810" t="s">
        <v>416</v>
      </c>
      <c r="B69" s="804"/>
      <c r="C69" s="112">
        <f>E30</f>
        <v>36</v>
      </c>
      <c r="D69" s="791" t="s">
        <v>427</v>
      </c>
      <c r="E69" s="791"/>
      <c r="F69" s="791"/>
      <c r="G69" s="791"/>
      <c r="H69" s="287">
        <v>215320.92</v>
      </c>
      <c r="I69" s="113"/>
      <c r="N69" s="870" t="s">
        <v>420</v>
      </c>
      <c r="O69" s="851"/>
      <c r="P69" s="41">
        <f>P30</f>
        <v>0</v>
      </c>
      <c r="Q69" s="871" t="s">
        <v>422</v>
      </c>
      <c r="R69" s="872"/>
      <c r="S69" s="872"/>
      <c r="T69" s="873">
        <f>H69</f>
        <v>215320.92</v>
      </c>
      <c r="U69" s="873"/>
    </row>
    <row r="70" spans="1:22" x14ac:dyDescent="0.25">
      <c r="B70" s="614"/>
      <c r="G70" s="42" t="s">
        <v>12</v>
      </c>
      <c r="H70" s="114">
        <f>ROUND(C69/H69,6)</f>
        <v>1.6699999999999999E-4</v>
      </c>
      <c r="I70" s="115"/>
      <c r="N70" s="851"/>
      <c r="O70" s="851"/>
      <c r="P70" s="851"/>
      <c r="Q70" s="851"/>
      <c r="R70" s="851"/>
      <c r="S70" s="851"/>
      <c r="T70" s="869">
        <f>ROUND(P69/T69,6)</f>
        <v>0</v>
      </c>
      <c r="U70" s="869"/>
    </row>
    <row r="71" spans="1:22" x14ac:dyDescent="0.25">
      <c r="A71" s="613" t="s">
        <v>463</v>
      </c>
      <c r="N71" s="638" t="s">
        <v>471</v>
      </c>
      <c r="O71" s="51"/>
      <c r="P71" s="51"/>
      <c r="Q71" s="51"/>
      <c r="R71" s="51"/>
      <c r="S71" s="51"/>
      <c r="T71" s="51"/>
      <c r="U71" s="51"/>
    </row>
    <row r="72" spans="1:22" x14ac:dyDescent="0.25">
      <c r="A72" s="810" t="s">
        <v>417</v>
      </c>
      <c r="B72" s="804"/>
      <c r="C72" s="112">
        <f>H30</f>
        <v>36.825000000000003</v>
      </c>
      <c r="D72" s="791" t="s">
        <v>428</v>
      </c>
      <c r="E72" s="791"/>
      <c r="F72" s="791"/>
      <c r="G72" s="791"/>
      <c r="H72" s="288">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1.6100000000000001E-4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36</v>
      </c>
      <c r="D75" s="783" t="s">
        <v>429</v>
      </c>
      <c r="E75" s="783"/>
      <c r="F75" s="783"/>
      <c r="G75" s="783"/>
      <c r="H75" s="287">
        <v>186156.17</v>
      </c>
      <c r="I75" s="113"/>
      <c r="N75" s="870" t="s">
        <v>419</v>
      </c>
      <c r="O75" s="851"/>
      <c r="P75" s="41">
        <f>P30</f>
        <v>0</v>
      </c>
      <c r="Q75" s="878" t="s">
        <v>424</v>
      </c>
      <c r="R75" s="879"/>
      <c r="S75" s="879"/>
      <c r="T75" s="873">
        <f>H75</f>
        <v>186156.17</v>
      </c>
      <c r="U75" s="873"/>
    </row>
    <row r="76" spans="1:22" x14ac:dyDescent="0.25">
      <c r="B76" s="614"/>
      <c r="G76" s="42" t="s">
        <v>12</v>
      </c>
      <c r="H76" s="114">
        <f>ROUND(C75/H75,6)</f>
        <v>1.93E-4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36</v>
      </c>
      <c r="D78" s="811" t="s">
        <v>430</v>
      </c>
      <c r="E78" s="811"/>
      <c r="F78" s="811"/>
      <c r="G78" s="811"/>
      <c r="H78" s="287">
        <v>215016.58000000002</v>
      </c>
      <c r="I78" s="113"/>
      <c r="N78" s="870" t="s">
        <v>419</v>
      </c>
      <c r="O78" s="851"/>
      <c r="P78" s="41">
        <f>P30</f>
        <v>0</v>
      </c>
      <c r="Q78" s="876" t="s">
        <v>425</v>
      </c>
      <c r="R78" s="877"/>
      <c r="S78" s="877"/>
      <c r="T78" s="873">
        <f>H78</f>
        <v>215016.58000000002</v>
      </c>
      <c r="U78" s="873"/>
    </row>
    <row r="79" spans="1:22" x14ac:dyDescent="0.25">
      <c r="B79" s="614"/>
      <c r="G79" s="42" t="s">
        <v>12</v>
      </c>
      <c r="H79" s="114">
        <f>ROUND(C78/H78,6)</f>
        <v>1.6699999999999999E-4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36</v>
      </c>
      <c r="D81" s="783" t="s">
        <v>431</v>
      </c>
      <c r="E81" s="783"/>
      <c r="F81" s="783"/>
      <c r="G81" s="783"/>
      <c r="H81" s="287">
        <v>185851.83000000002</v>
      </c>
      <c r="I81" s="113"/>
      <c r="N81" s="870" t="s">
        <v>432</v>
      </c>
      <c r="O81" s="851"/>
      <c r="P81" s="41">
        <f>P30</f>
        <v>0</v>
      </c>
      <c r="Q81" s="878" t="s">
        <v>433</v>
      </c>
      <c r="R81" s="879"/>
      <c r="S81" s="879"/>
      <c r="T81" s="873">
        <f>H81</f>
        <v>185851.83000000002</v>
      </c>
      <c r="U81" s="873"/>
    </row>
    <row r="82" spans="1:21" x14ac:dyDescent="0.25">
      <c r="B82" s="614"/>
      <c r="G82" s="42" t="s">
        <v>12</v>
      </c>
      <c r="H82" s="114">
        <f>ROUND(C81/H81,6)</f>
        <v>1.94E-4</v>
      </c>
      <c r="I82" s="115"/>
      <c r="N82" s="851"/>
      <c r="O82" s="851"/>
      <c r="P82" s="851"/>
      <c r="Q82" s="851"/>
      <c r="R82" s="851"/>
      <c r="S82" s="851"/>
      <c r="T82" s="869">
        <f>ROUND(P81/T81,6)</f>
        <v>0</v>
      </c>
      <c r="U82" s="869"/>
    </row>
    <row r="83" spans="1:21" x14ac:dyDescent="0.25">
      <c r="A83" s="241"/>
      <c r="G83" s="42"/>
      <c r="H83" s="114"/>
      <c r="I83" s="114"/>
      <c r="N83" s="633"/>
      <c r="O83" s="633"/>
      <c r="P83" s="633"/>
      <c r="Q83" s="633"/>
      <c r="R83" s="633"/>
      <c r="S83" s="633"/>
      <c r="T83" s="637"/>
      <c r="U83" s="637"/>
    </row>
    <row r="84" spans="1:21" x14ac:dyDescent="0.25">
      <c r="A84" s="241"/>
      <c r="G84" s="42"/>
      <c r="H84" s="114"/>
      <c r="I84" s="114"/>
      <c r="N84" s="633"/>
      <c r="O84" s="633"/>
      <c r="P84" s="633"/>
      <c r="Q84" s="633"/>
      <c r="R84" s="633"/>
      <c r="S84" s="633"/>
      <c r="T84" s="637"/>
      <c r="U84" s="637"/>
    </row>
    <row r="85" spans="1:21" x14ac:dyDescent="0.25">
      <c r="A85" s="613" t="s">
        <v>467</v>
      </c>
      <c r="D85" s="614"/>
      <c r="E85" s="626" t="s">
        <v>316</v>
      </c>
      <c r="F85" s="289">
        <v>47290747</v>
      </c>
      <c r="G85" s="617" t="s">
        <v>6</v>
      </c>
      <c r="H85" s="440">
        <f>H79</f>
        <v>1.6699999999999999E-4</v>
      </c>
      <c r="I85" s="101">
        <f>ROUND(F85*H85,2)</f>
        <v>7897.55</v>
      </c>
      <c r="N85" s="638" t="s">
        <v>467</v>
      </c>
      <c r="O85" s="51"/>
      <c r="P85" s="51"/>
      <c r="Q85" s="44"/>
      <c r="R85" s="437">
        <f>F85</f>
        <v>47290747</v>
      </c>
      <c r="S85" s="627" t="s">
        <v>6</v>
      </c>
      <c r="T85" s="439">
        <f>T79</f>
        <v>0</v>
      </c>
      <c r="U85" s="491">
        <f>ROUND(R85*T85,2)</f>
        <v>0</v>
      </c>
    </row>
    <row r="86" spans="1:21" x14ac:dyDescent="0.25">
      <c r="A86" s="418"/>
      <c r="D86" s="614"/>
      <c r="E86" s="626"/>
      <c r="F86" s="275"/>
      <c r="G86" s="617"/>
      <c r="H86" s="440"/>
      <c r="I86" s="101"/>
      <c r="N86" s="51"/>
      <c r="O86" s="51"/>
      <c r="P86" s="51"/>
      <c r="Q86" s="44"/>
      <c r="R86" s="438"/>
      <c r="S86" s="627"/>
      <c r="T86" s="439"/>
      <c r="U86" s="495"/>
    </row>
    <row r="87" spans="1:21" x14ac:dyDescent="0.25">
      <c r="A87" s="813" t="s">
        <v>71</v>
      </c>
      <c r="B87" s="804"/>
      <c r="C87" s="804"/>
      <c r="D87" s="614"/>
      <c r="E87" s="626"/>
      <c r="F87" s="275"/>
      <c r="G87" s="617"/>
      <c r="H87" s="440"/>
      <c r="I87" s="101"/>
      <c r="N87" s="870" t="s">
        <v>475</v>
      </c>
      <c r="O87" s="851"/>
      <c r="P87" s="851"/>
      <c r="Q87" s="51"/>
      <c r="R87" s="438"/>
      <c r="S87" s="51"/>
      <c r="T87" s="627"/>
      <c r="U87" s="496"/>
    </row>
    <row r="88" spans="1:21" x14ac:dyDescent="0.25">
      <c r="A88" s="813" t="s">
        <v>99</v>
      </c>
      <c r="B88" s="804"/>
      <c r="C88" s="804"/>
      <c r="D88" s="614"/>
      <c r="E88" s="626" t="s">
        <v>3</v>
      </c>
      <c r="F88" s="289">
        <v>0</v>
      </c>
      <c r="G88" s="617" t="s">
        <v>6</v>
      </c>
      <c r="H88" s="440">
        <f>H70</f>
        <v>1.6699999999999999E-4</v>
      </c>
      <c r="I88" s="101">
        <f>ROUND(F88*H88,2)</f>
        <v>0</v>
      </c>
      <c r="N88" s="880" t="s">
        <v>99</v>
      </c>
      <c r="O88" s="851"/>
      <c r="P88" s="851"/>
      <c r="Q88" s="44"/>
      <c r="R88" s="437">
        <f>F88</f>
        <v>0</v>
      </c>
      <c r="S88" s="627" t="s">
        <v>6</v>
      </c>
      <c r="T88" s="439">
        <f>T70</f>
        <v>0</v>
      </c>
      <c r="U88" s="491">
        <f>ROUND(R88*T88,2)</f>
        <v>0</v>
      </c>
    </row>
    <row r="89" spans="1:21" x14ac:dyDescent="0.25">
      <c r="A89" s="620"/>
      <c r="B89" s="614"/>
      <c r="C89" s="614"/>
      <c r="D89" s="614"/>
      <c r="E89" s="626"/>
      <c r="F89" s="275"/>
      <c r="G89" s="617"/>
      <c r="H89" s="440"/>
      <c r="I89" s="101"/>
      <c r="N89" s="639"/>
      <c r="O89" s="633"/>
      <c r="P89" s="633"/>
      <c r="Q89" s="44"/>
      <c r="R89" s="437"/>
      <c r="S89" s="627"/>
      <c r="T89" s="439"/>
      <c r="U89" s="491"/>
    </row>
    <row r="90" spans="1:21" x14ac:dyDescent="0.25">
      <c r="A90" s="613" t="s">
        <v>468</v>
      </c>
      <c r="D90" s="614"/>
      <c r="E90" s="626" t="s">
        <v>434</v>
      </c>
      <c r="F90" s="289">
        <v>19167881</v>
      </c>
      <c r="G90" s="617" t="s">
        <v>6</v>
      </c>
      <c r="H90" s="440">
        <f>H82</f>
        <v>1.94E-4</v>
      </c>
      <c r="I90" s="101">
        <f>ROUND(F90*H90,2)</f>
        <v>3718.57</v>
      </c>
      <c r="N90" s="638" t="s">
        <v>468</v>
      </c>
      <c r="O90" s="51"/>
      <c r="P90" s="51"/>
      <c r="Q90" s="44"/>
      <c r="R90" s="437">
        <f>F90</f>
        <v>19167881</v>
      </c>
      <c r="S90" s="627" t="s">
        <v>6</v>
      </c>
      <c r="T90" s="439">
        <f>T82</f>
        <v>0</v>
      </c>
      <c r="U90" s="491">
        <f>ROUND(R90*T90,2)</f>
        <v>0</v>
      </c>
    </row>
    <row r="91" spans="1:21" x14ac:dyDescent="0.25">
      <c r="A91" s="418"/>
      <c r="D91" s="614"/>
      <c r="E91" s="626"/>
      <c r="F91" s="275"/>
      <c r="G91" s="617"/>
      <c r="H91" s="440"/>
      <c r="I91" s="101"/>
      <c r="N91" s="426"/>
      <c r="O91" s="51"/>
      <c r="P91" s="51"/>
      <c r="Q91" s="44"/>
      <c r="R91" s="437"/>
      <c r="S91" s="627"/>
      <c r="T91" s="439"/>
      <c r="U91" s="491"/>
    </row>
    <row r="92" spans="1:21" x14ac:dyDescent="0.25">
      <c r="A92" s="754" t="s">
        <v>562</v>
      </c>
      <c r="B92" s="755"/>
      <c r="C92" s="755"/>
      <c r="D92" s="748"/>
      <c r="E92" s="747" t="s">
        <v>563</v>
      </c>
      <c r="F92" s="289">
        <v>11546889</v>
      </c>
      <c r="G92" s="617" t="s">
        <v>6</v>
      </c>
      <c r="H92" s="440">
        <f>H76</f>
        <v>1.93E-4</v>
      </c>
      <c r="I92" s="101">
        <f t="shared" ref="I92:I98" si="15">ROUND(F92*H92,2)</f>
        <v>2228.5500000000002</v>
      </c>
      <c r="N92" s="638" t="s">
        <v>469</v>
      </c>
      <c r="O92" s="51"/>
      <c r="P92" s="51"/>
      <c r="Q92" s="44"/>
      <c r="R92" s="437">
        <f t="shared" ref="R92:R96" si="16">F92</f>
        <v>11546889</v>
      </c>
      <c r="S92" s="627" t="s">
        <v>6</v>
      </c>
      <c r="T92" s="439">
        <f>T76</f>
        <v>0</v>
      </c>
      <c r="U92" s="491">
        <f>ROUND(R92*T92,2)</f>
        <v>0</v>
      </c>
    </row>
    <row r="93" spans="1:21" x14ac:dyDescent="0.25">
      <c r="A93" s="613"/>
      <c r="D93" s="614"/>
      <c r="E93" s="626"/>
      <c r="F93" s="275"/>
      <c r="G93" s="617"/>
      <c r="H93" s="440"/>
      <c r="I93" s="101"/>
      <c r="N93" s="638"/>
      <c r="O93" s="51"/>
      <c r="P93" s="51"/>
      <c r="Q93" s="44"/>
      <c r="R93" s="438"/>
      <c r="S93" s="627"/>
      <c r="T93" s="439"/>
      <c r="U93" s="495"/>
    </row>
    <row r="94" spans="1:21" x14ac:dyDescent="0.25">
      <c r="A94" s="810" t="s">
        <v>435</v>
      </c>
      <c r="B94" s="804"/>
      <c r="C94" s="804"/>
      <c r="D94" s="614"/>
      <c r="E94" s="626" t="s">
        <v>4</v>
      </c>
      <c r="F94" s="289">
        <v>268816278</v>
      </c>
      <c r="G94" s="617" t="s">
        <v>6</v>
      </c>
      <c r="H94" s="440">
        <f>H73</f>
        <v>1.6100000000000001E-4</v>
      </c>
      <c r="I94" s="101">
        <f t="shared" si="15"/>
        <v>43279.42</v>
      </c>
      <c r="N94" s="851" t="s">
        <v>435</v>
      </c>
      <c r="O94" s="851"/>
      <c r="P94" s="851"/>
      <c r="Q94" s="44"/>
      <c r="R94" s="437">
        <f t="shared" si="16"/>
        <v>268816278</v>
      </c>
      <c r="S94" s="627" t="s">
        <v>6</v>
      </c>
      <c r="T94" s="439">
        <f>T73</f>
        <v>0</v>
      </c>
      <c r="U94" s="491">
        <f>ROUND(R94*T94,2)</f>
        <v>0</v>
      </c>
    </row>
    <row r="95" spans="1:21" x14ac:dyDescent="0.25">
      <c r="A95" s="613"/>
      <c r="B95" s="614"/>
      <c r="C95" s="614"/>
      <c r="D95" s="614"/>
      <c r="E95" s="626"/>
      <c r="F95" s="275"/>
      <c r="G95" s="617"/>
      <c r="H95" s="440"/>
      <c r="I95" s="101"/>
      <c r="N95" s="633"/>
      <c r="O95" s="633"/>
      <c r="P95" s="633"/>
      <c r="Q95" s="44"/>
      <c r="R95" s="437"/>
      <c r="S95" s="627"/>
      <c r="T95" s="439"/>
      <c r="U95" s="491"/>
    </row>
    <row r="96" spans="1:21" x14ac:dyDescent="0.25">
      <c r="A96" s="810" t="s">
        <v>436</v>
      </c>
      <c r="B96" s="804"/>
      <c r="C96" s="804"/>
      <c r="D96" s="614"/>
      <c r="E96" s="626" t="s">
        <v>4</v>
      </c>
      <c r="F96" s="289">
        <v>0</v>
      </c>
      <c r="G96" s="617" t="s">
        <v>6</v>
      </c>
      <c r="H96" s="440">
        <f>H73</f>
        <v>1.6100000000000001E-4</v>
      </c>
      <c r="I96" s="101">
        <f t="shared" si="15"/>
        <v>0</v>
      </c>
      <c r="N96" s="870" t="s">
        <v>436</v>
      </c>
      <c r="O96" s="870"/>
      <c r="P96" s="870"/>
      <c r="Q96" s="44"/>
      <c r="R96" s="437">
        <f t="shared" si="16"/>
        <v>0</v>
      </c>
      <c r="S96" s="627" t="s">
        <v>6</v>
      </c>
      <c r="T96" s="439">
        <f>T73</f>
        <v>0</v>
      </c>
      <c r="U96" s="491">
        <f>ROUND(R96*T96,2)</f>
        <v>0</v>
      </c>
    </row>
    <row r="97" spans="1:21" x14ac:dyDescent="0.25">
      <c r="A97" s="613"/>
      <c r="B97" s="614"/>
      <c r="C97" s="614"/>
      <c r="D97" s="614"/>
      <c r="E97" s="626"/>
      <c r="F97" s="275"/>
      <c r="G97" s="617"/>
      <c r="H97" s="440"/>
      <c r="I97" s="101"/>
      <c r="N97" s="638"/>
      <c r="O97" s="638"/>
      <c r="P97" s="638"/>
      <c r="Q97" s="44"/>
      <c r="R97" s="552"/>
      <c r="S97" s="627"/>
      <c r="T97" s="439"/>
      <c r="U97" s="495"/>
    </row>
    <row r="98" spans="1:21" x14ac:dyDescent="0.25">
      <c r="A98" s="696" t="s">
        <v>507</v>
      </c>
      <c r="B98" s="614"/>
      <c r="C98" s="614"/>
      <c r="D98" s="614"/>
      <c r="E98" s="626" t="s">
        <v>3</v>
      </c>
      <c r="F98" s="289">
        <v>0</v>
      </c>
      <c r="G98" s="617" t="s">
        <v>6</v>
      </c>
      <c r="H98" s="440">
        <f>H70</f>
        <v>1.6699999999999999E-4</v>
      </c>
      <c r="I98" s="101">
        <f t="shared" si="15"/>
        <v>0</v>
      </c>
      <c r="N98" s="638" t="s">
        <v>507</v>
      </c>
      <c r="O98" s="638"/>
      <c r="P98" s="638"/>
      <c r="Q98" s="44"/>
      <c r="R98" s="553">
        <f>F98</f>
        <v>0</v>
      </c>
      <c r="S98" s="627" t="s">
        <v>6</v>
      </c>
      <c r="T98" s="439">
        <f>T70</f>
        <v>0</v>
      </c>
      <c r="U98" s="491">
        <f>ROUND(R98*T98,2)</f>
        <v>0</v>
      </c>
    </row>
    <row r="99" spans="1:21" x14ac:dyDescent="0.25">
      <c r="A99" s="613"/>
      <c r="B99" s="614"/>
      <c r="C99" s="614"/>
      <c r="D99" s="614"/>
      <c r="E99" s="626"/>
      <c r="F99" s="275"/>
      <c r="G99" s="617"/>
      <c r="H99" s="440"/>
      <c r="I99" s="101"/>
      <c r="N99" s="638"/>
      <c r="O99" s="638"/>
      <c r="P99" s="638"/>
      <c r="Q99" s="44"/>
      <c r="R99" s="552"/>
      <c r="S99" s="627"/>
      <c r="T99" s="439"/>
      <c r="U99" s="495"/>
    </row>
    <row r="100" spans="1:21" x14ac:dyDescent="0.25">
      <c r="A100" s="613"/>
      <c r="B100" s="614"/>
      <c r="C100" s="614"/>
      <c r="D100" s="614"/>
      <c r="E100" s="626"/>
      <c r="F100" s="275"/>
      <c r="G100" s="617"/>
      <c r="H100" s="440"/>
      <c r="I100" s="101"/>
      <c r="N100" s="638"/>
      <c r="O100" s="638"/>
      <c r="P100" s="638"/>
      <c r="Q100" s="44"/>
      <c r="R100" s="438"/>
      <c r="S100" s="627"/>
      <c r="T100" s="439"/>
      <c r="U100" s="103"/>
    </row>
    <row r="101" spans="1:21" ht="15" customHeight="1" x14ac:dyDescent="0.25">
      <c r="A101" s="418" t="s">
        <v>508</v>
      </c>
      <c r="N101" s="426" t="s">
        <v>508</v>
      </c>
      <c r="O101" s="51"/>
      <c r="P101" s="51"/>
      <c r="Q101" s="51"/>
      <c r="R101" s="51"/>
      <c r="S101" s="51"/>
      <c r="T101" s="51"/>
      <c r="U101" s="51"/>
    </row>
    <row r="102" spans="1:21" x14ac:dyDescent="0.25">
      <c r="B102" s="614"/>
      <c r="C102" s="789" t="s">
        <v>60</v>
      </c>
      <c r="D102" s="789"/>
      <c r="E102" s="614"/>
      <c r="F102" s="619" t="s">
        <v>28</v>
      </c>
      <c r="G102" s="614"/>
      <c r="H102" s="614"/>
      <c r="I102" s="614"/>
      <c r="N102" s="633"/>
      <c r="O102" s="633"/>
      <c r="P102" s="633"/>
      <c r="Q102" s="633"/>
      <c r="R102" s="633"/>
      <c r="S102" s="633"/>
      <c r="T102" s="633"/>
      <c r="U102" s="633"/>
    </row>
    <row r="103" spans="1:21" x14ac:dyDescent="0.25">
      <c r="A103" s="3"/>
      <c r="B103" s="118"/>
      <c r="C103" s="790" t="s">
        <v>101</v>
      </c>
      <c r="D103" s="790"/>
      <c r="E103" s="119" t="s">
        <v>438</v>
      </c>
      <c r="F103" s="120" t="s">
        <v>106</v>
      </c>
      <c r="G103" s="622"/>
      <c r="H103" s="622"/>
      <c r="I103" s="622"/>
      <c r="N103" s="882" t="s">
        <v>35</v>
      </c>
      <c r="O103" s="882"/>
      <c r="P103" s="883" t="s">
        <v>440</v>
      </c>
      <c r="Q103" s="884"/>
      <c r="R103" s="873" t="s">
        <v>31</v>
      </c>
      <c r="S103" s="873"/>
      <c r="T103" s="873"/>
      <c r="U103" s="873"/>
    </row>
    <row r="104" spans="1:21" x14ac:dyDescent="0.25">
      <c r="A104" s="616"/>
      <c r="B104" s="52" t="s">
        <v>105</v>
      </c>
      <c r="C104" s="822">
        <f>H14+H15+H20+H23+H26</f>
        <v>0</v>
      </c>
      <c r="D104" s="822"/>
      <c r="E104" s="46">
        <f>H8</f>
        <v>1.0355000000000001</v>
      </c>
      <c r="F104" s="290">
        <v>958.42</v>
      </c>
      <c r="G104" s="619" t="s">
        <v>12</v>
      </c>
      <c r="H104" s="101">
        <f>ROUND(C104*E104*F104,2)</f>
        <v>0</v>
      </c>
      <c r="I104" s="104"/>
      <c r="N104" s="643"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36.825000000000003</v>
      </c>
      <c r="D105" s="822"/>
      <c r="E105" s="46">
        <f>H8</f>
        <v>1.0355000000000001</v>
      </c>
      <c r="F105" s="290">
        <v>915.09</v>
      </c>
      <c r="G105" s="619" t="s">
        <v>12</v>
      </c>
      <c r="H105" s="101">
        <f>ROUND(C105*E105*F105,2)</f>
        <v>34894.47</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290">
        <v>917.3</v>
      </c>
      <c r="G106" s="61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36.825000000000003</v>
      </c>
      <c r="D107" s="812"/>
      <c r="E107" s="123"/>
      <c r="F107" s="123"/>
      <c r="G107" s="123"/>
      <c r="H107" s="124" t="s">
        <v>100</v>
      </c>
      <c r="I107" s="101">
        <f>IF(A1=75,0,H106+H105+H104)</f>
        <v>34894.47</v>
      </c>
      <c r="N107" s="644"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625"/>
      <c r="B109" s="625"/>
      <c r="C109" s="625"/>
      <c r="D109" s="625"/>
      <c r="E109" s="625"/>
      <c r="F109" s="625"/>
      <c r="G109" s="625"/>
      <c r="H109" s="625"/>
      <c r="I109" s="625"/>
      <c r="N109" s="645"/>
      <c r="O109" s="645"/>
      <c r="P109" s="645"/>
      <c r="Q109" s="645"/>
      <c r="R109" s="645"/>
      <c r="S109" s="645"/>
      <c r="T109" s="645"/>
      <c r="U109" s="645"/>
    </row>
    <row r="110" spans="1:21" x14ac:dyDescent="0.25">
      <c r="A110" s="613" t="s">
        <v>509</v>
      </c>
      <c r="C110" s="626"/>
      <c r="D110" s="614"/>
      <c r="E110" s="626" t="s">
        <v>32</v>
      </c>
      <c r="F110" s="782"/>
      <c r="G110" s="782"/>
      <c r="H110" s="782"/>
      <c r="I110" s="782"/>
      <c r="N110" s="870" t="s">
        <v>509</v>
      </c>
      <c r="O110" s="851"/>
      <c r="P110" s="851"/>
      <c r="Q110" s="890"/>
      <c r="R110" s="890"/>
      <c r="S110" s="890"/>
      <c r="T110" s="890"/>
      <c r="U110" s="103"/>
    </row>
    <row r="111" spans="1:21" x14ac:dyDescent="0.25">
      <c r="B111" s="614"/>
      <c r="C111" s="88" t="s">
        <v>523</v>
      </c>
      <c r="D111" s="349" t="s">
        <v>524</v>
      </c>
      <c r="E111" s="89" t="s">
        <v>107</v>
      </c>
      <c r="F111" s="626"/>
      <c r="G111" s="626"/>
      <c r="H111" s="626"/>
      <c r="I111" s="626"/>
      <c r="N111" s="633"/>
      <c r="O111" s="633"/>
      <c r="P111" s="633"/>
      <c r="Q111" s="646"/>
      <c r="R111" s="646"/>
      <c r="S111" s="646"/>
      <c r="T111" s="646"/>
      <c r="U111" s="103"/>
    </row>
    <row r="112" spans="1:21" x14ac:dyDescent="0.25">
      <c r="B112" s="614"/>
      <c r="C112" s="340" t="s">
        <v>2</v>
      </c>
      <c r="D112" s="340" t="s">
        <v>2</v>
      </c>
      <c r="E112" s="90" t="s">
        <v>2</v>
      </c>
      <c r="F112" s="626"/>
      <c r="G112" s="626"/>
      <c r="H112" s="626"/>
      <c r="I112" s="626"/>
      <c r="N112" s="633"/>
      <c r="O112" s="633"/>
      <c r="P112" s="633"/>
      <c r="Q112" s="646"/>
      <c r="R112" s="646"/>
      <c r="S112" s="646"/>
      <c r="T112" s="646"/>
      <c r="U112" s="103"/>
    </row>
    <row r="113" spans="1:21" x14ac:dyDescent="0.25">
      <c r="A113" s="783" t="s">
        <v>396</v>
      </c>
      <c r="B113" s="784"/>
      <c r="C113" s="143">
        <v>7</v>
      </c>
      <c r="D113" s="143">
        <v>7</v>
      </c>
      <c r="E113" s="116">
        <f>(C113+D113)/2</f>
        <v>7</v>
      </c>
      <c r="F113" s="126" t="s">
        <v>30</v>
      </c>
      <c r="G113" s="291">
        <v>617</v>
      </c>
      <c r="I113" s="101">
        <f>ROUND(G113*E113,2)</f>
        <v>4319</v>
      </c>
      <c r="N113" s="885" t="s">
        <v>52</v>
      </c>
      <c r="O113" s="885"/>
      <c r="P113" s="886">
        <f>IF(H133=1,E113,0)</f>
        <v>0</v>
      </c>
      <c r="Q113" s="886"/>
      <c r="R113" s="886"/>
      <c r="S113" s="628" t="s">
        <v>30</v>
      </c>
      <c r="T113" s="58">
        <f>G113</f>
        <v>617</v>
      </c>
      <c r="U113" s="491">
        <f>ROUND(T113*P113,2)</f>
        <v>0</v>
      </c>
    </row>
    <row r="114" spans="1:21" x14ac:dyDescent="0.25">
      <c r="A114" s="783" t="s">
        <v>397</v>
      </c>
      <c r="B114" s="784"/>
      <c r="C114" s="143">
        <v>0</v>
      </c>
      <c r="D114" s="143">
        <v>0</v>
      </c>
      <c r="E114" s="116">
        <f>(C114+D114)/2</f>
        <v>0</v>
      </c>
      <c r="F114" s="126" t="s">
        <v>30</v>
      </c>
      <c r="G114" s="291">
        <v>1870</v>
      </c>
      <c r="I114" s="101">
        <f>ROUND(G114*E114,2)</f>
        <v>0</v>
      </c>
      <c r="N114" s="885" t="s">
        <v>64</v>
      </c>
      <c r="O114" s="885"/>
      <c r="P114" s="858"/>
      <c r="Q114" s="858"/>
      <c r="R114" s="858"/>
      <c r="S114" s="628" t="s">
        <v>30</v>
      </c>
      <c r="T114" s="58">
        <f>G114</f>
        <v>1870</v>
      </c>
      <c r="U114" s="491">
        <f>ROUND(T114*P114,2)</f>
        <v>0</v>
      </c>
    </row>
    <row r="115" spans="1:21" x14ac:dyDescent="0.25">
      <c r="A115" s="127"/>
      <c r="B115" s="127"/>
      <c r="C115" s="65"/>
      <c r="D115" s="65"/>
      <c r="E115" s="65"/>
      <c r="F115" s="65"/>
      <c r="G115" s="630"/>
      <c r="H115" s="129"/>
      <c r="I115" s="101"/>
      <c r="N115" s="642"/>
      <c r="O115" s="642"/>
      <c r="P115" s="131"/>
      <c r="Q115" s="131"/>
      <c r="R115" s="131"/>
      <c r="S115" s="628"/>
      <c r="T115" s="58"/>
      <c r="U115" s="103"/>
    </row>
    <row r="116" spans="1:21" x14ac:dyDescent="0.25">
      <c r="A116" s="127"/>
      <c r="B116" s="127"/>
      <c r="C116" s="65"/>
      <c r="D116" s="65"/>
      <c r="E116" s="65"/>
      <c r="F116" s="65"/>
      <c r="G116" s="630"/>
      <c r="H116" s="129"/>
      <c r="I116" s="101"/>
      <c r="N116" s="642"/>
      <c r="O116" s="642"/>
      <c r="P116" s="131"/>
      <c r="Q116" s="131"/>
      <c r="R116" s="131"/>
      <c r="S116" s="628"/>
      <c r="T116" s="58"/>
      <c r="U116" s="103"/>
    </row>
    <row r="117" spans="1:21" hidden="1" x14ac:dyDescent="0.25">
      <c r="A117" s="810" t="s">
        <v>510</v>
      </c>
      <c r="B117" s="804"/>
      <c r="C117" s="804"/>
      <c r="D117" s="614"/>
      <c r="E117" s="619" t="s">
        <v>317</v>
      </c>
      <c r="F117" s="789"/>
      <c r="G117" s="789"/>
      <c r="H117" s="789"/>
      <c r="I117" s="789"/>
      <c r="N117" s="870" t="s">
        <v>511</v>
      </c>
      <c r="O117" s="851"/>
      <c r="P117" s="851"/>
      <c r="Q117" s="851"/>
      <c r="R117" s="851"/>
      <c r="S117" s="851"/>
      <c r="T117" s="851"/>
      <c r="U117" s="851"/>
    </row>
    <row r="118" spans="1:21" hidden="1" x14ac:dyDescent="0.25">
      <c r="B118" s="614"/>
      <c r="C118" s="790" t="s">
        <v>66</v>
      </c>
      <c r="D118" s="790"/>
      <c r="E118" s="790"/>
      <c r="F118" s="617"/>
      <c r="G118" s="617"/>
      <c r="H118" s="619" t="s">
        <v>108</v>
      </c>
      <c r="I118" s="617"/>
      <c r="N118" s="633"/>
      <c r="O118" s="633"/>
      <c r="P118" s="633"/>
      <c r="Q118" s="633"/>
      <c r="R118" s="633"/>
      <c r="S118" s="633"/>
      <c r="T118" s="633"/>
      <c r="U118" s="633"/>
    </row>
    <row r="119" spans="1:21" hidden="1" x14ac:dyDescent="0.25">
      <c r="B119" s="614"/>
      <c r="C119" s="88" t="s">
        <v>329</v>
      </c>
      <c r="D119" s="88" t="s">
        <v>314</v>
      </c>
      <c r="E119" s="137" t="s">
        <v>8</v>
      </c>
      <c r="F119" s="791" t="s">
        <v>109</v>
      </c>
      <c r="G119" s="789"/>
      <c r="H119" s="617" t="s">
        <v>29</v>
      </c>
      <c r="I119" s="617"/>
      <c r="N119" s="633"/>
      <c r="O119" s="633"/>
      <c r="P119" s="633"/>
      <c r="Q119" s="633"/>
      <c r="R119" s="633"/>
      <c r="S119" s="633"/>
      <c r="T119" s="633"/>
      <c r="U119" s="633"/>
    </row>
    <row r="120" spans="1:21" hidden="1" x14ac:dyDescent="0.25">
      <c r="A120" s="790" t="s">
        <v>69</v>
      </c>
      <c r="B120" s="790"/>
      <c r="C120" s="90" t="s">
        <v>2</v>
      </c>
      <c r="D120" s="90" t="s">
        <v>2</v>
      </c>
      <c r="E120" s="618" t="s">
        <v>2</v>
      </c>
      <c r="F120" s="790" t="s">
        <v>28</v>
      </c>
      <c r="G120" s="790"/>
      <c r="H120" s="618" t="s">
        <v>28</v>
      </c>
      <c r="I120" s="618" t="s">
        <v>8</v>
      </c>
      <c r="N120" s="891" t="s">
        <v>53</v>
      </c>
      <c r="O120" s="891"/>
      <c r="P120" s="886" t="s">
        <v>66</v>
      </c>
      <c r="Q120" s="886"/>
      <c r="R120" s="891" t="s">
        <v>54</v>
      </c>
      <c r="S120" s="891"/>
      <c r="T120" s="641" t="s">
        <v>55</v>
      </c>
      <c r="U120" s="641"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idden="1" x14ac:dyDescent="0.25">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x14ac:dyDescent="0.25">
      <c r="A125" s="617"/>
      <c r="B125" s="617"/>
      <c r="C125" s="65"/>
      <c r="D125" s="65"/>
      <c r="E125" s="65"/>
      <c r="F125" s="65"/>
      <c r="G125" s="65"/>
      <c r="H125" s="65"/>
      <c r="I125" s="101"/>
      <c r="N125" s="627"/>
      <c r="O125" s="627"/>
      <c r="P125" s="66"/>
      <c r="Q125" s="66"/>
      <c r="R125" s="66"/>
      <c r="S125" s="66"/>
      <c r="T125" s="66"/>
      <c r="U125" s="138"/>
    </row>
    <row r="126" spans="1:21" x14ac:dyDescent="0.25">
      <c r="A126" s="810" t="s">
        <v>445</v>
      </c>
      <c r="B126" s="804"/>
      <c r="C126" s="804"/>
      <c r="D126" s="614"/>
      <c r="E126" s="615" t="s">
        <v>34</v>
      </c>
      <c r="F126" s="823"/>
      <c r="G126" s="823"/>
      <c r="H126" s="823"/>
      <c r="I126" s="154">
        <v>0</v>
      </c>
      <c r="N126" s="870" t="s">
        <v>445</v>
      </c>
      <c r="O126" s="851"/>
      <c r="P126" s="851"/>
      <c r="Q126" s="305"/>
      <c r="R126" s="305"/>
      <c r="S126" s="305"/>
      <c r="T126" s="305"/>
      <c r="U126" s="491">
        <f>IF($H$133=1,I126,0)</f>
        <v>0</v>
      </c>
    </row>
    <row r="127" spans="1:21" x14ac:dyDescent="0.25">
      <c r="B127" s="614"/>
      <c r="C127" s="614"/>
      <c r="D127" s="614"/>
      <c r="E127" s="615"/>
      <c r="F127" s="615"/>
      <c r="G127" s="615"/>
      <c r="H127" s="615"/>
      <c r="I127" s="116"/>
      <c r="N127" s="638"/>
      <c r="O127" s="633"/>
      <c r="P127" s="633"/>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312937.07999999996</v>
      </c>
      <c r="J128" s="250"/>
      <c r="N128" s="638"/>
      <c r="O128" s="633"/>
      <c r="P128" s="633"/>
      <c r="Q128" s="305"/>
      <c r="R128" s="305"/>
      <c r="S128" s="305"/>
      <c r="T128" s="305"/>
      <c r="U128" s="498">
        <f>SUM(U30,U85,U88,U90,U92,U94,U96,U107,U113,U114,U124,U126)</f>
        <v>0</v>
      </c>
    </row>
    <row r="129" spans="1:21" ht="16.5" thickTop="1" x14ac:dyDescent="0.25">
      <c r="A129" s="616"/>
      <c r="B129" s="616"/>
      <c r="C129" s="616"/>
      <c r="D129" s="616"/>
      <c r="E129" s="616"/>
      <c r="F129" s="616"/>
      <c r="G129" s="616"/>
      <c r="H129" s="616"/>
      <c r="I129" s="101"/>
      <c r="J129" s="250"/>
      <c r="N129" s="638"/>
      <c r="O129" s="633"/>
      <c r="P129" s="633"/>
      <c r="Q129" s="305"/>
      <c r="R129" s="305"/>
      <c r="S129" s="305"/>
      <c r="T129" s="305"/>
      <c r="U129" s="103"/>
    </row>
    <row r="130" spans="1:21" ht="16.5" thickBot="1" x14ac:dyDescent="0.3">
      <c r="A130" s="613" t="s">
        <v>447</v>
      </c>
      <c r="B130" s="616"/>
      <c r="C130" s="616"/>
      <c r="D130" s="616"/>
      <c r="E130" s="616"/>
      <c r="F130" s="616"/>
      <c r="G130" s="616"/>
      <c r="H130" s="616"/>
      <c r="I130" s="101">
        <f>I128-I53</f>
        <v>298165.98</v>
      </c>
      <c r="J130" s="250"/>
      <c r="N130" s="851" t="s">
        <v>447</v>
      </c>
      <c r="O130" s="851"/>
      <c r="P130" s="851"/>
      <c r="Q130" s="851"/>
      <c r="R130" s="851"/>
      <c r="S130" s="851"/>
      <c r="T130" s="851"/>
      <c r="U130" s="132">
        <f>U128-U53</f>
        <v>0</v>
      </c>
    </row>
    <row r="131" spans="1:21" ht="16.5" thickTop="1" x14ac:dyDescent="0.25">
      <c r="A131" s="616"/>
      <c r="B131" s="616"/>
      <c r="C131" s="616"/>
      <c r="D131" s="616"/>
      <c r="E131" s="616"/>
      <c r="F131" s="616"/>
      <c r="G131" s="616"/>
      <c r="H131" s="616"/>
      <c r="I131" s="101"/>
      <c r="J131" s="250"/>
      <c r="N131" s="643"/>
      <c r="O131" s="643"/>
      <c r="P131" s="643"/>
      <c r="Q131" s="643"/>
      <c r="R131" s="643"/>
      <c r="S131" s="643"/>
      <c r="T131" s="643"/>
      <c r="U131" s="138"/>
    </row>
    <row r="132" spans="1:21" x14ac:dyDescent="0.25">
      <c r="A132" s="810" t="s">
        <v>512</v>
      </c>
      <c r="B132" s="804"/>
      <c r="C132" s="804"/>
      <c r="D132" s="804"/>
      <c r="E132" s="804"/>
      <c r="F132" s="804"/>
      <c r="G132" s="804"/>
      <c r="H132" s="613" t="s">
        <v>351</v>
      </c>
      <c r="I132" s="134"/>
      <c r="J132" s="250"/>
      <c r="N132" s="870" t="s">
        <v>513</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643"/>
      <c r="O133" s="643"/>
      <c r="P133" s="643"/>
      <c r="Q133" s="643"/>
      <c r="R133" s="643"/>
      <c r="S133" s="643"/>
      <c r="T133" s="643"/>
      <c r="U133" s="138"/>
    </row>
    <row r="134" spans="1:21" x14ac:dyDescent="0.25">
      <c r="B134" s="614"/>
      <c r="C134" s="614"/>
      <c r="D134" s="614"/>
      <c r="E134" s="614"/>
      <c r="F134" s="614"/>
      <c r="G134" s="614"/>
      <c r="H134" s="65"/>
      <c r="I134" s="101"/>
      <c r="N134" s="643"/>
      <c r="O134" s="643"/>
      <c r="P134" s="643"/>
      <c r="Q134" s="643"/>
      <c r="R134" s="643"/>
      <c r="S134" s="643"/>
      <c r="T134" s="643"/>
      <c r="U134" s="138"/>
    </row>
    <row r="135" spans="1:21" x14ac:dyDescent="0.25">
      <c r="A135" s="3" t="s">
        <v>73</v>
      </c>
      <c r="B135" s="614"/>
      <c r="C135" s="614"/>
      <c r="D135" s="614"/>
      <c r="E135" s="614"/>
      <c r="F135" s="614"/>
      <c r="G135" s="257">
        <v>0</v>
      </c>
      <c r="H135" s="139">
        <f>IF(H133=1,I133,I130)</f>
        <v>298165.98</v>
      </c>
      <c r="I135" s="94">
        <f>ROUND(IF(E30=0,0,IF(E30&gt;250,-(((250/E30)*H135)*IF(G135="H",0.02,0.05)),IF(G135="H",-0.02*H135,-0.05*H135))),2)</f>
        <v>-14908.3</v>
      </c>
      <c r="N135" s="894"/>
      <c r="O135" s="894"/>
      <c r="P135" s="894"/>
      <c r="Q135" s="894"/>
      <c r="R135" s="894"/>
      <c r="S135" s="894"/>
      <c r="T135" s="894"/>
      <c r="U135" s="894"/>
    </row>
    <row r="136" spans="1:21" x14ac:dyDescent="0.25">
      <c r="B136" s="614"/>
      <c r="C136" s="614"/>
      <c r="D136" s="614"/>
      <c r="E136" s="614"/>
      <c r="F136" s="614"/>
      <c r="G136" s="614"/>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298028.77999999997</v>
      </c>
      <c r="N137" s="71" t="s">
        <v>77</v>
      </c>
      <c r="O137" s="71"/>
      <c r="P137" s="71"/>
      <c r="Q137" s="71"/>
      <c r="R137" s="71"/>
      <c r="S137" s="71"/>
      <c r="T137" s="71"/>
      <c r="U137" s="71"/>
    </row>
    <row r="138" spans="1:21" x14ac:dyDescent="0.25">
      <c r="B138" s="614"/>
      <c r="C138" s="614"/>
      <c r="D138" s="614"/>
      <c r="E138" s="614"/>
      <c r="F138" s="614"/>
      <c r="G138" s="614"/>
      <c r="H138" s="65"/>
      <c r="I138" s="101"/>
      <c r="N138" s="72" t="s">
        <v>78</v>
      </c>
      <c r="O138" s="71"/>
      <c r="P138" s="71"/>
      <c r="Q138" s="71"/>
      <c r="R138" s="71"/>
      <c r="S138" s="71"/>
      <c r="T138" s="71"/>
      <c r="U138" s="71"/>
    </row>
    <row r="139" spans="1:21" x14ac:dyDescent="0.25">
      <c r="A139" s="3" t="s">
        <v>75</v>
      </c>
      <c r="B139" s="614"/>
      <c r="C139" s="140"/>
      <c r="D139" s="614"/>
      <c r="F139" s="614"/>
      <c r="G139" s="614"/>
      <c r="H139" s="65"/>
      <c r="I139" s="271">
        <f>-'Cumulative Payments'!Q70</f>
        <v>-24451.48</v>
      </c>
      <c r="N139" s="640"/>
      <c r="O139" s="640"/>
      <c r="P139" s="640"/>
      <c r="Q139" s="640"/>
      <c r="R139" s="640"/>
      <c r="S139" s="640"/>
      <c r="T139" s="640"/>
      <c r="U139" s="640"/>
    </row>
    <row r="140" spans="1:21" x14ac:dyDescent="0.25">
      <c r="B140" s="614"/>
      <c r="C140" s="614"/>
      <c r="D140" s="614"/>
      <c r="E140" s="614"/>
      <c r="F140" s="614"/>
      <c r="G140" s="614"/>
      <c r="H140" s="65"/>
      <c r="I140" s="101"/>
      <c r="N140" s="640"/>
      <c r="O140" s="640"/>
      <c r="P140" s="640"/>
      <c r="Q140" s="640"/>
      <c r="R140" s="640"/>
      <c r="S140" s="640"/>
      <c r="T140" s="640"/>
      <c r="U140" s="640"/>
    </row>
    <row r="141" spans="1:21" x14ac:dyDescent="0.25">
      <c r="A141" s="3" t="s">
        <v>246</v>
      </c>
      <c r="B141" s="614"/>
      <c r="C141" s="614"/>
      <c r="D141" s="614"/>
      <c r="E141" s="614"/>
      <c r="F141" s="614"/>
      <c r="G141" s="614"/>
      <c r="H141" s="65"/>
      <c r="I141" s="101">
        <f>I137+I139</f>
        <v>273577.3</v>
      </c>
      <c r="N141" s="640"/>
      <c r="O141" s="640"/>
      <c r="P141" s="640"/>
      <c r="Q141" s="640"/>
      <c r="R141" s="640"/>
      <c r="S141" s="640"/>
      <c r="T141" s="640"/>
      <c r="U141" s="640"/>
    </row>
    <row r="142" spans="1:21" x14ac:dyDescent="0.25">
      <c r="A142" s="3"/>
      <c r="B142" s="614"/>
      <c r="C142" s="614"/>
      <c r="D142" s="614"/>
      <c r="E142" s="614"/>
      <c r="F142" s="614"/>
      <c r="G142" s="614"/>
      <c r="H142" s="65"/>
      <c r="I142" s="101"/>
      <c r="N142" s="640"/>
      <c r="O142" s="640"/>
      <c r="P142" s="640"/>
      <c r="Q142" s="640"/>
      <c r="R142" s="640"/>
      <c r="S142" s="640"/>
      <c r="T142" s="640"/>
      <c r="U142" s="640"/>
    </row>
    <row r="143" spans="1:21" x14ac:dyDescent="0.25">
      <c r="A143" s="3" t="s">
        <v>247</v>
      </c>
      <c r="B143" s="614"/>
      <c r="C143" s="614"/>
      <c r="D143" s="614"/>
      <c r="E143" s="614"/>
      <c r="F143" s="614"/>
      <c r="G143" s="614"/>
      <c r="H143" s="65"/>
      <c r="I143" s="272">
        <f>'1461'!I143</f>
        <v>11</v>
      </c>
      <c r="N143" s="640"/>
      <c r="O143" s="640"/>
      <c r="P143" s="640"/>
      <c r="Q143" s="640"/>
      <c r="R143" s="640"/>
      <c r="S143" s="640"/>
      <c r="T143" s="640"/>
      <c r="U143" s="640"/>
    </row>
    <row r="144" spans="1:21" x14ac:dyDescent="0.25">
      <c r="B144" s="614"/>
      <c r="C144" s="614"/>
      <c r="D144" s="614"/>
      <c r="E144" s="614"/>
      <c r="F144" s="614"/>
      <c r="G144" s="614"/>
      <c r="H144" s="65"/>
      <c r="I144" s="101"/>
      <c r="N144" s="640"/>
      <c r="O144" s="640"/>
      <c r="P144" s="640"/>
      <c r="Q144" s="640"/>
      <c r="R144" s="640"/>
      <c r="S144" s="640"/>
      <c r="T144" s="640"/>
      <c r="U144" s="640"/>
    </row>
    <row r="145" spans="1:21" ht="16.5" thickBot="1" x14ac:dyDescent="0.3">
      <c r="A145" s="3" t="s">
        <v>76</v>
      </c>
      <c r="B145" s="614"/>
      <c r="C145" s="614"/>
      <c r="D145" s="614"/>
      <c r="E145" s="614"/>
      <c r="F145" s="614"/>
      <c r="G145" s="614"/>
      <c r="H145" s="65"/>
      <c r="I145" s="155">
        <f>ROUND(I141/I143,2)</f>
        <v>24870.66</v>
      </c>
      <c r="K145" s="436"/>
      <c r="N145" s="640"/>
      <c r="O145" s="640"/>
      <c r="P145" s="640"/>
      <c r="Q145" s="640"/>
      <c r="R145" s="640"/>
      <c r="S145" s="640"/>
      <c r="T145" s="640"/>
      <c r="U145" s="640"/>
    </row>
    <row r="146" spans="1:21" ht="16.5" thickTop="1" x14ac:dyDescent="0.25">
      <c r="B146" s="614"/>
      <c r="C146" s="614"/>
      <c r="D146" s="614"/>
      <c r="E146" s="614"/>
      <c r="F146" s="614"/>
      <c r="G146" s="614"/>
      <c r="H146" s="65"/>
      <c r="I146" s="101"/>
      <c r="N146" s="640"/>
      <c r="O146" s="640"/>
      <c r="P146" s="640"/>
      <c r="Q146" s="640"/>
      <c r="R146" s="640"/>
      <c r="S146" s="640"/>
      <c r="T146" s="640"/>
      <c r="U146" s="640"/>
    </row>
    <row r="147" spans="1:21" ht="16.5" thickBot="1" x14ac:dyDescent="0.3">
      <c r="A147" s="3" t="s">
        <v>90</v>
      </c>
      <c r="B147" s="614"/>
      <c r="C147" s="614"/>
      <c r="D147" s="614"/>
      <c r="E147" s="614"/>
      <c r="F147" s="614"/>
      <c r="G147" s="614"/>
      <c r="H147" s="65"/>
      <c r="I147" s="133">
        <f>ROUND(IF(G135="H",(H135*0.02)+I135,(H135*0.05)+I135),2)</f>
        <v>0</v>
      </c>
      <c r="N147" s="640"/>
      <c r="O147" s="640"/>
      <c r="P147" s="640"/>
      <c r="Q147" s="640"/>
      <c r="R147" s="640"/>
      <c r="S147" s="640"/>
      <c r="T147" s="640"/>
      <c r="U147" s="640"/>
    </row>
    <row r="148" spans="1:21" ht="16.5" thickTop="1" x14ac:dyDescent="0.25">
      <c r="B148" s="614"/>
      <c r="C148" s="614"/>
      <c r="D148" s="614"/>
      <c r="E148" s="614"/>
      <c r="F148" s="614"/>
      <c r="G148" s="614"/>
      <c r="H148" s="65"/>
      <c r="I148" s="134"/>
      <c r="N148" s="640"/>
      <c r="O148" s="640"/>
      <c r="P148" s="640"/>
      <c r="Q148" s="640"/>
      <c r="R148" s="640"/>
      <c r="S148" s="640"/>
      <c r="T148" s="640"/>
      <c r="U148" s="640"/>
    </row>
    <row r="149" spans="1:21" x14ac:dyDescent="0.25">
      <c r="B149" s="614"/>
      <c r="C149" s="614"/>
      <c r="D149" s="614"/>
      <c r="E149" s="614"/>
      <c r="F149" s="614"/>
      <c r="G149" s="614"/>
      <c r="H149" s="65"/>
      <c r="I149" s="101"/>
      <c r="N149" s="640"/>
      <c r="O149" s="640"/>
      <c r="P149" s="640"/>
      <c r="Q149" s="640"/>
      <c r="R149" s="640"/>
      <c r="S149" s="640"/>
      <c r="T149" s="640"/>
      <c r="U149" s="640"/>
    </row>
    <row r="150" spans="1:21" x14ac:dyDescent="0.25">
      <c r="B150" s="614"/>
      <c r="C150" s="614"/>
      <c r="D150" s="614"/>
      <c r="E150" s="614"/>
      <c r="F150" s="614"/>
      <c r="G150" s="614"/>
      <c r="H150" s="65"/>
      <c r="I150" s="134"/>
      <c r="N150" s="640"/>
      <c r="O150" s="640"/>
      <c r="P150" s="640"/>
      <c r="Q150" s="640"/>
      <c r="R150" s="640"/>
      <c r="S150" s="640"/>
      <c r="T150" s="640"/>
      <c r="U150" s="640"/>
    </row>
    <row r="151" spans="1:21" ht="12.75" customHeight="1" x14ac:dyDescent="0.25">
      <c r="A151" s="357" t="s">
        <v>7</v>
      </c>
      <c r="B151" s="357"/>
      <c r="C151" s="357"/>
      <c r="D151" s="357"/>
      <c r="E151" s="357"/>
      <c r="F151" s="357"/>
      <c r="G151" s="357"/>
      <c r="H151" s="357"/>
      <c r="I151" s="357"/>
      <c r="J151" s="134"/>
      <c r="N151" s="640"/>
      <c r="O151" s="640"/>
      <c r="P151" s="640"/>
      <c r="Q151" s="640"/>
      <c r="R151" s="640"/>
      <c r="S151" s="640"/>
      <c r="T151" s="640"/>
      <c r="U151" s="640"/>
    </row>
    <row r="152" spans="1:21" ht="12.75" customHeight="1" x14ac:dyDescent="0.25">
      <c r="A152" s="358" t="s">
        <v>259</v>
      </c>
      <c r="B152" s="359"/>
      <c r="C152" s="359"/>
      <c r="D152" s="359"/>
      <c r="E152" s="359"/>
      <c r="F152" s="359"/>
      <c r="G152" s="359"/>
      <c r="H152" s="359"/>
      <c r="I152" s="359"/>
      <c r="J152" s="77"/>
      <c r="K152" s="339"/>
      <c r="L152" s="76"/>
      <c r="M152" s="76"/>
      <c r="N152" s="640"/>
      <c r="O152" s="640"/>
      <c r="P152" s="640"/>
      <c r="Q152" s="640"/>
      <c r="R152" s="640"/>
      <c r="S152" s="640"/>
      <c r="T152" s="640"/>
      <c r="U152" s="640"/>
    </row>
    <row r="153" spans="1:21" ht="12.75" customHeight="1" x14ac:dyDescent="0.25">
      <c r="A153" s="364" t="s">
        <v>387</v>
      </c>
      <c r="B153" s="359"/>
      <c r="C153" s="359"/>
      <c r="D153" s="359"/>
      <c r="E153" s="359"/>
      <c r="F153" s="359"/>
      <c r="G153" s="359"/>
      <c r="H153" s="359"/>
      <c r="I153" s="359"/>
      <c r="J153" s="77"/>
      <c r="K153" s="339"/>
      <c r="L153" s="76"/>
      <c r="M153" s="76"/>
      <c r="N153" s="640"/>
      <c r="O153" s="640"/>
      <c r="P153" s="640"/>
      <c r="Q153" s="640"/>
      <c r="R153" s="640"/>
      <c r="S153" s="640"/>
      <c r="T153" s="640"/>
      <c r="U153" s="640"/>
    </row>
    <row r="154" spans="1:21" ht="12.75" customHeight="1" x14ac:dyDescent="0.25">
      <c r="A154" s="361" t="s">
        <v>388</v>
      </c>
      <c r="B154" s="360"/>
      <c r="C154" s="360"/>
      <c r="D154" s="360"/>
      <c r="E154" s="360"/>
      <c r="F154" s="360"/>
      <c r="G154" s="360"/>
      <c r="H154" s="360"/>
      <c r="I154" s="360"/>
      <c r="J154" s="76"/>
      <c r="K154" s="76"/>
      <c r="L154" s="76"/>
      <c r="M154" s="76"/>
      <c r="N154" s="640"/>
      <c r="O154" s="640"/>
      <c r="P154" s="640"/>
      <c r="Q154" s="640"/>
      <c r="R154" s="640"/>
      <c r="S154" s="640"/>
      <c r="T154" s="640"/>
      <c r="U154" s="640"/>
    </row>
    <row r="155" spans="1:21" s="76" customFormat="1" ht="12.75" customHeight="1" x14ac:dyDescent="0.2">
      <c r="A155" s="361" t="s">
        <v>389</v>
      </c>
      <c r="B155" s="360"/>
      <c r="C155" s="360"/>
      <c r="D155" s="360"/>
      <c r="E155" s="360"/>
      <c r="F155" s="360"/>
      <c r="G155" s="360"/>
      <c r="H155" s="360"/>
      <c r="I155" s="360"/>
      <c r="N155" s="896"/>
      <c r="O155" s="896"/>
      <c r="P155" s="896"/>
      <c r="Q155" s="896"/>
      <c r="R155" s="896"/>
      <c r="S155" s="896"/>
      <c r="T155" s="896"/>
      <c r="U155" s="896"/>
    </row>
    <row r="156" spans="1:21" s="76" customFormat="1" ht="12.75" customHeight="1" x14ac:dyDescent="0.2">
      <c r="A156" s="361" t="s">
        <v>390</v>
      </c>
      <c r="B156" s="360"/>
      <c r="C156" s="360"/>
      <c r="D156" s="360"/>
      <c r="E156" s="360"/>
      <c r="F156" s="360"/>
      <c r="G156" s="360"/>
      <c r="H156" s="360"/>
      <c r="I156" s="360"/>
      <c r="N156" s="640"/>
      <c r="O156" s="640"/>
      <c r="P156" s="640"/>
      <c r="Q156" s="640"/>
      <c r="R156" s="640"/>
      <c r="S156" s="640"/>
      <c r="T156" s="640"/>
      <c r="U156" s="640"/>
    </row>
    <row r="157" spans="1:21" s="76" customFormat="1" ht="12.75" customHeight="1" x14ac:dyDescent="0.2">
      <c r="A157" s="361" t="s">
        <v>391</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392</v>
      </c>
      <c r="B158" s="360"/>
      <c r="C158" s="360"/>
      <c r="D158" s="360"/>
      <c r="E158" s="360"/>
      <c r="F158" s="360"/>
      <c r="G158" s="360"/>
      <c r="H158" s="360"/>
      <c r="I158" s="360"/>
      <c r="N158" s="78"/>
    </row>
    <row r="159" spans="1:21" s="76" customFormat="1" ht="12.75" customHeight="1" x14ac:dyDescent="0.2">
      <c r="A159" s="361" t="s">
        <v>394</v>
      </c>
      <c r="B159" s="360"/>
      <c r="C159" s="360"/>
      <c r="D159" s="360"/>
      <c r="E159" s="360"/>
      <c r="F159" s="360"/>
      <c r="G159" s="360"/>
      <c r="H159" s="360"/>
      <c r="I159" s="360"/>
      <c r="K159" s="360"/>
      <c r="N159" s="78"/>
    </row>
    <row r="160" spans="1:21" s="76" customFormat="1" ht="12.75" customHeight="1" x14ac:dyDescent="0.2">
      <c r="A160" s="366" t="s">
        <v>393</v>
      </c>
      <c r="B160" s="360"/>
      <c r="C160" s="360"/>
      <c r="D160" s="360"/>
      <c r="E160" s="360"/>
      <c r="F160" s="360"/>
      <c r="G160" s="360"/>
      <c r="H160" s="360"/>
      <c r="I160" s="360"/>
      <c r="N160" s="78"/>
    </row>
    <row r="161" spans="1:14" s="76" customFormat="1" ht="12.75" customHeight="1" x14ac:dyDescent="0.2">
      <c r="A161" s="361" t="s">
        <v>395</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398</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400</v>
      </c>
      <c r="B165" s="360"/>
      <c r="C165" s="360"/>
      <c r="D165" s="360"/>
      <c r="E165" s="360"/>
      <c r="F165" s="360"/>
      <c r="G165" s="360"/>
      <c r="H165" s="360"/>
      <c r="I165" s="360"/>
      <c r="N165" s="78"/>
    </row>
    <row r="166" spans="1:14" s="76" customFormat="1" ht="12.75" customHeight="1" x14ac:dyDescent="0.2">
      <c r="A166" s="366" t="s">
        <v>399</v>
      </c>
      <c r="B166" s="360"/>
      <c r="C166" s="360"/>
      <c r="D166" s="360"/>
      <c r="E166" s="360"/>
      <c r="F166" s="360"/>
      <c r="G166" s="360"/>
      <c r="H166" s="360"/>
      <c r="I166" s="360"/>
      <c r="N166" s="78"/>
    </row>
    <row r="167" spans="1:14" s="76" customFormat="1" ht="12.75" customHeight="1" x14ac:dyDescent="0.2">
      <c r="A167" s="361" t="s">
        <v>401</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403</v>
      </c>
      <c r="B169" s="360"/>
      <c r="C169" s="360"/>
      <c r="D169" s="360"/>
      <c r="E169" s="360"/>
      <c r="F169" s="360"/>
      <c r="G169" s="360"/>
      <c r="H169" s="360"/>
      <c r="I169" s="360"/>
      <c r="N169" s="78"/>
    </row>
    <row r="170" spans="1:14" s="76" customFormat="1" ht="12.75" customHeight="1" x14ac:dyDescent="0.2">
      <c r="A170" s="366" t="s">
        <v>402</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404</v>
      </c>
      <c r="B175" s="370"/>
      <c r="C175" s="370"/>
      <c r="D175" s="370"/>
      <c r="E175" s="370"/>
      <c r="F175" s="370"/>
      <c r="G175" s="370"/>
      <c r="H175" s="370"/>
      <c r="I175" s="370"/>
      <c r="N175" s="78"/>
    </row>
    <row r="176" spans="1:14" s="76" customFormat="1" ht="12.75" customHeight="1" x14ac:dyDescent="0.2">
      <c r="A176" s="367" t="s">
        <v>405</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A133:G133"/>
    <mergeCell ref="N135:U135"/>
    <mergeCell ref="N136:U136"/>
    <mergeCell ref="N155:U155"/>
    <mergeCell ref="A126:C126"/>
    <mergeCell ref="F126:H126"/>
    <mergeCell ref="N126:P126"/>
    <mergeCell ref="A128:H128"/>
    <mergeCell ref="N130:T130"/>
    <mergeCell ref="A132:G132"/>
    <mergeCell ref="N132:T132"/>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N82:S82"/>
    <mergeCell ref="T82:U82"/>
    <mergeCell ref="A87:C87"/>
    <mergeCell ref="N87:P87"/>
    <mergeCell ref="A88:C88"/>
    <mergeCell ref="N88:P88"/>
    <mergeCell ref="N79:S79"/>
    <mergeCell ref="T79:U79"/>
    <mergeCell ref="A81:B81"/>
    <mergeCell ref="D81:G81"/>
    <mergeCell ref="N81:O81"/>
    <mergeCell ref="Q81:S81"/>
    <mergeCell ref="T81:U81"/>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P56:Q56"/>
    <mergeCell ref="A57:B65"/>
    <mergeCell ref="N57:O65"/>
    <mergeCell ref="P57:Q57"/>
    <mergeCell ref="P58:Q58"/>
    <mergeCell ref="P59:Q59"/>
    <mergeCell ref="P60:Q60"/>
    <mergeCell ref="P61:Q61"/>
    <mergeCell ref="P62:Q62"/>
    <mergeCell ref="P63:Q63"/>
    <mergeCell ref="A43:B43"/>
    <mergeCell ref="N43:O43"/>
    <mergeCell ref="P43:T43"/>
    <mergeCell ref="N44:Q44"/>
    <mergeCell ref="S44:T44"/>
    <mergeCell ref="N46:Q46"/>
    <mergeCell ref="S46:T46"/>
    <mergeCell ref="A41:B41"/>
    <mergeCell ref="N41:O41"/>
    <mergeCell ref="P41:T41"/>
    <mergeCell ref="A42:B42"/>
    <mergeCell ref="N42:O42"/>
    <mergeCell ref="P42:T42"/>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F11:G11"/>
    <mergeCell ref="R11:S11"/>
    <mergeCell ref="F12:G12"/>
    <mergeCell ref="N12:O12"/>
    <mergeCell ref="P12:Q12"/>
    <mergeCell ref="R12:S12"/>
    <mergeCell ref="A7:I7"/>
    <mergeCell ref="N7:U7"/>
    <mergeCell ref="N8:O8"/>
    <mergeCell ref="P8:Q8"/>
    <mergeCell ref="R8:S8"/>
    <mergeCell ref="T8:U8"/>
    <mergeCell ref="B1:I1"/>
    <mergeCell ref="O1:U1"/>
    <mergeCell ref="N2:U2"/>
    <mergeCell ref="N3:U3"/>
    <mergeCell ref="A4:B4"/>
    <mergeCell ref="C4:E4"/>
    <mergeCell ref="N4:O4"/>
    <mergeCell ref="P4:Q4"/>
    <mergeCell ref="T9:U9"/>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CC"/>
  </sheetPr>
  <dimension ref="A1:V246"/>
  <sheetViews>
    <sheetView topLeftCell="A104" workbookViewId="0">
      <selection activeCell="I141" sqref="I141"/>
    </sheetView>
    <sheetView workbookViewId="1"/>
  </sheetViews>
  <sheetFormatPr defaultColWidth="9.140625" defaultRowHeight="15.75" x14ac:dyDescent="0.25"/>
  <cols>
    <col min="1" max="1" width="10.28515625" style="587" customWidth="1"/>
    <col min="2" max="2" width="30.28515625" style="3" bestFit="1" customWidth="1"/>
    <col min="3" max="3" width="11.7109375" style="3" bestFit="1" customWidth="1"/>
    <col min="4" max="4" width="10.7109375" style="3" customWidth="1"/>
    <col min="5" max="5" width="11.7109375" style="3" customWidth="1"/>
    <col min="6" max="6" width="18" style="3" bestFit="1"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587"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92" t="s">
        <v>15</v>
      </c>
      <c r="C1" s="793"/>
      <c r="D1" s="793"/>
      <c r="E1" s="793"/>
      <c r="F1" s="793"/>
      <c r="G1" s="793"/>
      <c r="H1" s="793"/>
      <c r="I1" s="793"/>
      <c r="J1" s="135"/>
      <c r="K1" s="135"/>
      <c r="L1" s="135"/>
      <c r="N1" s="82">
        <f>A1</f>
        <v>50</v>
      </c>
      <c r="O1" s="826" t="s">
        <v>15</v>
      </c>
      <c r="P1" s="827"/>
      <c r="Q1" s="827"/>
      <c r="R1" s="827"/>
      <c r="S1" s="827"/>
      <c r="T1" s="827"/>
      <c r="U1" s="827"/>
    </row>
    <row r="2" spans="1:21" ht="21" x14ac:dyDescent="0.35">
      <c r="A2" s="1" t="s">
        <v>525</v>
      </c>
      <c r="B2" s="2"/>
      <c r="C2" s="2"/>
      <c r="D2" s="2"/>
      <c r="E2" s="2"/>
      <c r="F2" s="2"/>
      <c r="G2" s="2"/>
      <c r="H2" s="2"/>
      <c r="I2" s="2"/>
      <c r="N2" s="828" t="s">
        <v>18</v>
      </c>
      <c r="O2" s="828"/>
      <c r="P2" s="828"/>
      <c r="Q2" s="828"/>
      <c r="R2" s="828"/>
      <c r="S2" s="828"/>
      <c r="T2" s="828"/>
      <c r="U2" s="828"/>
    </row>
    <row r="3" spans="1:21" x14ac:dyDescent="0.25">
      <c r="A3" s="253"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608"/>
      <c r="O5" s="608"/>
      <c r="P5" s="609"/>
      <c r="Q5" s="609"/>
      <c r="R5" s="5"/>
      <c r="S5" s="5"/>
      <c r="T5" s="5"/>
      <c r="U5" s="5"/>
    </row>
    <row r="6" spans="1:21" ht="12" customHeight="1" x14ac:dyDescent="0.25">
      <c r="A6" s="610"/>
      <c r="B6" s="610"/>
      <c r="C6" s="585"/>
      <c r="D6" s="585"/>
      <c r="E6" s="585"/>
      <c r="F6" s="4"/>
      <c r="G6" s="4"/>
      <c r="H6" s="4"/>
      <c r="I6" s="4"/>
      <c r="N6" s="608"/>
      <c r="O6" s="608"/>
      <c r="P6" s="609"/>
      <c r="Q6" s="609"/>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611"/>
      <c r="O9" s="611"/>
      <c r="P9" s="612"/>
      <c r="Q9" s="612"/>
      <c r="R9" s="606" t="s">
        <v>407</v>
      </c>
      <c r="S9" s="606"/>
      <c r="T9" s="832">
        <f>H9</f>
        <v>1</v>
      </c>
      <c r="U9" s="832"/>
    </row>
    <row r="10" spans="1:21" x14ac:dyDescent="0.25">
      <c r="A10" s="7"/>
      <c r="B10" s="7" t="s">
        <v>328</v>
      </c>
      <c r="C10" s="8" t="s">
        <v>328</v>
      </c>
      <c r="D10" s="8" t="s">
        <v>328</v>
      </c>
      <c r="E10" s="8"/>
      <c r="F10" s="9"/>
      <c r="G10" s="9"/>
      <c r="H10" s="10"/>
      <c r="I10" s="341" t="s">
        <v>555</v>
      </c>
      <c r="N10" s="611"/>
      <c r="O10" s="611"/>
      <c r="P10" s="612"/>
      <c r="Q10" s="612"/>
      <c r="R10" s="14"/>
      <c r="S10" s="14"/>
      <c r="T10" s="15"/>
      <c r="U10" s="384" t="str">
        <f>I10</f>
        <v>2025-26</v>
      </c>
    </row>
    <row r="11" spans="1:21" x14ac:dyDescent="0.25">
      <c r="A11" s="7"/>
      <c r="B11" s="7"/>
      <c r="C11" s="88" t="s">
        <v>523</v>
      </c>
      <c r="D11" s="349" t="s">
        <v>524</v>
      </c>
      <c r="E11" s="89" t="s">
        <v>8</v>
      </c>
      <c r="F11" s="797" t="s">
        <v>1</v>
      </c>
      <c r="G11" s="797"/>
      <c r="H11" s="10" t="s">
        <v>60</v>
      </c>
      <c r="I11" s="11" t="s">
        <v>27</v>
      </c>
      <c r="N11" s="611"/>
      <c r="O11" s="611"/>
      <c r="P11" s="612"/>
      <c r="Q11" s="612"/>
      <c r="R11" s="833" t="s">
        <v>1</v>
      </c>
      <c r="S11" s="833"/>
      <c r="T11" s="15" t="s">
        <v>60</v>
      </c>
      <c r="U11" s="16" t="s">
        <v>27</v>
      </c>
    </row>
    <row r="12" spans="1:21" ht="15.75" customHeight="1" x14ac:dyDescent="0.25">
      <c r="A12" s="36" t="s">
        <v>1</v>
      </c>
      <c r="B12" s="36"/>
      <c r="C12" s="340" t="s">
        <v>2</v>
      </c>
      <c r="D12" s="340" t="s">
        <v>2</v>
      </c>
      <c r="E12" s="9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586"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IF(D$30=0,C18*2,C18+D18)</f>
        <v>0</v>
      </c>
      <c r="F18" s="850">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1</v>
      </c>
      <c r="D19" s="143">
        <v>0</v>
      </c>
      <c r="E19" s="116">
        <f t="shared" si="1"/>
        <v>2</v>
      </c>
      <c r="F19" s="850">
        <v>0.97199999999999998</v>
      </c>
      <c r="G19" s="850"/>
      <c r="H19" s="80">
        <f>ROUND(E19*F19,4)</f>
        <v>1.944</v>
      </c>
      <c r="I19" s="101">
        <f>ROUND(ROUND(ROUND(H19*$C$8,4)*($H$8),2)*(MAX($H$9,1)),2)</f>
        <v>10815.11</v>
      </c>
      <c r="J19" s="65" t="str">
        <f>IF(ROUND(E19,2)=ROUND(SUM(E63:E65),2)," ","CHECK 4-8 LINES BELOW")</f>
        <v xml:space="preserve"> </v>
      </c>
      <c r="N19" s="851" t="s">
        <v>25</v>
      </c>
      <c r="O19" s="851"/>
      <c r="P19" s="848">
        <f t="shared" si="0"/>
        <v>2</v>
      </c>
      <c r="Q19" s="848"/>
      <c r="R19" s="852">
        <v>1</v>
      </c>
      <c r="S19" s="852"/>
      <c r="T19" s="95">
        <f t="shared" si="4"/>
        <v>2</v>
      </c>
      <c r="U19" s="490">
        <f t="shared" si="5"/>
        <v>11126.65</v>
      </c>
    </row>
    <row r="20" spans="1:21" x14ac:dyDescent="0.25">
      <c r="A20" s="804" t="s">
        <v>79</v>
      </c>
      <c r="B20" s="804"/>
      <c r="C20" s="143">
        <v>3.5</v>
      </c>
      <c r="D20" s="143">
        <v>0</v>
      </c>
      <c r="E20" s="116">
        <f t="shared" si="1"/>
        <v>7</v>
      </c>
      <c r="F20" s="850">
        <v>3.609</v>
      </c>
      <c r="G20" s="850"/>
      <c r="H20" s="80">
        <f t="shared" si="2"/>
        <v>25.263000000000002</v>
      </c>
      <c r="I20" s="101">
        <f t="shared" si="3"/>
        <v>140546.34</v>
      </c>
      <c r="N20" s="851" t="s">
        <v>79</v>
      </c>
      <c r="O20" s="851"/>
      <c r="P20" s="848">
        <f t="shared" si="0"/>
        <v>7</v>
      </c>
      <c r="Q20" s="848"/>
      <c r="R20" s="852">
        <v>1</v>
      </c>
      <c r="S20" s="852"/>
      <c r="T20" s="95">
        <f t="shared" si="4"/>
        <v>7</v>
      </c>
      <c r="U20" s="491">
        <f t="shared" si="5"/>
        <v>38943.29</v>
      </c>
    </row>
    <row r="21" spans="1:21" x14ac:dyDescent="0.25">
      <c r="A21" s="804" t="s">
        <v>80</v>
      </c>
      <c r="B21" s="804"/>
      <c r="C21" s="143">
        <v>1</v>
      </c>
      <c r="D21" s="143">
        <v>0</v>
      </c>
      <c r="E21" s="116">
        <f t="shared" si="1"/>
        <v>2</v>
      </c>
      <c r="F21" s="850">
        <v>3.609</v>
      </c>
      <c r="G21" s="850"/>
      <c r="H21" s="80">
        <f t="shared" si="2"/>
        <v>7.218</v>
      </c>
      <c r="I21" s="101">
        <f t="shared" si="3"/>
        <v>40156.1</v>
      </c>
      <c r="N21" s="851" t="s">
        <v>80</v>
      </c>
      <c r="O21" s="851"/>
      <c r="P21" s="848">
        <f t="shared" si="0"/>
        <v>2</v>
      </c>
      <c r="Q21" s="848"/>
      <c r="R21" s="852">
        <v>1</v>
      </c>
      <c r="S21" s="852"/>
      <c r="T21" s="95">
        <f t="shared" si="4"/>
        <v>2</v>
      </c>
      <c r="U21" s="491">
        <f t="shared" si="5"/>
        <v>11126.65</v>
      </c>
    </row>
    <row r="22" spans="1:21" x14ac:dyDescent="0.25">
      <c r="A22" s="804" t="s">
        <v>81</v>
      </c>
      <c r="B22" s="804"/>
      <c r="C22" s="143">
        <v>0</v>
      </c>
      <c r="D22" s="143">
        <v>0</v>
      </c>
      <c r="E22" s="116">
        <f t="shared" si="1"/>
        <v>0</v>
      </c>
      <c r="F22" s="850">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v>1.165</v>
      </c>
      <c r="G26" s="850"/>
      <c r="H26" s="80">
        <f t="shared" si="2"/>
        <v>0</v>
      </c>
      <c r="I26" s="101">
        <f t="shared" si="3"/>
        <v>0</v>
      </c>
      <c r="L26" s="250"/>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v>1.165</v>
      </c>
      <c r="G27" s="850"/>
      <c r="H27" s="80">
        <f t="shared" si="2"/>
        <v>0</v>
      </c>
      <c r="I27" s="101">
        <f t="shared" si="3"/>
        <v>0</v>
      </c>
      <c r="L27" s="250"/>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5.5</v>
      </c>
      <c r="D30" s="94">
        <f>SUM(D14:D29)</f>
        <v>0</v>
      </c>
      <c r="E30" s="94">
        <f>SUM(E14:E29)</f>
        <v>11</v>
      </c>
      <c r="F30" s="808"/>
      <c r="G30" s="808"/>
      <c r="H30" s="99">
        <f>SUM(H14:H29)</f>
        <v>34.424999999999997</v>
      </c>
      <c r="I30" s="94">
        <f>SUM(I14:I29)</f>
        <v>191517.55000000002</v>
      </c>
      <c r="N30" s="855" t="s">
        <v>5</v>
      </c>
      <c r="O30" s="855"/>
      <c r="P30" s="856">
        <f>SUM(P14:P29)</f>
        <v>11</v>
      </c>
      <c r="Q30" s="856"/>
      <c r="R30" s="857"/>
      <c r="S30" s="857"/>
      <c r="T30" s="100">
        <f>SUM(T14:T29)</f>
        <v>11</v>
      </c>
      <c r="U30" s="491">
        <f>SUM(U14:U29)</f>
        <v>61196.590000000004</v>
      </c>
    </row>
    <row r="31" spans="1:21" hidden="1" x14ac:dyDescent="0.25">
      <c r="A31" s="591"/>
      <c r="B31" s="591"/>
      <c r="C31" s="101"/>
      <c r="D31" s="101"/>
      <c r="E31" s="101"/>
      <c r="F31" s="588"/>
      <c r="G31" s="588"/>
      <c r="H31" s="80"/>
      <c r="I31" s="101"/>
      <c r="N31" s="595"/>
      <c r="O31" s="595"/>
      <c r="P31" s="29"/>
      <c r="Q31" s="29"/>
      <c r="R31" s="601"/>
      <c r="S31" s="601"/>
      <c r="T31" s="102"/>
      <c r="U31" s="103"/>
    </row>
    <row r="32" spans="1:21" hidden="1" x14ac:dyDescent="0.25">
      <c r="A32" s="281" t="s">
        <v>251</v>
      </c>
      <c r="B32" s="591"/>
      <c r="C32" s="101"/>
      <c r="D32" s="101"/>
      <c r="E32" s="101"/>
      <c r="F32" s="588"/>
      <c r="G32" s="588"/>
      <c r="H32" s="80"/>
      <c r="I32" s="101"/>
      <c r="N32" s="595"/>
      <c r="O32" s="595"/>
      <c r="P32" s="29"/>
      <c r="Q32" s="29"/>
      <c r="R32" s="601"/>
      <c r="S32" s="601"/>
      <c r="T32" s="102"/>
      <c r="U32" s="103"/>
    </row>
    <row r="33" spans="1:21" hidden="1" x14ac:dyDescent="0.25">
      <c r="A33" s="146"/>
      <c r="B33" s="591"/>
      <c r="C33" s="101"/>
      <c r="D33" s="101"/>
      <c r="E33" s="101"/>
      <c r="F33" s="588"/>
      <c r="G33" s="588"/>
      <c r="H33" s="80"/>
      <c r="I33" s="101"/>
      <c r="N33" s="595"/>
      <c r="O33" s="595"/>
      <c r="P33" s="29"/>
      <c r="Q33" s="29"/>
      <c r="R33" s="601"/>
      <c r="S33" s="601"/>
      <c r="T33" s="102"/>
      <c r="U33" s="103"/>
    </row>
    <row r="34" spans="1:21" hidden="1" x14ac:dyDescent="0.25">
      <c r="A34" s="146"/>
      <c r="B34" s="591"/>
      <c r="C34" s="101"/>
      <c r="D34" s="101"/>
      <c r="E34" s="101"/>
      <c r="F34" s="860" t="s">
        <v>232</v>
      </c>
      <c r="G34" s="860"/>
      <c r="H34" s="860"/>
      <c r="I34" s="101"/>
      <c r="N34" s="595"/>
      <c r="O34" s="595"/>
      <c r="P34" s="29"/>
      <c r="Q34" s="29"/>
      <c r="R34" s="601"/>
      <c r="S34" s="601"/>
      <c r="T34" s="102"/>
      <c r="U34" s="103"/>
    </row>
    <row r="35" spans="1:21" ht="15.6" hidden="1" customHeight="1" x14ac:dyDescent="0.25">
      <c r="A35" s="3"/>
      <c r="B35" s="587"/>
      <c r="C35" s="587"/>
      <c r="D35" s="587"/>
      <c r="E35" s="587"/>
      <c r="F35" s="860"/>
      <c r="G35" s="860"/>
      <c r="H35" s="860"/>
      <c r="I35" s="24" t="str">
        <f>I10</f>
        <v>2025-26</v>
      </c>
      <c r="N35" s="829" t="s">
        <v>26</v>
      </c>
      <c r="O35" s="829"/>
      <c r="P35" s="829"/>
      <c r="Q35" s="829"/>
      <c r="R35" s="829"/>
      <c r="S35" s="829"/>
      <c r="T35" s="829"/>
      <c r="U35" s="25" t="str">
        <f>I35</f>
        <v>2025-26</v>
      </c>
    </row>
    <row r="36" spans="1:21" hidden="1" x14ac:dyDescent="0.25">
      <c r="A36" s="591"/>
      <c r="B36" s="591"/>
      <c r="C36" s="88" t="s">
        <v>334</v>
      </c>
      <c r="D36" s="88"/>
      <c r="E36" s="89" t="s">
        <v>8</v>
      </c>
      <c r="F36" s="860"/>
      <c r="G36" s="860"/>
      <c r="H36" s="860"/>
      <c r="I36" s="24" t="s">
        <v>27</v>
      </c>
      <c r="N36" s="595"/>
      <c r="O36" s="595"/>
      <c r="P36" s="29"/>
      <c r="Q36" s="29"/>
      <c r="R36" s="601"/>
      <c r="S36" s="601"/>
      <c r="T36" s="102"/>
      <c r="U36" s="25" t="s">
        <v>27</v>
      </c>
    </row>
    <row r="37" spans="1:21" ht="26.25" hidden="1" x14ac:dyDescent="0.25">
      <c r="A37" s="798" t="s">
        <v>50</v>
      </c>
      <c r="B37" s="798"/>
      <c r="C37" s="340" t="s">
        <v>2</v>
      </c>
      <c r="D37" s="340"/>
      <c r="E37" s="90" t="s">
        <v>2</v>
      </c>
      <c r="F37" s="861"/>
      <c r="G37" s="861"/>
      <c r="H37" s="861"/>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595"/>
      <c r="O45" s="595"/>
      <c r="P45" s="595"/>
      <c r="Q45" s="595"/>
      <c r="R45" s="33"/>
      <c r="S45" s="601"/>
      <c r="T45" s="601"/>
      <c r="U45" s="103"/>
    </row>
    <row r="46" spans="1:21" ht="16.5" hidden="1" thickBot="1" x14ac:dyDescent="0.3">
      <c r="A46" s="3"/>
      <c r="B46" s="52" t="s">
        <v>96</v>
      </c>
      <c r="E46" s="152">
        <f>H30+E44</f>
        <v>34.424999999999997</v>
      </c>
      <c r="F46" s="34"/>
      <c r="G46" s="106"/>
      <c r="H46" s="107" t="s">
        <v>98</v>
      </c>
      <c r="I46" s="94">
        <f>SUM(I44,I30)</f>
        <v>191517.55000000002</v>
      </c>
      <c r="N46" s="863" t="s">
        <v>44</v>
      </c>
      <c r="O46" s="863"/>
      <c r="P46" s="863"/>
      <c r="Q46" s="863"/>
      <c r="R46" s="35">
        <f>R44+T30</f>
        <v>11</v>
      </c>
      <c r="S46" s="857" t="s">
        <v>42</v>
      </c>
      <c r="T46" s="857"/>
      <c r="U46" s="108">
        <f>SUM(U44,U30)</f>
        <v>61196.590000000004</v>
      </c>
    </row>
    <row r="47" spans="1:21" x14ac:dyDescent="0.25">
      <c r="A47" s="591"/>
      <c r="B47" s="591"/>
      <c r="C47" s="591"/>
      <c r="D47" s="591"/>
      <c r="E47" s="591"/>
      <c r="F47" s="34"/>
      <c r="G47" s="588"/>
      <c r="H47" s="588"/>
      <c r="I47" s="101"/>
      <c r="N47" s="595"/>
      <c r="O47" s="595"/>
      <c r="P47" s="595"/>
      <c r="Q47" s="595"/>
      <c r="R47" s="35"/>
      <c r="S47" s="601"/>
      <c r="T47" s="601"/>
      <c r="U47" s="103"/>
    </row>
    <row r="48" spans="1:21" x14ac:dyDescent="0.25">
      <c r="A48" s="589" t="s">
        <v>411</v>
      </c>
      <c r="B48" s="591"/>
      <c r="C48" s="591"/>
      <c r="D48" s="591"/>
      <c r="E48" s="591"/>
      <c r="F48" s="34"/>
      <c r="G48" s="588"/>
      <c r="H48" s="588"/>
      <c r="I48" s="101"/>
      <c r="N48" s="593" t="s">
        <v>411</v>
      </c>
      <c r="O48" s="595"/>
      <c r="P48" s="595"/>
      <c r="Q48" s="595"/>
      <c r="R48" s="35"/>
      <c r="S48" s="601"/>
      <c r="T48" s="601"/>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0" t="s">
        <v>534</v>
      </c>
      <c r="F50" s="411"/>
      <c r="G50" s="412"/>
      <c r="H50" s="412"/>
      <c r="I50" s="413"/>
      <c r="N50" s="431" t="s">
        <v>534</v>
      </c>
      <c r="O50" s="414"/>
      <c r="P50" s="414"/>
      <c r="Q50" s="414"/>
      <c r="R50" s="415"/>
      <c r="S50" s="416"/>
      <c r="T50" s="416"/>
      <c r="U50" s="423"/>
    </row>
    <row r="51" spans="1:22" x14ac:dyDescent="0.25">
      <c r="A51" s="408"/>
      <c r="B51" s="3" t="s">
        <v>556</v>
      </c>
      <c r="C51" s="591"/>
      <c r="D51" s="591"/>
      <c r="E51" s="580" t="s">
        <v>414</v>
      </c>
      <c r="F51" s="419">
        <v>191517.55000000002</v>
      </c>
      <c r="G51" s="109" t="s">
        <v>6</v>
      </c>
      <c r="H51" s="420">
        <v>6.6699999999999995E-2</v>
      </c>
      <c r="I51" s="101">
        <f>ROUND(F51*H51,2)</f>
        <v>12774.22</v>
      </c>
      <c r="N51" s="425"/>
      <c r="O51" s="51" t="s">
        <v>556</v>
      </c>
      <c r="P51" s="595"/>
      <c r="Q51" s="44" t="s">
        <v>414</v>
      </c>
      <c r="R51" s="427">
        <f>U30</f>
        <v>61196.590000000004</v>
      </c>
      <c r="S51" s="428" t="s">
        <v>6</v>
      </c>
      <c r="T51" s="429">
        <v>6.6699999999999995E-2</v>
      </c>
      <c r="U51" s="421">
        <f>ROUND(R51*T51,2)</f>
        <v>4081.81</v>
      </c>
    </row>
    <row r="52" spans="1:22" x14ac:dyDescent="0.25">
      <c r="A52" s="591"/>
      <c r="B52" s="749" t="s">
        <v>560</v>
      </c>
      <c r="C52" s="591"/>
      <c r="D52" s="591"/>
      <c r="E52" s="580" t="s">
        <v>414</v>
      </c>
      <c r="F52" s="419">
        <v>191517.55000000002</v>
      </c>
      <c r="G52" s="109" t="s">
        <v>6</v>
      </c>
      <c r="H52" s="420">
        <v>5.4000000000000003E-3</v>
      </c>
      <c r="I52" s="101">
        <f>ROUND(F52*H52,2)</f>
        <v>1034.19</v>
      </c>
      <c r="N52" s="595"/>
      <c r="O52" s="757" t="s">
        <v>560</v>
      </c>
      <c r="P52" s="595"/>
      <c r="Q52" s="44" t="s">
        <v>414</v>
      </c>
      <c r="R52" s="427">
        <f>U30</f>
        <v>61196.590000000004</v>
      </c>
      <c r="S52" s="428" t="s">
        <v>6</v>
      </c>
      <c r="T52" s="429">
        <v>5.4000000000000003E-3</v>
      </c>
      <c r="U52" s="430">
        <f>ROUND(R52*T52,2)</f>
        <v>330.46</v>
      </c>
    </row>
    <row r="53" spans="1:22" x14ac:dyDescent="0.25">
      <c r="A53" s="591"/>
      <c r="B53" s="589" t="s">
        <v>415</v>
      </c>
      <c r="C53" s="591"/>
      <c r="D53" s="591"/>
      <c r="E53" s="580"/>
      <c r="F53" s="419"/>
      <c r="G53" s="109"/>
      <c r="H53" s="420"/>
      <c r="I53" s="97">
        <f>SUM(I51:I52)</f>
        <v>13808.41</v>
      </c>
      <c r="N53" s="595"/>
      <c r="O53" s="593" t="s">
        <v>415</v>
      </c>
      <c r="P53" s="595"/>
      <c r="Q53" s="44"/>
      <c r="R53" s="427"/>
      <c r="S53" s="428"/>
      <c r="T53" s="429"/>
      <c r="U53" s="421">
        <f>SUM(U51:U52)</f>
        <v>4412.2699999999995</v>
      </c>
    </row>
    <row r="54" spans="1:22" x14ac:dyDescent="0.25">
      <c r="A54" s="241"/>
      <c r="C54" s="583" t="s">
        <v>458</v>
      </c>
      <c r="D54" s="583" t="s">
        <v>458</v>
      </c>
      <c r="G54" s="42"/>
      <c r="H54" s="114"/>
      <c r="I54" s="114"/>
      <c r="N54" s="479"/>
      <c r="O54" s="51"/>
      <c r="P54" s="40" t="s">
        <v>458</v>
      </c>
      <c r="Q54" s="40" t="s">
        <v>458</v>
      </c>
      <c r="R54" s="51"/>
      <c r="S54" s="51"/>
      <c r="T54" s="480"/>
      <c r="U54" s="481"/>
      <c r="V54" s="114"/>
    </row>
    <row r="55" spans="1:22" x14ac:dyDescent="0.25">
      <c r="A55" s="591"/>
      <c r="B55" s="591"/>
      <c r="C55" s="88" t="s">
        <v>523</v>
      </c>
      <c r="D55" s="349" t="s">
        <v>524</v>
      </c>
      <c r="E55" s="89" t="s">
        <v>8</v>
      </c>
      <c r="F55" s="46" t="s">
        <v>452</v>
      </c>
      <c r="G55" s="109" t="s">
        <v>453</v>
      </c>
      <c r="H55" s="472" t="s">
        <v>454</v>
      </c>
      <c r="I55" s="101"/>
      <c r="N55" s="595"/>
      <c r="O55" s="595"/>
      <c r="P55" s="482"/>
      <c r="Q55" s="483"/>
      <c r="R55" s="484"/>
      <c r="S55" s="486" t="s">
        <v>453</v>
      </c>
      <c r="T55" s="487" t="s">
        <v>454</v>
      </c>
      <c r="U55" s="485"/>
      <c r="V55" s="442"/>
    </row>
    <row r="56" spans="1:22" x14ac:dyDescent="0.25">
      <c r="A56" s="36" t="s">
        <v>455</v>
      </c>
      <c r="B56" s="36"/>
      <c r="C56" s="340" t="s">
        <v>2</v>
      </c>
      <c r="D56" s="340" t="s">
        <v>2</v>
      </c>
      <c r="E56" s="90" t="s">
        <v>2</v>
      </c>
      <c r="F56" s="586" t="s">
        <v>456</v>
      </c>
      <c r="G56" s="582" t="s">
        <v>456</v>
      </c>
      <c r="H56" s="473" t="s">
        <v>457</v>
      </c>
      <c r="I56" s="36"/>
      <c r="N56" s="477" t="s">
        <v>455</v>
      </c>
      <c r="O56" s="477"/>
      <c r="P56" s="864" t="s">
        <v>2</v>
      </c>
      <c r="Q56" s="864"/>
      <c r="R56" s="477" t="s">
        <v>461</v>
      </c>
      <c r="S56" s="607" t="s">
        <v>456</v>
      </c>
      <c r="T56" s="488" t="s">
        <v>457</v>
      </c>
      <c r="U56" s="477"/>
      <c r="V56" s="476"/>
    </row>
    <row r="57" spans="1:22" ht="15.75" customHeight="1" x14ac:dyDescent="0.25">
      <c r="A57" s="814" t="s">
        <v>564</v>
      </c>
      <c r="B57" s="814"/>
      <c r="C57" s="143">
        <v>0</v>
      </c>
      <c r="D57" s="143">
        <v>0</v>
      </c>
      <c r="E57" s="116">
        <f t="shared" ref="E57:E59" si="10">IF(D$72=0,C57*2,C57+D57)</f>
        <v>0</v>
      </c>
      <c r="F57" s="581" t="s">
        <v>451</v>
      </c>
      <c r="G57" s="581">
        <v>251</v>
      </c>
      <c r="H57" s="475">
        <v>1047</v>
      </c>
      <c r="I57" s="101">
        <f>ROUND(E57*H57,2)</f>
        <v>0</v>
      </c>
      <c r="N57" s="865" t="s">
        <v>459</v>
      </c>
      <c r="O57" s="865"/>
      <c r="P57" s="867"/>
      <c r="Q57" s="867"/>
      <c r="R57" s="603" t="s">
        <v>451</v>
      </c>
      <c r="S57" s="603">
        <v>251</v>
      </c>
      <c r="T57" s="478">
        <f>H57</f>
        <v>1047</v>
      </c>
      <c r="U57" s="492">
        <f>ROUND(P57*T57,2)</f>
        <v>0</v>
      </c>
      <c r="V57" s="442"/>
    </row>
    <row r="58" spans="1:22" x14ac:dyDescent="0.25">
      <c r="A58" s="815"/>
      <c r="B58" s="815"/>
      <c r="C58" s="143">
        <v>0</v>
      </c>
      <c r="D58" s="143">
        <v>0</v>
      </c>
      <c r="E58" s="116">
        <f t="shared" si="10"/>
        <v>0</v>
      </c>
      <c r="F58" s="581" t="s">
        <v>451</v>
      </c>
      <c r="G58" s="581">
        <v>252</v>
      </c>
      <c r="H58" s="475">
        <v>3380</v>
      </c>
      <c r="I58" s="101">
        <f t="shared" ref="I58:I65" si="11">ROUND(E58*H58,2)</f>
        <v>0</v>
      </c>
      <c r="N58" s="866"/>
      <c r="O58" s="866"/>
      <c r="P58" s="868"/>
      <c r="Q58" s="868"/>
      <c r="R58" s="603" t="s">
        <v>451</v>
      </c>
      <c r="S58" s="603">
        <v>252</v>
      </c>
      <c r="T58" s="478">
        <f t="shared" ref="T58:T65" si="12">H58</f>
        <v>3380</v>
      </c>
      <c r="U58" s="492">
        <f t="shared" ref="U58:U65" si="13">ROUND(P58*T58,2)</f>
        <v>0</v>
      </c>
      <c r="V58" s="442"/>
    </row>
    <row r="59" spans="1:22" x14ac:dyDescent="0.25">
      <c r="A59" s="815"/>
      <c r="B59" s="815"/>
      <c r="C59" s="143">
        <v>0</v>
      </c>
      <c r="D59" s="143">
        <v>0</v>
      </c>
      <c r="E59" s="116">
        <f t="shared" si="10"/>
        <v>0</v>
      </c>
      <c r="F59" s="581" t="s">
        <v>451</v>
      </c>
      <c r="G59" s="581">
        <v>253</v>
      </c>
      <c r="H59" s="475">
        <v>6896</v>
      </c>
      <c r="I59" s="101">
        <f t="shared" si="11"/>
        <v>0</v>
      </c>
      <c r="N59" s="866"/>
      <c r="O59" s="866"/>
      <c r="P59" s="868"/>
      <c r="Q59" s="868"/>
      <c r="R59" s="603" t="s">
        <v>451</v>
      </c>
      <c r="S59" s="603">
        <v>253</v>
      </c>
      <c r="T59" s="478">
        <f t="shared" si="12"/>
        <v>6896</v>
      </c>
      <c r="U59" s="492">
        <f t="shared" si="13"/>
        <v>0</v>
      </c>
      <c r="V59" s="442"/>
    </row>
    <row r="60" spans="1:22" x14ac:dyDescent="0.25">
      <c r="A60" s="815"/>
      <c r="B60" s="815"/>
      <c r="C60" s="143">
        <v>0</v>
      </c>
      <c r="D60" s="143">
        <v>0</v>
      </c>
      <c r="E60" s="116">
        <f t="shared" ref="E60:E65" si="14">IF(D$66=0,C60*2,C60+D60)</f>
        <v>0</v>
      </c>
      <c r="F60" s="583" t="s">
        <v>13</v>
      </c>
      <c r="G60" s="581">
        <v>251</v>
      </c>
      <c r="H60" s="475">
        <v>1173</v>
      </c>
      <c r="I60" s="101">
        <f t="shared" si="11"/>
        <v>0</v>
      </c>
      <c r="N60" s="866"/>
      <c r="O60" s="866"/>
      <c r="P60" s="868"/>
      <c r="Q60" s="868"/>
      <c r="R60" s="40" t="s">
        <v>13</v>
      </c>
      <c r="S60" s="603">
        <v>251</v>
      </c>
      <c r="T60" s="478">
        <f t="shared" si="12"/>
        <v>1173</v>
      </c>
      <c r="U60" s="492">
        <f t="shared" si="13"/>
        <v>0</v>
      </c>
      <c r="V60" s="442"/>
    </row>
    <row r="61" spans="1:22" x14ac:dyDescent="0.25">
      <c r="A61" s="815"/>
      <c r="B61" s="815"/>
      <c r="C61" s="143">
        <v>0</v>
      </c>
      <c r="D61" s="143">
        <v>0</v>
      </c>
      <c r="E61" s="116">
        <f t="shared" si="14"/>
        <v>0</v>
      </c>
      <c r="F61" s="583" t="s">
        <v>13</v>
      </c>
      <c r="G61" s="581">
        <v>252</v>
      </c>
      <c r="H61" s="475">
        <v>3506</v>
      </c>
      <c r="I61" s="101">
        <f t="shared" si="11"/>
        <v>0</v>
      </c>
      <c r="N61" s="866"/>
      <c r="O61" s="866"/>
      <c r="P61" s="868"/>
      <c r="Q61" s="868"/>
      <c r="R61" s="40" t="s">
        <v>13</v>
      </c>
      <c r="S61" s="603">
        <v>252</v>
      </c>
      <c r="T61" s="478">
        <f t="shared" si="12"/>
        <v>3506</v>
      </c>
      <c r="U61" s="492">
        <f t="shared" si="13"/>
        <v>0</v>
      </c>
      <c r="V61" s="442"/>
    </row>
    <row r="62" spans="1:22" x14ac:dyDescent="0.25">
      <c r="A62" s="815"/>
      <c r="B62" s="815"/>
      <c r="C62" s="143">
        <v>0</v>
      </c>
      <c r="D62" s="143">
        <v>0</v>
      </c>
      <c r="E62" s="116">
        <f t="shared" si="14"/>
        <v>0</v>
      </c>
      <c r="F62" s="583" t="s">
        <v>13</v>
      </c>
      <c r="G62" s="581">
        <v>253</v>
      </c>
      <c r="H62" s="475">
        <v>7023</v>
      </c>
      <c r="I62" s="101">
        <f t="shared" si="11"/>
        <v>0</v>
      </c>
      <c r="N62" s="866"/>
      <c r="O62" s="866"/>
      <c r="P62" s="868"/>
      <c r="Q62" s="868"/>
      <c r="R62" s="40" t="s">
        <v>13</v>
      </c>
      <c r="S62" s="603">
        <v>253</v>
      </c>
      <c r="T62" s="478">
        <f t="shared" si="12"/>
        <v>7023</v>
      </c>
      <c r="U62" s="492">
        <f t="shared" si="13"/>
        <v>0</v>
      </c>
      <c r="V62" s="442"/>
    </row>
    <row r="63" spans="1:22" x14ac:dyDescent="0.25">
      <c r="A63" s="815"/>
      <c r="B63" s="815"/>
      <c r="C63" s="143">
        <v>1</v>
      </c>
      <c r="D63" s="143">
        <v>0</v>
      </c>
      <c r="E63" s="116">
        <f t="shared" si="14"/>
        <v>2</v>
      </c>
      <c r="F63" s="583" t="s">
        <v>14</v>
      </c>
      <c r="G63" s="581">
        <v>251</v>
      </c>
      <c r="H63" s="475">
        <v>835</v>
      </c>
      <c r="I63" s="101">
        <f>ROUND(E63*H63,2)</f>
        <v>1670</v>
      </c>
      <c r="N63" s="866"/>
      <c r="O63" s="866"/>
      <c r="P63" s="868"/>
      <c r="Q63" s="868"/>
      <c r="R63" s="40" t="s">
        <v>14</v>
      </c>
      <c r="S63" s="603">
        <v>251</v>
      </c>
      <c r="T63" s="478">
        <f t="shared" si="12"/>
        <v>835</v>
      </c>
      <c r="U63" s="492">
        <f t="shared" si="13"/>
        <v>0</v>
      </c>
      <c r="V63" s="442"/>
    </row>
    <row r="64" spans="1:22" x14ac:dyDescent="0.25">
      <c r="A64" s="815"/>
      <c r="B64" s="815"/>
      <c r="C64" s="143">
        <v>0</v>
      </c>
      <c r="D64" s="143">
        <v>0</v>
      </c>
      <c r="E64" s="116">
        <f t="shared" si="14"/>
        <v>0</v>
      </c>
      <c r="F64" s="583" t="s">
        <v>14</v>
      </c>
      <c r="G64" s="581">
        <v>252</v>
      </c>
      <c r="H64" s="475">
        <v>3168</v>
      </c>
      <c r="I64" s="101">
        <f t="shared" si="11"/>
        <v>0</v>
      </c>
      <c r="N64" s="866"/>
      <c r="O64" s="866"/>
      <c r="P64" s="868"/>
      <c r="Q64" s="868"/>
      <c r="R64" s="40" t="s">
        <v>14</v>
      </c>
      <c r="S64" s="603">
        <v>252</v>
      </c>
      <c r="T64" s="478">
        <f t="shared" si="12"/>
        <v>3168</v>
      </c>
      <c r="U64" s="492">
        <f t="shared" si="13"/>
        <v>0</v>
      </c>
      <c r="V64" s="442"/>
    </row>
    <row r="65" spans="1:22" ht="16.5" thickBot="1" x14ac:dyDescent="0.3">
      <c r="A65" s="815"/>
      <c r="B65" s="815"/>
      <c r="C65" s="143">
        <v>0</v>
      </c>
      <c r="D65" s="143">
        <v>0</v>
      </c>
      <c r="E65" s="116">
        <f t="shared" si="14"/>
        <v>0</v>
      </c>
      <c r="F65" s="583" t="s">
        <v>14</v>
      </c>
      <c r="G65" s="581">
        <v>253</v>
      </c>
      <c r="H65" s="475">
        <v>6685</v>
      </c>
      <c r="I65" s="101">
        <f t="shared" si="11"/>
        <v>0</v>
      </c>
      <c r="N65" s="866"/>
      <c r="O65" s="866"/>
      <c r="P65" s="874"/>
      <c r="Q65" s="874"/>
      <c r="R65" s="40" t="s">
        <v>14</v>
      </c>
      <c r="S65" s="603">
        <v>253</v>
      </c>
      <c r="T65" s="478">
        <f t="shared" si="12"/>
        <v>6685</v>
      </c>
      <c r="U65" s="493">
        <f t="shared" si="13"/>
        <v>0</v>
      </c>
      <c r="V65" s="442"/>
    </row>
    <row r="66" spans="1:22" ht="16.5" thickBot="1" x14ac:dyDescent="0.3">
      <c r="A66" s="241"/>
      <c r="C66" s="97">
        <f>SUM(C57:C65)</f>
        <v>1</v>
      </c>
      <c r="D66" s="97">
        <f>SUM(D57:D65)</f>
        <v>0</v>
      </c>
      <c r="E66" s="97">
        <f>SUM(E57:E65)</f>
        <v>2</v>
      </c>
      <c r="F66" s="816" t="s">
        <v>460</v>
      </c>
      <c r="G66" s="816"/>
      <c r="H66" s="816"/>
      <c r="I66" s="97">
        <f>SUM(I57:I65)</f>
        <v>1670</v>
      </c>
      <c r="N66" s="479"/>
      <c r="O66" s="51"/>
      <c r="P66" s="875">
        <f>SUM(P57:P65)</f>
        <v>0</v>
      </c>
      <c r="Q66" s="875"/>
      <c r="R66" s="863" t="s">
        <v>460</v>
      </c>
      <c r="S66" s="863"/>
      <c r="T66" s="863"/>
      <c r="U66" s="494">
        <f>SUM(U57:U65)</f>
        <v>0</v>
      </c>
      <c r="V66" s="442"/>
    </row>
    <row r="67" spans="1:22" x14ac:dyDescent="0.25">
      <c r="A67" s="241"/>
      <c r="C67" s="101"/>
      <c r="D67" s="101"/>
      <c r="E67" s="101"/>
      <c r="F67" s="591"/>
      <c r="G67" s="591"/>
      <c r="H67" s="591"/>
      <c r="I67" s="101"/>
      <c r="N67" s="594"/>
      <c r="O67" s="594"/>
      <c r="P67" s="594"/>
      <c r="Q67" s="594"/>
      <c r="R67" s="594"/>
      <c r="S67" s="594"/>
      <c r="T67" s="596"/>
      <c r="U67" s="596"/>
    </row>
    <row r="68" spans="1:22" x14ac:dyDescent="0.25">
      <c r="A68" s="589" t="s">
        <v>462</v>
      </c>
      <c r="N68" s="593" t="s">
        <v>470</v>
      </c>
      <c r="O68" s="51"/>
      <c r="P68" s="51"/>
      <c r="Q68" s="51"/>
      <c r="R68" s="51"/>
      <c r="S68" s="51"/>
      <c r="T68" s="51"/>
      <c r="U68" s="51"/>
    </row>
    <row r="69" spans="1:22" x14ac:dyDescent="0.25">
      <c r="A69" s="810" t="s">
        <v>416</v>
      </c>
      <c r="B69" s="804"/>
      <c r="C69" s="112">
        <f>E30</f>
        <v>11</v>
      </c>
      <c r="D69" s="791" t="s">
        <v>427</v>
      </c>
      <c r="E69" s="791"/>
      <c r="F69" s="791"/>
      <c r="G69" s="791"/>
      <c r="H69" s="287">
        <v>215320.92</v>
      </c>
      <c r="I69" s="113"/>
      <c r="N69" s="870" t="s">
        <v>420</v>
      </c>
      <c r="O69" s="851"/>
      <c r="P69" s="41">
        <f>P30</f>
        <v>11</v>
      </c>
      <c r="Q69" s="871" t="s">
        <v>422</v>
      </c>
      <c r="R69" s="872"/>
      <c r="S69" s="872"/>
      <c r="T69" s="873">
        <f>H69</f>
        <v>215320.92</v>
      </c>
      <c r="U69" s="873"/>
    </row>
    <row r="70" spans="1:22" x14ac:dyDescent="0.25">
      <c r="B70" s="587"/>
      <c r="G70" s="42" t="s">
        <v>12</v>
      </c>
      <c r="H70" s="114">
        <f>ROUND(C69/H69,6)</f>
        <v>5.1E-5</v>
      </c>
      <c r="I70" s="115"/>
      <c r="N70" s="851"/>
      <c r="O70" s="851"/>
      <c r="P70" s="851"/>
      <c r="Q70" s="851"/>
      <c r="R70" s="851"/>
      <c r="S70" s="851"/>
      <c r="T70" s="869">
        <f>ROUND(P69/T69,6)</f>
        <v>5.1E-5</v>
      </c>
      <c r="U70" s="869"/>
    </row>
    <row r="71" spans="1:22" x14ac:dyDescent="0.25">
      <c r="A71" s="589" t="s">
        <v>463</v>
      </c>
      <c r="N71" s="593" t="s">
        <v>471</v>
      </c>
      <c r="O71" s="51"/>
      <c r="P71" s="51"/>
      <c r="Q71" s="51"/>
      <c r="R71" s="51"/>
      <c r="S71" s="51"/>
      <c r="T71" s="51"/>
      <c r="U71" s="51"/>
    </row>
    <row r="72" spans="1:22" x14ac:dyDescent="0.25">
      <c r="A72" s="810" t="s">
        <v>417</v>
      </c>
      <c r="B72" s="804"/>
      <c r="C72" s="112">
        <f>H30</f>
        <v>34.424999999999997</v>
      </c>
      <c r="D72" s="791" t="s">
        <v>428</v>
      </c>
      <c r="E72" s="791"/>
      <c r="F72" s="791"/>
      <c r="G72" s="791"/>
      <c r="H72" s="288">
        <v>229051.25000000003</v>
      </c>
      <c r="I72" s="116"/>
      <c r="N72" s="870" t="s">
        <v>421</v>
      </c>
      <c r="O72" s="851"/>
      <c r="P72" s="41">
        <f>T30</f>
        <v>11</v>
      </c>
      <c r="Q72" s="871" t="s">
        <v>423</v>
      </c>
      <c r="R72" s="872"/>
      <c r="S72" s="872"/>
      <c r="T72" s="873">
        <f>H72</f>
        <v>229051.25000000003</v>
      </c>
      <c r="U72" s="873"/>
    </row>
    <row r="73" spans="1:22" x14ac:dyDescent="0.25">
      <c r="G73" s="42" t="s">
        <v>12</v>
      </c>
      <c r="H73" s="114">
        <f>ROUND(C72/H72,6)</f>
        <v>1.4999999999999999E-4</v>
      </c>
      <c r="I73" s="114"/>
      <c r="N73" s="851"/>
      <c r="O73" s="851"/>
      <c r="P73" s="851"/>
      <c r="Q73" s="851"/>
      <c r="R73" s="851"/>
      <c r="S73" s="851"/>
      <c r="T73" s="869">
        <f>ROUND(P72/T72,6)</f>
        <v>4.8000000000000001E-5</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11</v>
      </c>
      <c r="D75" s="783" t="s">
        <v>429</v>
      </c>
      <c r="E75" s="783"/>
      <c r="F75" s="783"/>
      <c r="G75" s="783"/>
      <c r="H75" s="287">
        <v>186156.17</v>
      </c>
      <c r="I75" s="113"/>
      <c r="N75" s="870" t="s">
        <v>419</v>
      </c>
      <c r="O75" s="851"/>
      <c r="P75" s="41">
        <f>P30</f>
        <v>11</v>
      </c>
      <c r="Q75" s="878" t="s">
        <v>424</v>
      </c>
      <c r="R75" s="879"/>
      <c r="S75" s="879"/>
      <c r="T75" s="873">
        <f>H75</f>
        <v>186156.17</v>
      </c>
      <c r="U75" s="873"/>
    </row>
    <row r="76" spans="1:22" x14ac:dyDescent="0.25">
      <c r="B76" s="587"/>
      <c r="G76" s="42" t="s">
        <v>12</v>
      </c>
      <c r="H76" s="114">
        <f>ROUND(C75/H75,6)</f>
        <v>5.8999999999999998E-5</v>
      </c>
      <c r="I76" s="115"/>
      <c r="N76" s="851"/>
      <c r="O76" s="851"/>
      <c r="P76" s="851"/>
      <c r="Q76" s="851"/>
      <c r="R76" s="851"/>
      <c r="S76" s="851"/>
      <c r="T76" s="869">
        <f>ROUND(P75/T75,6)</f>
        <v>5.8999999999999998E-5</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11</v>
      </c>
      <c r="D78" s="811" t="s">
        <v>430</v>
      </c>
      <c r="E78" s="811"/>
      <c r="F78" s="811"/>
      <c r="G78" s="811"/>
      <c r="H78" s="287">
        <v>215016.58000000002</v>
      </c>
      <c r="I78" s="113"/>
      <c r="N78" s="870" t="s">
        <v>419</v>
      </c>
      <c r="O78" s="851"/>
      <c r="P78" s="41">
        <f>P30</f>
        <v>11</v>
      </c>
      <c r="Q78" s="876" t="s">
        <v>425</v>
      </c>
      <c r="R78" s="877"/>
      <c r="S78" s="877"/>
      <c r="T78" s="873">
        <f>H78</f>
        <v>215016.58000000002</v>
      </c>
      <c r="U78" s="873"/>
    </row>
    <row r="79" spans="1:22" x14ac:dyDescent="0.25">
      <c r="B79" s="587"/>
      <c r="G79" s="42" t="s">
        <v>12</v>
      </c>
      <c r="H79" s="114">
        <f>ROUND(C78/H78,6)</f>
        <v>5.1E-5</v>
      </c>
      <c r="I79" s="115"/>
      <c r="N79" s="851"/>
      <c r="O79" s="851"/>
      <c r="P79" s="851"/>
      <c r="Q79" s="851"/>
      <c r="R79" s="851"/>
      <c r="S79" s="851"/>
      <c r="T79" s="869">
        <f>ROUND(P78/T78,6)</f>
        <v>5.1E-5</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11</v>
      </c>
      <c r="D81" s="783" t="s">
        <v>431</v>
      </c>
      <c r="E81" s="783"/>
      <c r="F81" s="783"/>
      <c r="G81" s="783"/>
      <c r="H81" s="287">
        <v>185851.83000000002</v>
      </c>
      <c r="I81" s="113"/>
      <c r="N81" s="870" t="s">
        <v>432</v>
      </c>
      <c r="O81" s="851"/>
      <c r="P81" s="41">
        <f>P30</f>
        <v>11</v>
      </c>
      <c r="Q81" s="878" t="s">
        <v>433</v>
      </c>
      <c r="R81" s="879"/>
      <c r="S81" s="879"/>
      <c r="T81" s="873">
        <f>H81</f>
        <v>185851.83000000002</v>
      </c>
      <c r="U81" s="873"/>
    </row>
    <row r="82" spans="1:21" x14ac:dyDescent="0.25">
      <c r="B82" s="587"/>
      <c r="G82" s="42" t="s">
        <v>12</v>
      </c>
      <c r="H82" s="114">
        <f>ROUND(C81/H81,6)</f>
        <v>5.8999999999999998E-5</v>
      </c>
      <c r="I82" s="115"/>
      <c r="N82" s="851"/>
      <c r="O82" s="851"/>
      <c r="P82" s="851"/>
      <c r="Q82" s="851"/>
      <c r="R82" s="851"/>
      <c r="S82" s="851"/>
      <c r="T82" s="869">
        <f>ROUND(P81/T81,6)</f>
        <v>5.8999999999999998E-5</v>
      </c>
      <c r="U82" s="869"/>
    </row>
    <row r="83" spans="1:21" x14ac:dyDescent="0.25">
      <c r="A83" s="241"/>
      <c r="G83" s="42"/>
      <c r="H83" s="114"/>
      <c r="I83" s="114"/>
      <c r="N83" s="594"/>
      <c r="O83" s="594"/>
      <c r="P83" s="594"/>
      <c r="Q83" s="594"/>
      <c r="R83" s="594"/>
      <c r="S83" s="594"/>
      <c r="T83" s="596"/>
      <c r="U83" s="596"/>
    </row>
    <row r="84" spans="1:21" x14ac:dyDescent="0.25">
      <c r="A84" s="241"/>
      <c r="G84" s="42"/>
      <c r="H84" s="114"/>
      <c r="I84" s="114"/>
      <c r="N84" s="594"/>
      <c r="O84" s="594"/>
      <c r="P84" s="594"/>
      <c r="Q84" s="594"/>
      <c r="R84" s="594"/>
      <c r="S84" s="594"/>
      <c r="T84" s="596"/>
      <c r="U84" s="596"/>
    </row>
    <row r="85" spans="1:21" x14ac:dyDescent="0.25">
      <c r="A85" s="589" t="s">
        <v>467</v>
      </c>
      <c r="D85" s="587"/>
      <c r="E85" s="580" t="s">
        <v>316</v>
      </c>
      <c r="F85" s="289">
        <v>47290747</v>
      </c>
      <c r="G85" s="581" t="s">
        <v>6</v>
      </c>
      <c r="H85" s="440">
        <f>H79</f>
        <v>5.1E-5</v>
      </c>
      <c r="I85" s="101">
        <f>ROUND(F85*H85,2)</f>
        <v>2411.83</v>
      </c>
      <c r="N85" s="593" t="s">
        <v>467</v>
      </c>
      <c r="O85" s="51"/>
      <c r="P85" s="51"/>
      <c r="Q85" s="44"/>
      <c r="R85" s="437">
        <f>F85</f>
        <v>47290747</v>
      </c>
      <c r="S85" s="603" t="s">
        <v>6</v>
      </c>
      <c r="T85" s="439">
        <f>T79</f>
        <v>5.1E-5</v>
      </c>
      <c r="U85" s="491">
        <f>ROUND(R85*T85,2)</f>
        <v>2411.83</v>
      </c>
    </row>
    <row r="86" spans="1:21" x14ac:dyDescent="0.25">
      <c r="A86" s="418"/>
      <c r="D86" s="587"/>
      <c r="E86" s="580"/>
      <c r="F86" s="275"/>
      <c r="G86" s="581"/>
      <c r="H86" s="440"/>
      <c r="I86" s="101"/>
      <c r="N86" s="51"/>
      <c r="O86" s="51"/>
      <c r="P86" s="51"/>
      <c r="Q86" s="44"/>
      <c r="R86" s="438"/>
      <c r="S86" s="603"/>
      <c r="T86" s="439"/>
      <c r="U86" s="495"/>
    </row>
    <row r="87" spans="1:21" x14ac:dyDescent="0.25">
      <c r="A87" s="813" t="s">
        <v>71</v>
      </c>
      <c r="B87" s="804"/>
      <c r="C87" s="804"/>
      <c r="D87" s="587"/>
      <c r="E87" s="580"/>
      <c r="F87" s="275"/>
      <c r="G87" s="581"/>
      <c r="H87" s="440"/>
      <c r="I87" s="101"/>
      <c r="N87" s="870" t="s">
        <v>475</v>
      </c>
      <c r="O87" s="851"/>
      <c r="P87" s="851"/>
      <c r="Q87" s="51"/>
      <c r="R87" s="438"/>
      <c r="S87" s="51"/>
      <c r="T87" s="603"/>
      <c r="U87" s="496"/>
    </row>
    <row r="88" spans="1:21" x14ac:dyDescent="0.25">
      <c r="A88" s="813" t="s">
        <v>99</v>
      </c>
      <c r="B88" s="804"/>
      <c r="C88" s="804"/>
      <c r="D88" s="587"/>
      <c r="E88" s="580" t="s">
        <v>3</v>
      </c>
      <c r="F88" s="289">
        <v>0</v>
      </c>
      <c r="G88" s="581" t="s">
        <v>6</v>
      </c>
      <c r="H88" s="440">
        <f>H70</f>
        <v>5.1E-5</v>
      </c>
      <c r="I88" s="101">
        <f>ROUND(F88*H88,2)</f>
        <v>0</v>
      </c>
      <c r="N88" s="880" t="s">
        <v>99</v>
      </c>
      <c r="O88" s="851"/>
      <c r="P88" s="851"/>
      <c r="Q88" s="44"/>
      <c r="R88" s="437">
        <f>F88</f>
        <v>0</v>
      </c>
      <c r="S88" s="603" t="s">
        <v>6</v>
      </c>
      <c r="T88" s="439">
        <f>T70</f>
        <v>5.1E-5</v>
      </c>
      <c r="U88" s="491">
        <f>ROUND(R88*T88,2)</f>
        <v>0</v>
      </c>
    </row>
    <row r="89" spans="1:21" x14ac:dyDescent="0.25">
      <c r="A89" s="590"/>
      <c r="B89" s="587"/>
      <c r="C89" s="587"/>
      <c r="D89" s="587"/>
      <c r="E89" s="580"/>
      <c r="F89" s="275"/>
      <c r="G89" s="581"/>
      <c r="H89" s="440"/>
      <c r="I89" s="101"/>
      <c r="N89" s="605"/>
      <c r="O89" s="594"/>
      <c r="P89" s="594"/>
      <c r="Q89" s="44"/>
      <c r="R89" s="437"/>
      <c r="S89" s="603"/>
      <c r="T89" s="439"/>
      <c r="U89" s="491"/>
    </row>
    <row r="90" spans="1:21" x14ac:dyDescent="0.25">
      <c r="A90" s="589" t="s">
        <v>468</v>
      </c>
      <c r="D90" s="587"/>
      <c r="E90" s="580" t="s">
        <v>434</v>
      </c>
      <c r="F90" s="289">
        <v>19167881</v>
      </c>
      <c r="G90" s="581" t="s">
        <v>6</v>
      </c>
      <c r="H90" s="440">
        <f>H82</f>
        <v>5.8999999999999998E-5</v>
      </c>
      <c r="I90" s="101">
        <f>ROUND(F90*H90,2)</f>
        <v>1130.9000000000001</v>
      </c>
      <c r="N90" s="593" t="s">
        <v>468</v>
      </c>
      <c r="O90" s="51"/>
      <c r="P90" s="51"/>
      <c r="Q90" s="44"/>
      <c r="R90" s="437">
        <f>F90</f>
        <v>19167881</v>
      </c>
      <c r="S90" s="603" t="s">
        <v>6</v>
      </c>
      <c r="T90" s="439">
        <f>T82</f>
        <v>5.8999999999999998E-5</v>
      </c>
      <c r="U90" s="491">
        <f>ROUND(R90*T90,2)</f>
        <v>1130.9000000000001</v>
      </c>
    </row>
    <row r="91" spans="1:21" x14ac:dyDescent="0.25">
      <c r="A91" s="418"/>
      <c r="D91" s="587"/>
      <c r="E91" s="580"/>
      <c r="F91" s="275"/>
      <c r="G91" s="581"/>
      <c r="H91" s="440"/>
      <c r="I91" s="101"/>
      <c r="N91" s="426"/>
      <c r="O91" s="51"/>
      <c r="P91" s="51"/>
      <c r="Q91" s="44"/>
      <c r="R91" s="437"/>
      <c r="S91" s="603"/>
      <c r="T91" s="439"/>
      <c r="U91" s="491"/>
    </row>
    <row r="92" spans="1:21" x14ac:dyDescent="0.25">
      <c r="A92" s="589" t="s">
        <v>469</v>
      </c>
      <c r="D92" s="587"/>
      <c r="E92" s="580" t="s">
        <v>3</v>
      </c>
      <c r="F92" s="289">
        <v>11546889</v>
      </c>
      <c r="G92" s="581" t="s">
        <v>6</v>
      </c>
      <c r="H92" s="440">
        <f>H76</f>
        <v>5.8999999999999998E-5</v>
      </c>
      <c r="I92" s="101">
        <f t="shared" ref="I92:I98" si="15">ROUND(F92*H92,2)</f>
        <v>681.27</v>
      </c>
      <c r="N92" s="593" t="s">
        <v>469</v>
      </c>
      <c r="O92" s="51"/>
      <c r="P92" s="51"/>
      <c r="Q92" s="44"/>
      <c r="R92" s="437">
        <f t="shared" ref="R92:R96" si="16">F92</f>
        <v>11546889</v>
      </c>
      <c r="S92" s="603" t="s">
        <v>6</v>
      </c>
      <c r="T92" s="439">
        <f>T76</f>
        <v>5.8999999999999998E-5</v>
      </c>
      <c r="U92" s="491">
        <f>ROUND(R92*T92,2)</f>
        <v>681.27</v>
      </c>
    </row>
    <row r="93" spans="1:21" x14ac:dyDescent="0.25">
      <c r="A93" s="589"/>
      <c r="D93" s="587"/>
      <c r="E93" s="580"/>
      <c r="F93" s="275"/>
      <c r="G93" s="581"/>
      <c r="H93" s="440"/>
      <c r="I93" s="101"/>
      <c r="N93" s="593"/>
      <c r="O93" s="51"/>
      <c r="P93" s="51"/>
      <c r="Q93" s="44"/>
      <c r="R93" s="438"/>
      <c r="S93" s="603"/>
      <c r="T93" s="439"/>
      <c r="U93" s="495"/>
    </row>
    <row r="94" spans="1:21" x14ac:dyDescent="0.25">
      <c r="A94" s="810" t="s">
        <v>435</v>
      </c>
      <c r="B94" s="804"/>
      <c r="C94" s="804"/>
      <c r="D94" s="587"/>
      <c r="E94" s="580" t="s">
        <v>4</v>
      </c>
      <c r="F94" s="289">
        <v>268816278</v>
      </c>
      <c r="G94" s="581" t="s">
        <v>6</v>
      </c>
      <c r="H94" s="440">
        <f>H73</f>
        <v>1.4999999999999999E-4</v>
      </c>
      <c r="I94" s="101">
        <f t="shared" si="15"/>
        <v>40322.44</v>
      </c>
      <c r="N94" s="851" t="s">
        <v>435</v>
      </c>
      <c r="O94" s="851"/>
      <c r="P94" s="851"/>
      <c r="Q94" s="44"/>
      <c r="R94" s="437">
        <f t="shared" si="16"/>
        <v>268816278</v>
      </c>
      <c r="S94" s="603" t="s">
        <v>6</v>
      </c>
      <c r="T94" s="439">
        <f>T73</f>
        <v>4.8000000000000001E-5</v>
      </c>
      <c r="U94" s="491">
        <f>ROUND(R94*T94,2)</f>
        <v>12903.18</v>
      </c>
    </row>
    <row r="95" spans="1:21" x14ac:dyDescent="0.25">
      <c r="A95" s="589"/>
      <c r="B95" s="587"/>
      <c r="C95" s="587"/>
      <c r="D95" s="587"/>
      <c r="E95" s="580"/>
      <c r="F95" s="275"/>
      <c r="G95" s="581"/>
      <c r="H95" s="440"/>
      <c r="I95" s="101"/>
      <c r="N95" s="594"/>
      <c r="O95" s="594"/>
      <c r="P95" s="594"/>
      <c r="Q95" s="44"/>
      <c r="R95" s="437"/>
      <c r="S95" s="603"/>
      <c r="T95" s="439"/>
      <c r="U95" s="491"/>
    </row>
    <row r="96" spans="1:21" x14ac:dyDescent="0.25">
      <c r="A96" s="810" t="s">
        <v>436</v>
      </c>
      <c r="B96" s="804"/>
      <c r="C96" s="804"/>
      <c r="D96" s="587"/>
      <c r="E96" s="580" t="s">
        <v>4</v>
      </c>
      <c r="F96" s="289">
        <v>0</v>
      </c>
      <c r="G96" s="581" t="s">
        <v>6</v>
      </c>
      <c r="H96" s="440">
        <f>H73</f>
        <v>1.4999999999999999E-4</v>
      </c>
      <c r="I96" s="101">
        <f t="shared" si="15"/>
        <v>0</v>
      </c>
      <c r="N96" s="870" t="s">
        <v>436</v>
      </c>
      <c r="O96" s="870"/>
      <c r="P96" s="870"/>
      <c r="Q96" s="44"/>
      <c r="R96" s="437">
        <f t="shared" si="16"/>
        <v>0</v>
      </c>
      <c r="S96" s="603" t="s">
        <v>6</v>
      </c>
      <c r="T96" s="439">
        <f>T73</f>
        <v>4.8000000000000001E-5</v>
      </c>
      <c r="U96" s="491">
        <f>ROUND(R96*T96,2)</f>
        <v>0</v>
      </c>
    </row>
    <row r="97" spans="1:21" x14ac:dyDescent="0.25">
      <c r="A97" s="589"/>
      <c r="B97" s="587"/>
      <c r="C97" s="587"/>
      <c r="D97" s="587"/>
      <c r="E97" s="580"/>
      <c r="F97" s="275"/>
      <c r="G97" s="581"/>
      <c r="H97" s="440"/>
      <c r="I97" s="101"/>
      <c r="N97" s="593"/>
      <c r="O97" s="593"/>
      <c r="P97" s="593"/>
      <c r="Q97" s="44"/>
      <c r="R97" s="552"/>
      <c r="S97" s="603"/>
      <c r="T97" s="439"/>
      <c r="U97" s="495"/>
    </row>
    <row r="98" spans="1:21" x14ac:dyDescent="0.25">
      <c r="A98" s="589" t="s">
        <v>507</v>
      </c>
      <c r="B98" s="587"/>
      <c r="C98" s="587"/>
      <c r="D98" s="587"/>
      <c r="E98" s="580" t="s">
        <v>3</v>
      </c>
      <c r="F98" s="289">
        <v>0</v>
      </c>
      <c r="G98" s="581" t="s">
        <v>6</v>
      </c>
      <c r="H98" s="440">
        <f>H70</f>
        <v>5.1E-5</v>
      </c>
      <c r="I98" s="101">
        <f t="shared" si="15"/>
        <v>0</v>
      </c>
      <c r="N98" s="593" t="s">
        <v>507</v>
      </c>
      <c r="O98" s="593"/>
      <c r="P98" s="593"/>
      <c r="Q98" s="44"/>
      <c r="R98" s="553">
        <f>F98</f>
        <v>0</v>
      </c>
      <c r="S98" s="603" t="s">
        <v>6</v>
      </c>
      <c r="T98" s="439">
        <f>T70</f>
        <v>5.1E-5</v>
      </c>
      <c r="U98" s="491">
        <f>ROUND(R98*T98,2)</f>
        <v>0</v>
      </c>
    </row>
    <row r="99" spans="1:21" x14ac:dyDescent="0.25">
      <c r="A99" s="589"/>
      <c r="B99" s="587"/>
      <c r="C99" s="587"/>
      <c r="D99" s="587"/>
      <c r="E99" s="580"/>
      <c r="F99" s="275"/>
      <c r="G99" s="581"/>
      <c r="H99" s="440"/>
      <c r="I99" s="101"/>
      <c r="N99" s="593"/>
      <c r="O99" s="593"/>
      <c r="P99" s="593"/>
      <c r="Q99" s="44"/>
      <c r="R99" s="552"/>
      <c r="S99" s="603"/>
      <c r="T99" s="439"/>
      <c r="U99" s="495"/>
    </row>
    <row r="100" spans="1:21" x14ac:dyDescent="0.25">
      <c r="A100" s="589"/>
      <c r="B100" s="587"/>
      <c r="C100" s="587"/>
      <c r="D100" s="587"/>
      <c r="E100" s="580"/>
      <c r="F100" s="275"/>
      <c r="G100" s="581"/>
      <c r="H100" s="440"/>
      <c r="I100" s="101"/>
      <c r="N100" s="593"/>
      <c r="O100" s="593"/>
      <c r="P100" s="593"/>
      <c r="Q100" s="44"/>
      <c r="R100" s="438"/>
      <c r="S100" s="603"/>
      <c r="T100" s="439"/>
      <c r="U100" s="103"/>
    </row>
    <row r="101" spans="1:21" ht="15" customHeight="1" x14ac:dyDescent="0.25">
      <c r="A101" s="418" t="s">
        <v>508</v>
      </c>
      <c r="N101" s="426" t="s">
        <v>508</v>
      </c>
      <c r="O101" s="51"/>
      <c r="P101" s="51"/>
      <c r="Q101" s="51"/>
      <c r="R101" s="51"/>
      <c r="S101" s="51"/>
      <c r="T101" s="51"/>
      <c r="U101" s="51"/>
    </row>
    <row r="102" spans="1:21" x14ac:dyDescent="0.25">
      <c r="B102" s="587"/>
      <c r="C102" s="789" t="s">
        <v>60</v>
      </c>
      <c r="D102" s="789"/>
      <c r="E102" s="587"/>
      <c r="F102" s="583" t="s">
        <v>28</v>
      </c>
      <c r="G102" s="587"/>
      <c r="H102" s="587"/>
      <c r="I102" s="587"/>
      <c r="N102" s="594"/>
      <c r="O102" s="594"/>
      <c r="P102" s="594"/>
      <c r="Q102" s="594"/>
      <c r="R102" s="594"/>
      <c r="S102" s="594"/>
      <c r="T102" s="594"/>
      <c r="U102" s="594"/>
    </row>
    <row r="103" spans="1:21" x14ac:dyDescent="0.25">
      <c r="A103" s="3"/>
      <c r="B103" s="118"/>
      <c r="C103" s="790" t="s">
        <v>101</v>
      </c>
      <c r="D103" s="790"/>
      <c r="E103" s="119" t="s">
        <v>438</v>
      </c>
      <c r="F103" s="120" t="s">
        <v>106</v>
      </c>
      <c r="G103" s="584"/>
      <c r="H103" s="584"/>
      <c r="I103" s="584"/>
      <c r="N103" s="882" t="s">
        <v>35</v>
      </c>
      <c r="O103" s="882"/>
      <c r="P103" s="883" t="s">
        <v>440</v>
      </c>
      <c r="Q103" s="884"/>
      <c r="R103" s="873" t="s">
        <v>31</v>
      </c>
      <c r="S103" s="873"/>
      <c r="T103" s="873"/>
      <c r="U103" s="873"/>
    </row>
    <row r="104" spans="1:21" x14ac:dyDescent="0.25">
      <c r="A104" s="591"/>
      <c r="B104" s="52" t="s">
        <v>105</v>
      </c>
      <c r="C104" s="822">
        <f>H14+H15+H20+H23+H26</f>
        <v>25.263000000000002</v>
      </c>
      <c r="D104" s="822"/>
      <c r="E104" s="46">
        <f>H8</f>
        <v>1.0355000000000001</v>
      </c>
      <c r="F104" s="290">
        <v>958.42</v>
      </c>
      <c r="G104" s="583" t="s">
        <v>12</v>
      </c>
      <c r="H104" s="101">
        <f>ROUND(C104*E104*F104,2)</f>
        <v>25072.11</v>
      </c>
      <c r="I104" s="104"/>
      <c r="N104" s="595" t="s">
        <v>17</v>
      </c>
      <c r="O104" s="47">
        <f>T14+T15+T20+T23+T26</f>
        <v>7</v>
      </c>
      <c r="P104" s="881">
        <f>T8</f>
        <v>1.0355000000000001</v>
      </c>
      <c r="Q104" s="881"/>
      <c r="R104" s="48">
        <f>F104</f>
        <v>958.42</v>
      </c>
      <c r="S104" s="40" t="s">
        <v>12</v>
      </c>
      <c r="T104" s="497">
        <f>ROUND(O104*P104*R104,2)</f>
        <v>6947.11</v>
      </c>
      <c r="U104" s="102"/>
    </row>
    <row r="105" spans="1:21" x14ac:dyDescent="0.25">
      <c r="A105" s="49"/>
      <c r="B105" s="49" t="s">
        <v>104</v>
      </c>
      <c r="C105" s="822">
        <f>H16+H17+H21+H24+H27</f>
        <v>7.218</v>
      </c>
      <c r="D105" s="822"/>
      <c r="E105" s="46">
        <f>H8</f>
        <v>1.0355000000000001</v>
      </c>
      <c r="F105" s="290">
        <v>915.09</v>
      </c>
      <c r="G105" s="583" t="s">
        <v>12</v>
      </c>
      <c r="H105" s="101">
        <f>ROUND(C105*E105*F105,2)</f>
        <v>6839.6</v>
      </c>
      <c r="N105" s="50" t="s">
        <v>13</v>
      </c>
      <c r="O105" s="47">
        <f>T16+T17+T21+T24+T27</f>
        <v>2</v>
      </c>
      <c r="P105" s="881">
        <f>T8</f>
        <v>1.0355000000000001</v>
      </c>
      <c r="Q105" s="881"/>
      <c r="R105" s="48">
        <f>F105</f>
        <v>915.09</v>
      </c>
      <c r="S105" s="40" t="s">
        <v>12</v>
      </c>
      <c r="T105" s="497">
        <f>ROUND(O105*P105*R105,2)</f>
        <v>1895.15</v>
      </c>
      <c r="U105" s="51"/>
    </row>
    <row r="106" spans="1:21" ht="16.5" thickBot="1" x14ac:dyDescent="0.3">
      <c r="A106" s="52"/>
      <c r="B106" s="52" t="s">
        <v>103</v>
      </c>
      <c r="C106" s="822">
        <f>H18+H19+H22+H25+H28+H29</f>
        <v>1.944</v>
      </c>
      <c r="D106" s="822"/>
      <c r="E106" s="46">
        <f>H8</f>
        <v>1.0355000000000001</v>
      </c>
      <c r="F106" s="290">
        <v>917.3</v>
      </c>
      <c r="G106" s="583" t="s">
        <v>12</v>
      </c>
      <c r="H106" s="94">
        <f>ROUND(C106*E106*F106,2)</f>
        <v>1846.54</v>
      </c>
      <c r="N106" s="53" t="s">
        <v>14</v>
      </c>
      <c r="O106" s="54">
        <f>T18+T19+T22+T25+T28+T29</f>
        <v>2</v>
      </c>
      <c r="P106" s="881">
        <f>T8</f>
        <v>1.0355000000000001</v>
      </c>
      <c r="Q106" s="881"/>
      <c r="R106" s="48">
        <f>F106</f>
        <v>917.3</v>
      </c>
      <c r="S106" s="40" t="s">
        <v>12</v>
      </c>
      <c r="T106" s="497">
        <f>ROUND(O106*P106*R106,2)</f>
        <v>1899.73</v>
      </c>
      <c r="U106" s="51"/>
    </row>
    <row r="107" spans="1:21" ht="16.5" thickBot="1" x14ac:dyDescent="0.3">
      <c r="A107" s="55"/>
      <c r="B107" s="122" t="s">
        <v>102</v>
      </c>
      <c r="C107" s="812">
        <f>SUM(C104:C106)</f>
        <v>34.425000000000004</v>
      </c>
      <c r="D107" s="812"/>
      <c r="E107" s="123"/>
      <c r="F107" s="123"/>
      <c r="G107" s="123"/>
      <c r="H107" s="124" t="s">
        <v>100</v>
      </c>
      <c r="I107" s="101">
        <f>IF(A1=75,0,H106+H105+H104)</f>
        <v>33758.25</v>
      </c>
      <c r="N107" s="598" t="s">
        <v>89</v>
      </c>
      <c r="O107" s="57">
        <f>SUM(O104:O106)</f>
        <v>11</v>
      </c>
      <c r="P107" s="887" t="s">
        <v>16</v>
      </c>
      <c r="Q107" s="888"/>
      <c r="R107" s="888"/>
      <c r="S107" s="888"/>
      <c r="T107" s="888"/>
      <c r="U107" s="491">
        <f>IF(N1=75,0,T106+T105+T104)</f>
        <v>10741.99</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579"/>
      <c r="B109" s="579"/>
      <c r="C109" s="579"/>
      <c r="D109" s="579"/>
      <c r="E109" s="579"/>
      <c r="F109" s="579"/>
      <c r="G109" s="579"/>
      <c r="H109" s="579"/>
      <c r="I109" s="579"/>
      <c r="N109" s="599"/>
      <c r="O109" s="599"/>
      <c r="P109" s="599"/>
      <c r="Q109" s="599"/>
      <c r="R109" s="599"/>
      <c r="S109" s="599"/>
      <c r="T109" s="599"/>
      <c r="U109" s="599"/>
    </row>
    <row r="110" spans="1:21" x14ac:dyDescent="0.25">
      <c r="A110" s="589" t="s">
        <v>509</v>
      </c>
      <c r="C110" s="580"/>
      <c r="D110" s="587"/>
      <c r="E110" s="580" t="s">
        <v>32</v>
      </c>
      <c r="F110" s="782"/>
      <c r="G110" s="782"/>
      <c r="H110" s="782"/>
      <c r="I110" s="782"/>
      <c r="N110" s="870" t="s">
        <v>509</v>
      </c>
      <c r="O110" s="851"/>
      <c r="P110" s="851"/>
      <c r="Q110" s="890"/>
      <c r="R110" s="890"/>
      <c r="S110" s="890"/>
      <c r="T110" s="890"/>
      <c r="U110" s="103"/>
    </row>
    <row r="111" spans="1:21" x14ac:dyDescent="0.25">
      <c r="B111" s="587"/>
      <c r="C111" s="88" t="s">
        <v>523</v>
      </c>
      <c r="D111" s="349" t="s">
        <v>524</v>
      </c>
      <c r="E111" s="89" t="s">
        <v>107</v>
      </c>
      <c r="F111" s="580"/>
      <c r="G111" s="580"/>
      <c r="H111" s="580"/>
      <c r="I111" s="580"/>
      <c r="N111" s="594"/>
      <c r="O111" s="594"/>
      <c r="P111" s="594"/>
      <c r="Q111" s="600"/>
      <c r="R111" s="600"/>
      <c r="S111" s="600"/>
      <c r="T111" s="600"/>
      <c r="U111" s="103"/>
    </row>
    <row r="112" spans="1:21" x14ac:dyDescent="0.25">
      <c r="B112" s="587"/>
      <c r="C112" s="340" t="s">
        <v>2</v>
      </c>
      <c r="D112" s="340" t="s">
        <v>2</v>
      </c>
      <c r="E112" s="90" t="s">
        <v>2</v>
      </c>
      <c r="F112" s="580"/>
      <c r="G112" s="580"/>
      <c r="H112" s="580"/>
      <c r="I112" s="580"/>
      <c r="N112" s="594"/>
      <c r="O112" s="594"/>
      <c r="P112" s="594"/>
      <c r="Q112" s="600"/>
      <c r="R112" s="600"/>
      <c r="S112" s="600"/>
      <c r="T112" s="600"/>
      <c r="U112" s="103"/>
    </row>
    <row r="113" spans="1:21" x14ac:dyDescent="0.25">
      <c r="A113" s="783" t="s">
        <v>396</v>
      </c>
      <c r="B113" s="784"/>
      <c r="C113" s="143">
        <v>0</v>
      </c>
      <c r="D113" s="143">
        <v>0</v>
      </c>
      <c r="E113" s="116">
        <f>(C113+D113)/2</f>
        <v>0</v>
      </c>
      <c r="F113" s="126" t="s">
        <v>30</v>
      </c>
      <c r="G113" s="291">
        <v>617</v>
      </c>
      <c r="I113" s="101">
        <f>ROUND(G113*E113,2)</f>
        <v>0</v>
      </c>
      <c r="N113" s="885" t="s">
        <v>52</v>
      </c>
      <c r="O113" s="885"/>
      <c r="P113" s="886">
        <f>IF(H133=1,E113,0)</f>
        <v>0</v>
      </c>
      <c r="Q113" s="886"/>
      <c r="R113" s="886"/>
      <c r="S113" s="608" t="s">
        <v>30</v>
      </c>
      <c r="T113" s="58">
        <f>G113</f>
        <v>617</v>
      </c>
      <c r="U113" s="491">
        <f>ROUND(T113*P113,2)</f>
        <v>0</v>
      </c>
    </row>
    <row r="114" spans="1:21" x14ac:dyDescent="0.25">
      <c r="A114" s="783" t="s">
        <v>397</v>
      </c>
      <c r="B114" s="784"/>
      <c r="C114" s="143">
        <v>0</v>
      </c>
      <c r="D114" s="143">
        <v>0</v>
      </c>
      <c r="E114" s="116">
        <f>(C114+D114)/2</f>
        <v>0</v>
      </c>
      <c r="F114" s="126" t="s">
        <v>30</v>
      </c>
      <c r="G114" s="291">
        <v>1870</v>
      </c>
      <c r="I114" s="101">
        <f>ROUND(G114*E114,2)</f>
        <v>0</v>
      </c>
      <c r="N114" s="885" t="s">
        <v>64</v>
      </c>
      <c r="O114" s="885"/>
      <c r="P114" s="858"/>
      <c r="Q114" s="858"/>
      <c r="R114" s="858"/>
      <c r="S114" s="608" t="s">
        <v>30</v>
      </c>
      <c r="T114" s="58">
        <f>G114</f>
        <v>1870</v>
      </c>
      <c r="U114" s="491">
        <f>ROUND(T114*P114,2)</f>
        <v>0</v>
      </c>
    </row>
    <row r="115" spans="1:21" x14ac:dyDescent="0.25">
      <c r="A115" s="127"/>
      <c r="B115" s="127"/>
      <c r="C115" s="65"/>
      <c r="D115" s="65"/>
      <c r="E115" s="65"/>
      <c r="F115" s="65"/>
      <c r="G115" s="610"/>
      <c r="H115" s="129"/>
      <c r="I115" s="101"/>
      <c r="N115" s="604"/>
      <c r="O115" s="604"/>
      <c r="P115" s="131"/>
      <c r="Q115" s="131"/>
      <c r="R115" s="131"/>
      <c r="S115" s="608"/>
      <c r="T115" s="58"/>
      <c r="U115" s="103"/>
    </row>
    <row r="116" spans="1:21" x14ac:dyDescent="0.25">
      <c r="A116" s="127"/>
      <c r="B116" s="127"/>
      <c r="C116" s="65"/>
      <c r="D116" s="65"/>
      <c r="E116" s="65"/>
      <c r="F116" s="65"/>
      <c r="G116" s="610"/>
      <c r="H116" s="129"/>
      <c r="I116" s="101"/>
      <c r="N116" s="604"/>
      <c r="O116" s="604"/>
      <c r="P116" s="131"/>
      <c r="Q116" s="131"/>
      <c r="R116" s="131"/>
      <c r="S116" s="608"/>
      <c r="T116" s="58"/>
      <c r="U116" s="103"/>
    </row>
    <row r="117" spans="1:21" hidden="1" x14ac:dyDescent="0.25">
      <c r="A117" s="810" t="s">
        <v>510</v>
      </c>
      <c r="B117" s="804"/>
      <c r="C117" s="804"/>
      <c r="D117" s="587"/>
      <c r="E117" s="583" t="s">
        <v>317</v>
      </c>
      <c r="F117" s="789"/>
      <c r="G117" s="789"/>
      <c r="H117" s="789"/>
      <c r="I117" s="789"/>
      <c r="N117" s="870" t="s">
        <v>511</v>
      </c>
      <c r="O117" s="851"/>
      <c r="P117" s="851"/>
      <c r="Q117" s="851"/>
      <c r="R117" s="851"/>
      <c r="S117" s="851"/>
      <c r="T117" s="851"/>
      <c r="U117" s="851"/>
    </row>
    <row r="118" spans="1:21" hidden="1" x14ac:dyDescent="0.25">
      <c r="B118" s="587"/>
      <c r="C118" s="790" t="s">
        <v>66</v>
      </c>
      <c r="D118" s="790"/>
      <c r="E118" s="790"/>
      <c r="F118" s="581"/>
      <c r="G118" s="581"/>
      <c r="H118" s="583" t="s">
        <v>108</v>
      </c>
      <c r="I118" s="581"/>
      <c r="N118" s="594"/>
      <c r="O118" s="594"/>
      <c r="P118" s="594"/>
      <c r="Q118" s="594"/>
      <c r="R118" s="594"/>
      <c r="S118" s="594"/>
      <c r="T118" s="594"/>
      <c r="U118" s="594"/>
    </row>
    <row r="119" spans="1:21" hidden="1" x14ac:dyDescent="0.25">
      <c r="B119" s="587"/>
      <c r="C119" s="88" t="s">
        <v>329</v>
      </c>
      <c r="D119" s="88" t="s">
        <v>314</v>
      </c>
      <c r="E119" s="137" t="s">
        <v>8</v>
      </c>
      <c r="F119" s="791" t="s">
        <v>109</v>
      </c>
      <c r="G119" s="789"/>
      <c r="H119" s="581" t="s">
        <v>29</v>
      </c>
      <c r="I119" s="581"/>
      <c r="N119" s="594"/>
      <c r="O119" s="594"/>
      <c r="P119" s="594"/>
      <c r="Q119" s="594"/>
      <c r="R119" s="594"/>
      <c r="S119" s="594"/>
      <c r="T119" s="594"/>
      <c r="U119" s="594"/>
    </row>
    <row r="120" spans="1:21" hidden="1" x14ac:dyDescent="0.25">
      <c r="A120" s="790" t="s">
        <v>69</v>
      </c>
      <c r="B120" s="790"/>
      <c r="C120" s="90" t="s">
        <v>2</v>
      </c>
      <c r="D120" s="90" t="s">
        <v>2</v>
      </c>
      <c r="E120" s="582" t="s">
        <v>2</v>
      </c>
      <c r="F120" s="790" t="s">
        <v>28</v>
      </c>
      <c r="G120" s="790"/>
      <c r="H120" s="582" t="s">
        <v>28</v>
      </c>
      <c r="I120" s="582" t="s">
        <v>8</v>
      </c>
      <c r="N120" s="891" t="s">
        <v>53</v>
      </c>
      <c r="O120" s="891"/>
      <c r="P120" s="886" t="s">
        <v>66</v>
      </c>
      <c r="Q120" s="886"/>
      <c r="R120" s="891" t="s">
        <v>54</v>
      </c>
      <c r="S120" s="891"/>
      <c r="T120" s="597" t="s">
        <v>55</v>
      </c>
      <c r="U120" s="597"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idden="1" x14ac:dyDescent="0.25">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x14ac:dyDescent="0.25">
      <c r="A125" s="581"/>
      <c r="B125" s="581"/>
      <c r="C125" s="65"/>
      <c r="D125" s="65"/>
      <c r="E125" s="65"/>
      <c r="F125" s="65"/>
      <c r="G125" s="65"/>
      <c r="H125" s="65"/>
      <c r="I125" s="101"/>
      <c r="N125" s="603"/>
      <c r="O125" s="603"/>
      <c r="P125" s="66"/>
      <c r="Q125" s="66"/>
      <c r="R125" s="66"/>
      <c r="S125" s="66"/>
      <c r="T125" s="66"/>
      <c r="U125" s="138"/>
    </row>
    <row r="126" spans="1:21" x14ac:dyDescent="0.25">
      <c r="A126" s="810" t="s">
        <v>445</v>
      </c>
      <c r="B126" s="804"/>
      <c r="C126" s="804"/>
      <c r="D126" s="587"/>
      <c r="E126" s="592" t="s">
        <v>34</v>
      </c>
      <c r="F126" s="823"/>
      <c r="G126" s="823"/>
      <c r="H126" s="823"/>
      <c r="I126" s="154">
        <v>0</v>
      </c>
      <c r="N126" s="870" t="s">
        <v>445</v>
      </c>
      <c r="O126" s="851"/>
      <c r="P126" s="851"/>
      <c r="Q126" s="305"/>
      <c r="R126" s="305"/>
      <c r="S126" s="305"/>
      <c r="T126" s="305"/>
      <c r="U126" s="491">
        <f>IF($H$133=1,I126,0)</f>
        <v>0</v>
      </c>
    </row>
    <row r="127" spans="1:21" x14ac:dyDescent="0.25">
      <c r="B127" s="587"/>
      <c r="C127" s="587"/>
      <c r="D127" s="587"/>
      <c r="E127" s="592"/>
      <c r="F127" s="592"/>
      <c r="G127" s="592"/>
      <c r="H127" s="592"/>
      <c r="I127" s="116"/>
      <c r="N127" s="593"/>
      <c r="O127" s="594"/>
      <c r="P127" s="594"/>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271492.24</v>
      </c>
      <c r="J128" s="250"/>
      <c r="N128" s="593"/>
      <c r="O128" s="594"/>
      <c r="P128" s="594"/>
      <c r="Q128" s="305"/>
      <c r="R128" s="305"/>
      <c r="S128" s="305"/>
      <c r="T128" s="305"/>
      <c r="U128" s="498">
        <f>SUM(U30,U85,U88,U90,U92,U94,U96,U107,U113,U114,U124,U126)</f>
        <v>89065.760000000009</v>
      </c>
    </row>
    <row r="129" spans="1:21" ht="16.5" thickTop="1" x14ac:dyDescent="0.25">
      <c r="A129" s="591"/>
      <c r="B129" s="591"/>
      <c r="C129" s="591"/>
      <c r="D129" s="591"/>
      <c r="E129" s="591"/>
      <c r="F129" s="591"/>
      <c r="G129" s="591"/>
      <c r="H129" s="591"/>
      <c r="I129" s="101"/>
      <c r="J129" s="250"/>
      <c r="N129" s="593"/>
      <c r="O129" s="594"/>
      <c r="P129" s="594"/>
      <c r="Q129" s="305"/>
      <c r="R129" s="305"/>
      <c r="S129" s="305"/>
      <c r="T129" s="305"/>
      <c r="U129" s="103"/>
    </row>
    <row r="130" spans="1:21" ht="16.5" thickBot="1" x14ac:dyDescent="0.3">
      <c r="A130" s="589" t="s">
        <v>447</v>
      </c>
      <c r="B130" s="591"/>
      <c r="C130" s="591"/>
      <c r="D130" s="591"/>
      <c r="E130" s="591"/>
      <c r="F130" s="591"/>
      <c r="G130" s="591"/>
      <c r="H130" s="591"/>
      <c r="I130" s="101">
        <f>I128-I53</f>
        <v>257683.83</v>
      </c>
      <c r="J130" s="250"/>
      <c r="N130" s="851" t="s">
        <v>447</v>
      </c>
      <c r="O130" s="851"/>
      <c r="P130" s="851"/>
      <c r="Q130" s="851"/>
      <c r="R130" s="851"/>
      <c r="S130" s="851"/>
      <c r="T130" s="851"/>
      <c r="U130" s="132">
        <f>U128-U53</f>
        <v>84653.49</v>
      </c>
    </row>
    <row r="131" spans="1:21" ht="16.5" thickTop="1" x14ac:dyDescent="0.25">
      <c r="A131" s="591"/>
      <c r="B131" s="591"/>
      <c r="C131" s="591"/>
      <c r="D131" s="591"/>
      <c r="E131" s="591"/>
      <c r="F131" s="591"/>
      <c r="G131" s="591"/>
      <c r="H131" s="591"/>
      <c r="I131" s="101"/>
      <c r="J131" s="250"/>
      <c r="N131" s="595"/>
      <c r="O131" s="595"/>
      <c r="P131" s="595"/>
      <c r="Q131" s="595"/>
      <c r="R131" s="595"/>
      <c r="S131" s="595"/>
      <c r="T131" s="595"/>
      <c r="U131" s="138"/>
    </row>
    <row r="132" spans="1:21" x14ac:dyDescent="0.25">
      <c r="A132" s="810" t="s">
        <v>512</v>
      </c>
      <c r="B132" s="804"/>
      <c r="C132" s="804"/>
      <c r="D132" s="804"/>
      <c r="E132" s="804"/>
      <c r="F132" s="804"/>
      <c r="G132" s="804"/>
      <c r="H132" s="589" t="s">
        <v>351</v>
      </c>
      <c r="I132" s="134"/>
      <c r="J132" s="250"/>
      <c r="N132" s="870" t="s">
        <v>513</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84653.49</v>
      </c>
      <c r="N133" s="595"/>
      <c r="O133" s="595"/>
      <c r="P133" s="595"/>
      <c r="Q133" s="595"/>
      <c r="R133" s="595"/>
      <c r="S133" s="595"/>
      <c r="T133" s="595"/>
      <c r="U133" s="138"/>
    </row>
    <row r="134" spans="1:21" x14ac:dyDescent="0.25">
      <c r="B134" s="587"/>
      <c r="C134" s="587"/>
      <c r="D134" s="587"/>
      <c r="E134" s="587"/>
      <c r="F134" s="587"/>
      <c r="G134" s="587"/>
      <c r="H134" s="65"/>
      <c r="I134" s="101"/>
      <c r="N134" s="595"/>
      <c r="O134" s="595"/>
      <c r="P134" s="595"/>
      <c r="Q134" s="595"/>
      <c r="R134" s="595"/>
      <c r="S134" s="595"/>
      <c r="T134" s="595"/>
      <c r="U134" s="138"/>
    </row>
    <row r="135" spans="1:21" x14ac:dyDescent="0.25">
      <c r="A135" s="3" t="s">
        <v>73</v>
      </c>
      <c r="B135" s="587"/>
      <c r="C135" s="587"/>
      <c r="D135" s="587"/>
      <c r="E135" s="587"/>
      <c r="F135" s="587"/>
      <c r="G135" s="257">
        <v>0</v>
      </c>
      <c r="H135" s="139">
        <f>IF(H133=1,I133,I130)</f>
        <v>84653.49</v>
      </c>
      <c r="I135" s="94">
        <f>ROUND(IF(E30=0,0,IF(E30&gt;250,-(((250/E30)*H135)*IF(G135="H",0.02,0.05)),IF(G135="H",-0.02*H135,-0.05*H135))),2)</f>
        <v>-4232.67</v>
      </c>
      <c r="N135" s="894"/>
      <c r="O135" s="894"/>
      <c r="P135" s="894"/>
      <c r="Q135" s="894"/>
      <c r="R135" s="894"/>
      <c r="S135" s="894"/>
      <c r="T135" s="894"/>
      <c r="U135" s="894"/>
    </row>
    <row r="136" spans="1:21" x14ac:dyDescent="0.25">
      <c r="B136" s="587"/>
      <c r="C136" s="587"/>
      <c r="D136" s="587"/>
      <c r="E136" s="587"/>
      <c r="F136" s="587"/>
      <c r="G136" s="587"/>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267259.57</v>
      </c>
      <c r="N137" s="71" t="s">
        <v>77</v>
      </c>
      <c r="O137" s="71"/>
      <c r="P137" s="71"/>
      <c r="Q137" s="71"/>
      <c r="R137" s="71"/>
      <c r="S137" s="71"/>
      <c r="T137" s="71"/>
      <c r="U137" s="71"/>
    </row>
    <row r="138" spans="1:21" x14ac:dyDescent="0.25">
      <c r="B138" s="587"/>
      <c r="C138" s="587"/>
      <c r="D138" s="587"/>
      <c r="E138" s="587"/>
      <c r="F138" s="587"/>
      <c r="G138" s="587"/>
      <c r="H138" s="65"/>
      <c r="I138" s="101"/>
      <c r="N138" s="72" t="s">
        <v>78</v>
      </c>
      <c r="O138" s="71"/>
      <c r="P138" s="71"/>
      <c r="Q138" s="71"/>
      <c r="R138" s="71"/>
      <c r="S138" s="71"/>
      <c r="T138" s="71"/>
      <c r="U138" s="71"/>
    </row>
    <row r="139" spans="1:21" x14ac:dyDescent="0.25">
      <c r="A139" s="3" t="s">
        <v>75</v>
      </c>
      <c r="B139" s="587"/>
      <c r="C139" s="140"/>
      <c r="D139" s="587"/>
      <c r="F139" s="587"/>
      <c r="G139" s="587"/>
      <c r="H139" s="65"/>
      <c r="I139" s="271">
        <f>-'Cumulative Payments'!Q71</f>
        <v>-22293.06</v>
      </c>
      <c r="N139" s="602"/>
      <c r="O139" s="602"/>
      <c r="P139" s="602"/>
      <c r="Q139" s="602"/>
      <c r="R139" s="602"/>
      <c r="S139" s="602"/>
      <c r="T139" s="602"/>
      <c r="U139" s="602"/>
    </row>
    <row r="140" spans="1:21" x14ac:dyDescent="0.25">
      <c r="B140" s="587"/>
      <c r="C140" s="587"/>
      <c r="D140" s="587"/>
      <c r="E140" s="587"/>
      <c r="F140" s="587"/>
      <c r="G140" s="587"/>
      <c r="H140" s="65"/>
      <c r="I140" s="101"/>
      <c r="N140" s="602"/>
      <c r="O140" s="602"/>
      <c r="P140" s="602"/>
      <c r="Q140" s="602"/>
      <c r="R140" s="602"/>
      <c r="S140" s="602"/>
      <c r="T140" s="602"/>
      <c r="U140" s="602"/>
    </row>
    <row r="141" spans="1:21" x14ac:dyDescent="0.25">
      <c r="A141" s="3" t="s">
        <v>246</v>
      </c>
      <c r="B141" s="587"/>
      <c r="C141" s="587"/>
      <c r="D141" s="587"/>
      <c r="E141" s="587"/>
      <c r="F141" s="587"/>
      <c r="G141" s="587"/>
      <c r="H141" s="65"/>
      <c r="I141" s="101">
        <f>I137+I139</f>
        <v>244966.51</v>
      </c>
      <c r="N141" s="602"/>
      <c r="O141" s="602"/>
      <c r="P141" s="602"/>
      <c r="Q141" s="602"/>
      <c r="R141" s="602"/>
      <c r="S141" s="602"/>
      <c r="T141" s="602"/>
      <c r="U141" s="602"/>
    </row>
    <row r="142" spans="1:21" x14ac:dyDescent="0.25">
      <c r="A142" s="3"/>
      <c r="B142" s="587"/>
      <c r="C142" s="587"/>
      <c r="D142" s="587"/>
      <c r="E142" s="587"/>
      <c r="F142" s="587"/>
      <c r="G142" s="587"/>
      <c r="H142" s="65"/>
      <c r="I142" s="101"/>
      <c r="N142" s="602"/>
      <c r="O142" s="602"/>
      <c r="P142" s="602"/>
      <c r="Q142" s="602"/>
      <c r="R142" s="602"/>
      <c r="S142" s="602"/>
      <c r="T142" s="602"/>
      <c r="U142" s="602"/>
    </row>
    <row r="143" spans="1:21" x14ac:dyDescent="0.25">
      <c r="A143" s="3" t="s">
        <v>247</v>
      </c>
      <c r="B143" s="587"/>
      <c r="C143" s="587"/>
      <c r="D143" s="587"/>
      <c r="E143" s="587"/>
      <c r="F143" s="587"/>
      <c r="G143" s="587"/>
      <c r="H143" s="65"/>
      <c r="I143" s="272">
        <f>'1461'!I143</f>
        <v>11</v>
      </c>
      <c r="N143" s="602"/>
      <c r="O143" s="602"/>
      <c r="P143" s="602"/>
      <c r="Q143" s="602"/>
      <c r="R143" s="602"/>
      <c r="S143" s="602"/>
      <c r="T143" s="602"/>
      <c r="U143" s="602"/>
    </row>
    <row r="144" spans="1:21" x14ac:dyDescent="0.25">
      <c r="B144" s="587"/>
      <c r="C144" s="587"/>
      <c r="D144" s="587"/>
      <c r="E144" s="587"/>
      <c r="F144" s="587"/>
      <c r="G144" s="587"/>
      <c r="H144" s="65"/>
      <c r="I144" s="101"/>
      <c r="N144" s="602"/>
      <c r="O144" s="602"/>
      <c r="P144" s="602"/>
      <c r="Q144" s="602"/>
      <c r="R144" s="602"/>
      <c r="S144" s="602"/>
      <c r="T144" s="602"/>
      <c r="U144" s="602"/>
    </row>
    <row r="145" spans="1:21" ht="16.5" thickBot="1" x14ac:dyDescent="0.3">
      <c r="A145" s="3" t="s">
        <v>76</v>
      </c>
      <c r="B145" s="587"/>
      <c r="C145" s="587"/>
      <c r="D145" s="587"/>
      <c r="E145" s="587"/>
      <c r="F145" s="587"/>
      <c r="G145" s="587"/>
      <c r="H145" s="65"/>
      <c r="I145" s="155">
        <f>ROUND(I141/I143,2)</f>
        <v>22269.68</v>
      </c>
      <c r="K145" s="436"/>
      <c r="N145" s="602"/>
      <c r="O145" s="602"/>
      <c r="P145" s="602"/>
      <c r="Q145" s="602"/>
      <c r="R145" s="602"/>
      <c r="S145" s="602"/>
      <c r="T145" s="602"/>
      <c r="U145" s="602"/>
    </row>
    <row r="146" spans="1:21" ht="16.5" thickTop="1" x14ac:dyDescent="0.25">
      <c r="B146" s="587"/>
      <c r="C146" s="587"/>
      <c r="D146" s="587"/>
      <c r="E146" s="587"/>
      <c r="F146" s="587"/>
      <c r="G146" s="587"/>
      <c r="H146" s="65"/>
      <c r="I146" s="101"/>
      <c r="N146" s="602"/>
      <c r="O146" s="602"/>
      <c r="P146" s="602"/>
      <c r="Q146" s="602"/>
      <c r="R146" s="602"/>
      <c r="S146" s="602"/>
      <c r="T146" s="602"/>
      <c r="U146" s="602"/>
    </row>
    <row r="147" spans="1:21" ht="16.5" thickBot="1" x14ac:dyDescent="0.3">
      <c r="A147" s="3" t="s">
        <v>90</v>
      </c>
      <c r="B147" s="587"/>
      <c r="C147" s="587"/>
      <c r="D147" s="587"/>
      <c r="E147" s="587"/>
      <c r="F147" s="587"/>
      <c r="G147" s="587"/>
      <c r="H147" s="65"/>
      <c r="I147" s="133">
        <f>ROUND(IF(G135="H",(H135*0.02)+I135,(H135*0.05)+I135),2)</f>
        <v>0</v>
      </c>
      <c r="N147" s="602"/>
      <c r="O147" s="602"/>
      <c r="P147" s="602"/>
      <c r="Q147" s="602"/>
      <c r="R147" s="602"/>
      <c r="S147" s="602"/>
      <c r="T147" s="602"/>
      <c r="U147" s="602"/>
    </row>
    <row r="148" spans="1:21" ht="16.5" thickTop="1" x14ac:dyDescent="0.25">
      <c r="B148" s="587"/>
      <c r="C148" s="587"/>
      <c r="D148" s="587"/>
      <c r="E148" s="587"/>
      <c r="F148" s="587"/>
      <c r="G148" s="587"/>
      <c r="H148" s="65"/>
      <c r="I148" s="134"/>
      <c r="N148" s="602"/>
      <c r="O148" s="602"/>
      <c r="P148" s="602"/>
      <c r="Q148" s="602"/>
      <c r="R148" s="602"/>
      <c r="S148" s="602"/>
      <c r="T148" s="602"/>
      <c r="U148" s="602"/>
    </row>
    <row r="149" spans="1:21" x14ac:dyDescent="0.25">
      <c r="B149" s="587"/>
      <c r="C149" s="587"/>
      <c r="D149" s="587"/>
      <c r="E149" s="587"/>
      <c r="F149" s="587"/>
      <c r="G149" s="587"/>
      <c r="H149" s="65"/>
      <c r="I149" s="101"/>
      <c r="N149" s="602"/>
      <c r="O149" s="602"/>
      <c r="P149" s="602"/>
      <c r="Q149" s="602"/>
      <c r="R149" s="602"/>
      <c r="S149" s="602"/>
      <c r="T149" s="602"/>
      <c r="U149" s="602"/>
    </row>
    <row r="150" spans="1:21" x14ac:dyDescent="0.25">
      <c r="B150" s="587"/>
      <c r="C150" s="587"/>
      <c r="D150" s="587"/>
      <c r="E150" s="587"/>
      <c r="F150" s="587"/>
      <c r="G150" s="587"/>
      <c r="H150" s="65"/>
      <c r="I150" s="134"/>
      <c r="N150" s="602"/>
      <c r="O150" s="602"/>
      <c r="P150" s="602"/>
      <c r="Q150" s="602"/>
      <c r="R150" s="602"/>
      <c r="S150" s="602"/>
      <c r="T150" s="602"/>
      <c r="U150" s="602"/>
    </row>
    <row r="151" spans="1:21" ht="12.75" customHeight="1" x14ac:dyDescent="0.25">
      <c r="A151" s="357" t="s">
        <v>7</v>
      </c>
      <c r="B151" s="357"/>
      <c r="C151" s="357"/>
      <c r="D151" s="357"/>
      <c r="E151" s="357"/>
      <c r="F151" s="357"/>
      <c r="G151" s="357"/>
      <c r="H151" s="357"/>
      <c r="I151" s="357"/>
      <c r="J151" s="134"/>
      <c r="N151" s="602"/>
      <c r="O151" s="602"/>
      <c r="P151" s="602"/>
      <c r="Q151" s="602"/>
      <c r="R151" s="602"/>
      <c r="S151" s="602"/>
      <c r="T151" s="602"/>
      <c r="U151" s="602"/>
    </row>
    <row r="152" spans="1:21" ht="12.75" customHeight="1" x14ac:dyDescent="0.25">
      <c r="A152" s="358" t="s">
        <v>259</v>
      </c>
      <c r="B152" s="359"/>
      <c r="C152" s="359"/>
      <c r="D152" s="359"/>
      <c r="E152" s="359"/>
      <c r="F152" s="359"/>
      <c r="G152" s="359"/>
      <c r="H152" s="359"/>
      <c r="I152" s="359"/>
      <c r="J152" s="77"/>
      <c r="K152" s="339"/>
      <c r="L152" s="76"/>
      <c r="M152" s="76"/>
      <c r="N152" s="602"/>
      <c r="O152" s="602"/>
      <c r="P152" s="602"/>
      <c r="Q152" s="602"/>
      <c r="R152" s="602"/>
      <c r="S152" s="602"/>
      <c r="T152" s="602"/>
      <c r="U152" s="602"/>
    </row>
    <row r="153" spans="1:21" ht="12.75" customHeight="1" x14ac:dyDescent="0.25">
      <c r="A153" s="364" t="s">
        <v>387</v>
      </c>
      <c r="B153" s="359"/>
      <c r="C153" s="359"/>
      <c r="D153" s="359"/>
      <c r="E153" s="359"/>
      <c r="F153" s="359"/>
      <c r="G153" s="359"/>
      <c r="H153" s="359"/>
      <c r="I153" s="359"/>
      <c r="J153" s="77"/>
      <c r="K153" s="339"/>
      <c r="L153" s="76"/>
      <c r="M153" s="76"/>
      <c r="N153" s="602"/>
      <c r="O153" s="602"/>
      <c r="P153" s="602"/>
      <c r="Q153" s="602"/>
      <c r="R153" s="602"/>
      <c r="S153" s="602"/>
      <c r="T153" s="602"/>
      <c r="U153" s="602"/>
    </row>
    <row r="154" spans="1:21" ht="12.75" customHeight="1" x14ac:dyDescent="0.25">
      <c r="A154" s="361" t="s">
        <v>388</v>
      </c>
      <c r="B154" s="360"/>
      <c r="C154" s="360"/>
      <c r="D154" s="360"/>
      <c r="E154" s="360"/>
      <c r="F154" s="360"/>
      <c r="G154" s="360"/>
      <c r="H154" s="360"/>
      <c r="I154" s="360"/>
      <c r="J154" s="76"/>
      <c r="K154" s="76"/>
      <c r="L154" s="76"/>
      <c r="M154" s="76"/>
      <c r="N154" s="602"/>
      <c r="O154" s="602"/>
      <c r="P154" s="602"/>
      <c r="Q154" s="602"/>
      <c r="R154" s="602"/>
      <c r="S154" s="602"/>
      <c r="T154" s="602"/>
      <c r="U154" s="602"/>
    </row>
    <row r="155" spans="1:21" s="76" customFormat="1" ht="12.75" customHeight="1" x14ac:dyDescent="0.2">
      <c r="A155" s="361" t="s">
        <v>389</v>
      </c>
      <c r="B155" s="360"/>
      <c r="C155" s="360"/>
      <c r="D155" s="360"/>
      <c r="E155" s="360"/>
      <c r="F155" s="360"/>
      <c r="G155" s="360"/>
      <c r="H155" s="360"/>
      <c r="I155" s="360"/>
      <c r="N155" s="896"/>
      <c r="O155" s="896"/>
      <c r="P155" s="896"/>
      <c r="Q155" s="896"/>
      <c r="R155" s="896"/>
      <c r="S155" s="896"/>
      <c r="T155" s="896"/>
      <c r="U155" s="896"/>
    </row>
    <row r="156" spans="1:21" s="76" customFormat="1" ht="12.75" customHeight="1" x14ac:dyDescent="0.2">
      <c r="A156" s="361" t="s">
        <v>390</v>
      </c>
      <c r="B156" s="360"/>
      <c r="C156" s="360"/>
      <c r="D156" s="360"/>
      <c r="E156" s="360"/>
      <c r="F156" s="360"/>
      <c r="G156" s="360"/>
      <c r="H156" s="360"/>
      <c r="I156" s="360"/>
      <c r="N156" s="602"/>
      <c r="O156" s="602"/>
      <c r="P156" s="602"/>
      <c r="Q156" s="602"/>
      <c r="R156" s="602"/>
      <c r="S156" s="602"/>
      <c r="T156" s="602"/>
      <c r="U156" s="602"/>
    </row>
    <row r="157" spans="1:21" s="76" customFormat="1" ht="12.75" customHeight="1" x14ac:dyDescent="0.2">
      <c r="A157" s="361" t="s">
        <v>391</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392</v>
      </c>
      <c r="B158" s="360"/>
      <c r="C158" s="360"/>
      <c r="D158" s="360"/>
      <c r="E158" s="360"/>
      <c r="F158" s="360"/>
      <c r="G158" s="360"/>
      <c r="H158" s="360"/>
      <c r="I158" s="360"/>
      <c r="N158" s="78"/>
    </row>
    <row r="159" spans="1:21" s="76" customFormat="1" ht="12.75" customHeight="1" x14ac:dyDescent="0.2">
      <c r="A159" s="361" t="s">
        <v>394</v>
      </c>
      <c r="B159" s="360"/>
      <c r="C159" s="360"/>
      <c r="D159" s="360"/>
      <c r="E159" s="360"/>
      <c r="F159" s="360"/>
      <c r="G159" s="360"/>
      <c r="H159" s="360"/>
      <c r="I159" s="360"/>
      <c r="K159" s="360"/>
      <c r="N159" s="78"/>
    </row>
    <row r="160" spans="1:21" s="76" customFormat="1" ht="12.75" customHeight="1" x14ac:dyDescent="0.2">
      <c r="A160" s="366" t="s">
        <v>393</v>
      </c>
      <c r="B160" s="360"/>
      <c r="C160" s="360"/>
      <c r="D160" s="360"/>
      <c r="E160" s="360"/>
      <c r="F160" s="360"/>
      <c r="G160" s="360"/>
      <c r="H160" s="360"/>
      <c r="I160" s="360"/>
      <c r="N160" s="78"/>
    </row>
    <row r="161" spans="1:14" s="76" customFormat="1" ht="12.75" customHeight="1" x14ac:dyDescent="0.2">
      <c r="A161" s="361" t="s">
        <v>395</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398</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400</v>
      </c>
      <c r="B165" s="360"/>
      <c r="C165" s="360"/>
      <c r="D165" s="360"/>
      <c r="E165" s="360"/>
      <c r="F165" s="360"/>
      <c r="G165" s="360"/>
      <c r="H165" s="360"/>
      <c r="I165" s="360"/>
      <c r="N165" s="78"/>
    </row>
    <row r="166" spans="1:14" s="76" customFormat="1" ht="12.75" customHeight="1" x14ac:dyDescent="0.2">
      <c r="A166" s="366" t="s">
        <v>399</v>
      </c>
      <c r="B166" s="360"/>
      <c r="C166" s="360"/>
      <c r="D166" s="360"/>
      <c r="E166" s="360"/>
      <c r="F166" s="360"/>
      <c r="G166" s="360"/>
      <c r="H166" s="360"/>
      <c r="I166" s="360"/>
      <c r="N166" s="78"/>
    </row>
    <row r="167" spans="1:14" s="76" customFormat="1" ht="12.75" customHeight="1" x14ac:dyDescent="0.2">
      <c r="A167" s="361" t="s">
        <v>401</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403</v>
      </c>
      <c r="B169" s="360"/>
      <c r="C169" s="360"/>
      <c r="D169" s="360"/>
      <c r="E169" s="360"/>
      <c r="F169" s="360"/>
      <c r="G169" s="360"/>
      <c r="H169" s="360"/>
      <c r="I169" s="360"/>
      <c r="N169" s="78"/>
    </row>
    <row r="170" spans="1:14" s="76" customFormat="1" ht="12.75" customHeight="1" x14ac:dyDescent="0.2">
      <c r="A170" s="366" t="s">
        <v>402</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404</v>
      </c>
      <c r="B175" s="370"/>
      <c r="C175" s="370"/>
      <c r="D175" s="370"/>
      <c r="E175" s="370"/>
      <c r="F175" s="370"/>
      <c r="G175" s="370"/>
      <c r="H175" s="370"/>
      <c r="I175" s="370"/>
      <c r="N175" s="78"/>
    </row>
    <row r="176" spans="1:14" s="76" customFormat="1" ht="12.75" customHeight="1" x14ac:dyDescent="0.2">
      <c r="A176" s="367" t="s">
        <v>405</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B1:I1"/>
    <mergeCell ref="O1:U1"/>
    <mergeCell ref="N2:U2"/>
    <mergeCell ref="N3:U3"/>
    <mergeCell ref="A4:B4"/>
    <mergeCell ref="C4:E4"/>
    <mergeCell ref="N4:O4"/>
    <mergeCell ref="P4:Q4"/>
    <mergeCell ref="T9:U9"/>
    <mergeCell ref="F11:G11"/>
    <mergeCell ref="R11:S11"/>
    <mergeCell ref="F12:G12"/>
    <mergeCell ref="N12:O12"/>
    <mergeCell ref="P12:Q12"/>
    <mergeCell ref="R12:S12"/>
    <mergeCell ref="A7:I7"/>
    <mergeCell ref="N7:U7"/>
    <mergeCell ref="N8:O8"/>
    <mergeCell ref="P8:Q8"/>
    <mergeCell ref="R8:S8"/>
    <mergeCell ref="T8:U8"/>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43:B43"/>
    <mergeCell ref="N43:O43"/>
    <mergeCell ref="P43:T43"/>
    <mergeCell ref="N44:Q44"/>
    <mergeCell ref="S44:T44"/>
    <mergeCell ref="N46:Q46"/>
    <mergeCell ref="S46:T46"/>
    <mergeCell ref="A41:B41"/>
    <mergeCell ref="N41:O41"/>
    <mergeCell ref="P41:T41"/>
    <mergeCell ref="A42:B42"/>
    <mergeCell ref="N42:O42"/>
    <mergeCell ref="P42:T42"/>
    <mergeCell ref="P56:Q56"/>
    <mergeCell ref="A57:B65"/>
    <mergeCell ref="N57:O65"/>
    <mergeCell ref="P57:Q57"/>
    <mergeCell ref="P58:Q58"/>
    <mergeCell ref="P59:Q59"/>
    <mergeCell ref="P60:Q60"/>
    <mergeCell ref="P61:Q61"/>
    <mergeCell ref="P62:Q62"/>
    <mergeCell ref="P63:Q63"/>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82:S82"/>
    <mergeCell ref="T82:U82"/>
    <mergeCell ref="A87:C87"/>
    <mergeCell ref="N87:P87"/>
    <mergeCell ref="A88:C88"/>
    <mergeCell ref="N88:P88"/>
    <mergeCell ref="N79:S79"/>
    <mergeCell ref="T79:U79"/>
    <mergeCell ref="A81:B81"/>
    <mergeCell ref="D81:G81"/>
    <mergeCell ref="N81:O81"/>
    <mergeCell ref="Q81:S81"/>
    <mergeCell ref="T81:U81"/>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33:G133"/>
    <mergeCell ref="N135:U135"/>
    <mergeCell ref="N136:U136"/>
    <mergeCell ref="N155:U155"/>
    <mergeCell ref="A126:C126"/>
    <mergeCell ref="F126:H126"/>
    <mergeCell ref="N126:P126"/>
    <mergeCell ref="A128:H128"/>
    <mergeCell ref="N130:T130"/>
    <mergeCell ref="A132:G132"/>
    <mergeCell ref="N132:T132"/>
  </mergeCells>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FFCCCC"/>
  </sheetPr>
  <dimension ref="A1:V246"/>
  <sheetViews>
    <sheetView topLeftCell="A95" workbookViewId="0">
      <selection activeCell="I114" sqref="I11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1" width="12.7109375" style="3" bestFit="1" customWidth="1"/>
    <col min="12"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92" t="s">
        <v>15</v>
      </c>
      <c r="C1" s="793"/>
      <c r="D1" s="793"/>
      <c r="E1" s="793"/>
      <c r="F1" s="793"/>
      <c r="G1" s="793"/>
      <c r="H1" s="793"/>
      <c r="I1" s="793"/>
      <c r="J1" s="135"/>
      <c r="K1" s="135"/>
      <c r="L1" s="135"/>
      <c r="N1" s="82">
        <f>A1</f>
        <v>50</v>
      </c>
      <c r="O1" s="826" t="s">
        <v>15</v>
      </c>
      <c r="P1" s="827"/>
      <c r="Q1" s="827"/>
      <c r="R1" s="827"/>
      <c r="S1" s="827"/>
      <c r="T1" s="827"/>
      <c r="U1" s="827"/>
    </row>
    <row r="2" spans="1:21" ht="21" x14ac:dyDescent="0.35">
      <c r="A2" s="1" t="s">
        <v>252</v>
      </c>
      <c r="B2" s="2"/>
      <c r="C2" s="2"/>
      <c r="D2" s="2"/>
      <c r="E2" s="2"/>
      <c r="F2" s="2"/>
      <c r="G2" s="2"/>
      <c r="H2" s="2"/>
      <c r="I2" s="2"/>
      <c r="N2" s="828" t="s">
        <v>18</v>
      </c>
      <c r="O2" s="828"/>
      <c r="P2" s="828"/>
      <c r="Q2" s="828"/>
      <c r="R2" s="828"/>
      <c r="S2" s="828"/>
      <c r="T2" s="828"/>
      <c r="U2" s="828"/>
    </row>
    <row r="3" spans="1:21" x14ac:dyDescent="0.25">
      <c r="A3" s="253" t="s">
        <v>561</v>
      </c>
      <c r="N3" s="829" t="str">
        <f>A3</f>
        <v>Based on the FLDOE 2025-26 FEFP Calculation</v>
      </c>
      <c r="O3" s="829"/>
      <c r="P3" s="829"/>
      <c r="Q3" s="829"/>
      <c r="R3" s="829"/>
      <c r="S3" s="829"/>
      <c r="T3" s="829"/>
      <c r="U3" s="829"/>
    </row>
    <row r="4" spans="1:21" x14ac:dyDescent="0.25">
      <c r="A4" s="794" t="s">
        <v>0</v>
      </c>
      <c r="B4" s="794"/>
      <c r="C4" s="795" t="s">
        <v>9</v>
      </c>
      <c r="D4" s="795"/>
      <c r="E4" s="795"/>
      <c r="F4" s="324" t="s">
        <v>554</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v>5372.6</v>
      </c>
      <c r="D8" s="86"/>
      <c r="E8" s="87"/>
      <c r="F8" s="84"/>
      <c r="G8" s="85" t="s">
        <v>408</v>
      </c>
      <c r="H8" s="286">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v>1</v>
      </c>
      <c r="I9" s="75"/>
      <c r="N9" s="12"/>
      <c r="O9" s="12"/>
      <c r="P9" s="13"/>
      <c r="Q9" s="13"/>
      <c r="R9" s="403" t="s">
        <v>407</v>
      </c>
      <c r="S9" s="403"/>
      <c r="T9" s="832">
        <f>H9</f>
        <v>1</v>
      </c>
      <c r="U9" s="832"/>
    </row>
    <row r="10" spans="1:21" x14ac:dyDescent="0.25">
      <c r="A10" s="7"/>
      <c r="B10" s="7" t="s">
        <v>328</v>
      </c>
      <c r="C10" s="8" t="s">
        <v>328</v>
      </c>
      <c r="D10" s="8" t="s">
        <v>328</v>
      </c>
      <c r="E10" s="8"/>
      <c r="F10" s="9"/>
      <c r="G10" s="9"/>
      <c r="H10" s="10"/>
      <c r="I10" s="341" t="s">
        <v>555</v>
      </c>
      <c r="N10" s="12"/>
      <c r="O10" s="12"/>
      <c r="P10" s="13"/>
      <c r="Q10" s="13"/>
      <c r="R10" s="14"/>
      <c r="S10" s="14"/>
      <c r="T10" s="15"/>
      <c r="U10" s="384" t="str">
        <f>I10</f>
        <v>2025-26</v>
      </c>
    </row>
    <row r="11" spans="1:21" x14ac:dyDescent="0.25">
      <c r="A11" s="7"/>
      <c r="B11" s="7"/>
      <c r="C11" s="88" t="s">
        <v>523</v>
      </c>
      <c r="D11" s="349" t="s">
        <v>524</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36" t="s">
        <v>1</v>
      </c>
      <c r="B12" s="36"/>
      <c r="C12" s="340" t="s">
        <v>2</v>
      </c>
      <c r="D12" s="340" t="s">
        <v>2</v>
      </c>
      <c r="E12" s="9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226.89</v>
      </c>
      <c r="D18" s="143">
        <v>0</v>
      </c>
      <c r="E18" s="116">
        <f>IF(D$30=0,C18*2,C18+D18)</f>
        <v>453.78</v>
      </c>
      <c r="F18" s="850">
        <v>0.97199999999999998</v>
      </c>
      <c r="G18" s="850"/>
      <c r="H18" s="80">
        <f t="shared" si="2"/>
        <v>441.07420000000002</v>
      </c>
      <c r="I18" s="101">
        <f t="shared" si="3"/>
        <v>2453840.14</v>
      </c>
      <c r="N18" s="851" t="s">
        <v>24</v>
      </c>
      <c r="O18" s="851"/>
      <c r="P18" s="848">
        <f t="shared" si="0"/>
        <v>0</v>
      </c>
      <c r="Q18" s="848"/>
      <c r="R18" s="852">
        <v>1</v>
      </c>
      <c r="S18" s="852"/>
      <c r="T18" s="95">
        <f t="shared" si="4"/>
        <v>0</v>
      </c>
      <c r="U18" s="491">
        <f t="shared" si="5"/>
        <v>0</v>
      </c>
    </row>
    <row r="19" spans="1:21" x14ac:dyDescent="0.25">
      <c r="A19" s="804" t="s">
        <v>25</v>
      </c>
      <c r="B19" s="804"/>
      <c r="C19" s="143">
        <v>40.799999999999997</v>
      </c>
      <c r="D19" s="143">
        <v>0</v>
      </c>
      <c r="E19" s="116">
        <f t="shared" si="1"/>
        <v>81.599999999999994</v>
      </c>
      <c r="F19" s="850">
        <v>0.97199999999999998</v>
      </c>
      <c r="G19" s="850"/>
      <c r="H19" s="80">
        <f t="shared" si="2"/>
        <v>79.315200000000004</v>
      </c>
      <c r="I19" s="101">
        <f t="shared" si="3"/>
        <v>441256.42</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v>1.165</v>
      </c>
      <c r="G26" s="850"/>
      <c r="H26" s="80">
        <f t="shared" si="2"/>
        <v>0</v>
      </c>
      <c r="I26" s="101">
        <f t="shared" si="3"/>
        <v>0</v>
      </c>
      <c r="L26" s="250"/>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v>1.165</v>
      </c>
      <c r="G27" s="850"/>
      <c r="H27" s="80">
        <f t="shared" si="2"/>
        <v>0</v>
      </c>
      <c r="I27" s="101">
        <f t="shared" si="3"/>
        <v>0</v>
      </c>
      <c r="L27" s="250"/>
      <c r="N27" s="851" t="s">
        <v>86</v>
      </c>
      <c r="O27" s="851"/>
      <c r="P27" s="848">
        <f t="shared" si="0"/>
        <v>0</v>
      </c>
      <c r="Q27" s="848"/>
      <c r="R27" s="852">
        <v>1</v>
      </c>
      <c r="S27" s="852"/>
      <c r="T27" s="95">
        <f t="shared" si="4"/>
        <v>0</v>
      </c>
      <c r="U27" s="491">
        <f t="shared" si="5"/>
        <v>0</v>
      </c>
    </row>
    <row r="28" spans="1:21" x14ac:dyDescent="0.25">
      <c r="A28" s="804" t="s">
        <v>87</v>
      </c>
      <c r="B28" s="804"/>
      <c r="C28" s="143">
        <v>3.44</v>
      </c>
      <c r="D28" s="143">
        <v>0</v>
      </c>
      <c r="E28" s="116">
        <f t="shared" si="1"/>
        <v>6.88</v>
      </c>
      <c r="F28" s="850">
        <v>1.165</v>
      </c>
      <c r="G28" s="850"/>
      <c r="H28" s="80">
        <f t="shared" si="2"/>
        <v>8.0152000000000001</v>
      </c>
      <c r="I28" s="101">
        <f t="shared" si="3"/>
        <v>44591.18</v>
      </c>
      <c r="N28" s="851" t="s">
        <v>87</v>
      </c>
      <c r="O28" s="851"/>
      <c r="P28" s="848">
        <f t="shared" si="0"/>
        <v>0</v>
      </c>
      <c r="Q28" s="848"/>
      <c r="R28" s="852">
        <v>1</v>
      </c>
      <c r="S28" s="852"/>
      <c r="T28" s="95">
        <f t="shared" si="4"/>
        <v>0</v>
      </c>
      <c r="U28" s="491">
        <f t="shared" si="5"/>
        <v>0</v>
      </c>
    </row>
    <row r="29" spans="1:21" x14ac:dyDescent="0.25">
      <c r="A29" s="804" t="s">
        <v>88</v>
      </c>
      <c r="B29" s="804"/>
      <c r="C29" s="110">
        <v>78.56</v>
      </c>
      <c r="D29" s="110">
        <v>0</v>
      </c>
      <c r="E29" s="154">
        <f t="shared" si="1"/>
        <v>157.12</v>
      </c>
      <c r="F29" s="850">
        <v>1.081</v>
      </c>
      <c r="G29" s="850"/>
      <c r="H29" s="93">
        <f t="shared" si="2"/>
        <v>169.8467</v>
      </c>
      <c r="I29" s="94">
        <f t="shared" si="3"/>
        <v>944912.78</v>
      </c>
      <c r="N29" s="853" t="s">
        <v>88</v>
      </c>
      <c r="O29" s="853"/>
      <c r="P29" s="848">
        <f t="shared" si="0"/>
        <v>0</v>
      </c>
      <c r="Q29" s="848"/>
      <c r="R29" s="854">
        <v>1</v>
      </c>
      <c r="S29" s="854"/>
      <c r="T29" s="95">
        <f t="shared" si="4"/>
        <v>0</v>
      </c>
      <c r="U29" s="491">
        <f t="shared" si="5"/>
        <v>0</v>
      </c>
    </row>
    <row r="30" spans="1:21" x14ac:dyDescent="0.25">
      <c r="A30" s="816" t="s">
        <v>5</v>
      </c>
      <c r="B30" s="816"/>
      <c r="C30" s="94">
        <f>SUM(C14:C29)</f>
        <v>349.69</v>
      </c>
      <c r="D30" s="94">
        <f>SUM(D14:D29)</f>
        <v>0</v>
      </c>
      <c r="E30" s="94">
        <f>SUM(E14:E29)</f>
        <v>699.38</v>
      </c>
      <c r="F30" s="808"/>
      <c r="G30" s="808"/>
      <c r="H30" s="99">
        <f>SUM(H14:H29)</f>
        <v>698.25130000000013</v>
      </c>
      <c r="I30" s="94">
        <f>SUM(I14:I29)</f>
        <v>3884600.5200000005</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281" t="s">
        <v>251</v>
      </c>
      <c r="B32" s="26"/>
      <c r="C32" s="101"/>
      <c r="D32" s="101"/>
      <c r="E32" s="101"/>
      <c r="F32" s="27"/>
      <c r="G32" s="27"/>
      <c r="H32" s="80"/>
      <c r="I32" s="101"/>
      <c r="N32" s="28"/>
      <c r="O32" s="28"/>
      <c r="P32" s="29"/>
      <c r="Q32" s="29"/>
      <c r="R32" s="30"/>
      <c r="S32" s="30"/>
      <c r="T32" s="102"/>
      <c r="U32" s="103"/>
    </row>
    <row r="33" spans="1:21" hidden="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60" t="s">
        <v>232</v>
      </c>
      <c r="G34" s="860"/>
      <c r="H34" s="860"/>
      <c r="I34" s="101"/>
      <c r="N34" s="28"/>
      <c r="O34" s="28"/>
      <c r="P34" s="29"/>
      <c r="Q34" s="29"/>
      <c r="R34" s="30"/>
      <c r="S34" s="30"/>
      <c r="T34" s="102"/>
      <c r="U34" s="103"/>
    </row>
    <row r="35" spans="1:21" ht="15.6" hidden="1" customHeight="1" x14ac:dyDescent="0.25">
      <c r="A35" s="3"/>
      <c r="B35" s="69"/>
      <c r="C35" s="69"/>
      <c r="D35" s="69"/>
      <c r="E35" s="69"/>
      <c r="F35" s="860"/>
      <c r="G35" s="860"/>
      <c r="H35" s="860"/>
      <c r="I35" s="24" t="str">
        <f>I10</f>
        <v>2025-26</v>
      </c>
      <c r="N35" s="829" t="s">
        <v>26</v>
      </c>
      <c r="O35" s="829"/>
      <c r="P35" s="829"/>
      <c r="Q35" s="829"/>
      <c r="R35" s="829"/>
      <c r="S35" s="829"/>
      <c r="T35" s="829"/>
      <c r="U35" s="25" t="str">
        <f>I35</f>
        <v>2025-26</v>
      </c>
    </row>
    <row r="36" spans="1:21" hidden="1" x14ac:dyDescent="0.25">
      <c r="A36" s="26"/>
      <c r="B36" s="26"/>
      <c r="C36" s="88" t="s">
        <v>334</v>
      </c>
      <c r="D36" s="88"/>
      <c r="E36" s="89" t="s">
        <v>8</v>
      </c>
      <c r="F36" s="860"/>
      <c r="G36" s="860"/>
      <c r="H36" s="860"/>
      <c r="I36" s="24" t="s">
        <v>27</v>
      </c>
      <c r="N36" s="28"/>
      <c r="O36" s="28"/>
      <c r="P36" s="29"/>
      <c r="Q36" s="29"/>
      <c r="R36" s="30"/>
      <c r="S36" s="30"/>
      <c r="T36" s="102"/>
      <c r="U36" s="25" t="s">
        <v>27</v>
      </c>
    </row>
    <row r="37" spans="1:21" ht="26.25" hidden="1" x14ac:dyDescent="0.25">
      <c r="A37" s="798" t="s">
        <v>50</v>
      </c>
      <c r="B37" s="798"/>
      <c r="C37" s="340" t="s">
        <v>2</v>
      </c>
      <c r="D37" s="340"/>
      <c r="E37" s="90" t="s">
        <v>2</v>
      </c>
      <c r="F37" s="861"/>
      <c r="G37" s="861"/>
      <c r="H37" s="861"/>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698.25130000000013</v>
      </c>
      <c r="F46" s="34"/>
      <c r="G46" s="106"/>
      <c r="H46" s="107" t="s">
        <v>98</v>
      </c>
      <c r="I46" s="94">
        <f>SUM(I44,I30)</f>
        <v>3884600.5200000005</v>
      </c>
      <c r="N46" s="863" t="s">
        <v>44</v>
      </c>
      <c r="O46" s="863"/>
      <c r="P46" s="863"/>
      <c r="Q46" s="863"/>
      <c r="R46" s="35">
        <f>R44+T30</f>
        <v>0</v>
      </c>
      <c r="S46" s="857" t="s">
        <v>42</v>
      </c>
      <c r="T46" s="857"/>
      <c r="U46" s="108">
        <f>SUM(U44,U30)</f>
        <v>0</v>
      </c>
    </row>
    <row r="47" spans="1:2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0" t="s">
        <v>413</v>
      </c>
      <c r="F50" s="411"/>
      <c r="G50" s="412"/>
      <c r="H50" s="412"/>
      <c r="I50" s="413"/>
      <c r="N50" s="431" t="s">
        <v>413</v>
      </c>
      <c r="O50" s="414"/>
      <c r="P50" s="414"/>
      <c r="Q50" s="414"/>
      <c r="R50" s="415"/>
      <c r="S50" s="416"/>
      <c r="T50" s="416"/>
      <c r="U50" s="423"/>
    </row>
    <row r="51" spans="1:22" x14ac:dyDescent="0.25">
      <c r="A51" s="408"/>
      <c r="B51" s="3" t="s">
        <v>556</v>
      </c>
      <c r="C51" s="26"/>
      <c r="D51" s="26"/>
      <c r="E51" s="43" t="s">
        <v>414</v>
      </c>
      <c r="F51" s="419">
        <v>3884600.5200000005</v>
      </c>
      <c r="G51" s="109" t="s">
        <v>6</v>
      </c>
      <c r="H51" s="420">
        <v>6.6699999999999995E-2</v>
      </c>
      <c r="I51" s="101">
        <f>ROUND(F51*H51,2)</f>
        <v>259102.85</v>
      </c>
      <c r="N51" s="425"/>
      <c r="O51" s="51" t="s">
        <v>556</v>
      </c>
      <c r="P51" s="28"/>
      <c r="Q51" s="44" t="s">
        <v>414</v>
      </c>
      <c r="R51" s="427">
        <f>U30</f>
        <v>0</v>
      </c>
      <c r="S51" s="428" t="s">
        <v>6</v>
      </c>
      <c r="T51" s="429">
        <v>6.6699999999999995E-2</v>
      </c>
      <c r="U51" s="421">
        <f>ROUND(R51*T51,2)</f>
        <v>0</v>
      </c>
    </row>
    <row r="52" spans="1:22" x14ac:dyDescent="0.25">
      <c r="A52" s="26"/>
      <c r="B52" s="749" t="s">
        <v>560</v>
      </c>
      <c r="C52" s="26"/>
      <c r="D52" s="26"/>
      <c r="E52" s="43" t="s">
        <v>414</v>
      </c>
      <c r="F52" s="419">
        <v>3884600.5200000005</v>
      </c>
      <c r="G52" s="109" t="s">
        <v>6</v>
      </c>
      <c r="H52" s="420">
        <v>5.4000000000000003E-3</v>
      </c>
      <c r="I52" s="101">
        <f>ROUND(F52*H52,2)</f>
        <v>20976.84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280079.69</v>
      </c>
      <c r="N53" s="28"/>
      <c r="O53" s="402" t="s">
        <v>415</v>
      </c>
      <c r="P53" s="28"/>
      <c r="Q53" s="44"/>
      <c r="R53" s="427"/>
      <c r="S53" s="428"/>
      <c r="T53" s="429"/>
      <c r="U53" s="421">
        <f>SUM(U51:U52)</f>
        <v>0</v>
      </c>
    </row>
    <row r="54" spans="1:22" x14ac:dyDescent="0.25">
      <c r="A54" s="241"/>
      <c r="C54" s="462" t="s">
        <v>458</v>
      </c>
      <c r="D54" s="462" t="s">
        <v>458</v>
      </c>
      <c r="G54" s="42"/>
      <c r="H54" s="114"/>
      <c r="I54" s="114"/>
      <c r="N54" s="479"/>
      <c r="O54" s="51"/>
      <c r="P54" s="40" t="s">
        <v>458</v>
      </c>
      <c r="Q54" s="40" t="s">
        <v>458</v>
      </c>
      <c r="R54" s="51"/>
      <c r="S54" s="51"/>
      <c r="T54" s="480"/>
      <c r="U54" s="481"/>
      <c r="V54" s="114"/>
    </row>
    <row r="55" spans="1:22" x14ac:dyDescent="0.25">
      <c r="A55" s="463"/>
      <c r="B55" s="463"/>
      <c r="C55" s="88" t="s">
        <v>523</v>
      </c>
      <c r="D55" s="349" t="s">
        <v>524</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
        <v>2</v>
      </c>
      <c r="D56" s="340" t="s">
        <v>2</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2" si="10">IF(D$72=0,C57*2,C57+D57)</f>
        <v>0</v>
      </c>
      <c r="F57" s="461" t="s">
        <v>451</v>
      </c>
      <c r="G57" s="461">
        <v>251</v>
      </c>
      <c r="H57" s="475">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37.89</v>
      </c>
      <c r="D63" s="143">
        <v>0</v>
      </c>
      <c r="E63" s="116">
        <f>IF(D$66=0,C63*2,C63+D63)</f>
        <v>75.78</v>
      </c>
      <c r="F63" s="462" t="s">
        <v>14</v>
      </c>
      <c r="G63" s="461">
        <v>251</v>
      </c>
      <c r="H63" s="475">
        <v>835</v>
      </c>
      <c r="I63" s="101">
        <f t="shared" si="11"/>
        <v>63276.3</v>
      </c>
      <c r="N63" s="866"/>
      <c r="O63" s="866"/>
      <c r="P63" s="868"/>
      <c r="Q63" s="868"/>
      <c r="R63" s="40" t="s">
        <v>14</v>
      </c>
      <c r="S63" s="467">
        <v>251</v>
      </c>
      <c r="T63" s="478">
        <f t="shared" si="12"/>
        <v>835</v>
      </c>
      <c r="U63" s="492">
        <f t="shared" si="13"/>
        <v>0</v>
      </c>
      <c r="V63" s="442"/>
    </row>
    <row r="64" spans="1:22" x14ac:dyDescent="0.25">
      <c r="A64" s="815"/>
      <c r="B64" s="815"/>
      <c r="C64" s="143">
        <v>2.91</v>
      </c>
      <c r="D64" s="143">
        <v>0</v>
      </c>
      <c r="E64" s="116">
        <f>IF(D$66=0,C64*2,C64+D64)</f>
        <v>5.82</v>
      </c>
      <c r="F64" s="462" t="s">
        <v>14</v>
      </c>
      <c r="G64" s="461">
        <v>252</v>
      </c>
      <c r="H64" s="475">
        <v>3168</v>
      </c>
      <c r="I64" s="101">
        <f t="shared" si="11"/>
        <v>18437.759999999998</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IF(D$66=0,C65*2,C65+D65)</f>
        <v>0</v>
      </c>
      <c r="F65" s="462" t="s">
        <v>14</v>
      </c>
      <c r="G65" s="461">
        <v>253</v>
      </c>
      <c r="H65" s="475">
        <v>6685</v>
      </c>
      <c r="I65" s="101">
        <f t="shared" si="11"/>
        <v>0</v>
      </c>
      <c r="N65" s="866"/>
      <c r="O65" s="866"/>
      <c r="P65" s="874"/>
      <c r="Q65" s="874"/>
      <c r="R65" s="40" t="s">
        <v>14</v>
      </c>
      <c r="S65" s="467">
        <v>253</v>
      </c>
      <c r="T65" s="478">
        <f t="shared" si="12"/>
        <v>6685</v>
      </c>
      <c r="U65" s="493">
        <f t="shared" si="13"/>
        <v>0</v>
      </c>
      <c r="V65" s="442"/>
    </row>
    <row r="66" spans="1:22" ht="16.5" thickBot="1" x14ac:dyDescent="0.3">
      <c r="A66" s="241"/>
      <c r="C66" s="97">
        <f>SUM(C57:C65)</f>
        <v>40.799999999999997</v>
      </c>
      <c r="D66" s="97">
        <f>SUM(D57:D65)</f>
        <v>0</v>
      </c>
      <c r="E66" s="97">
        <f>SUM(E57:E65)</f>
        <v>81.599999999999994</v>
      </c>
      <c r="F66" s="816" t="s">
        <v>460</v>
      </c>
      <c r="G66" s="816"/>
      <c r="H66" s="816"/>
      <c r="I66" s="97">
        <f>SUM(I57:I65)</f>
        <v>81714.06</v>
      </c>
      <c r="N66" s="479"/>
      <c r="O66" s="51"/>
      <c r="P66" s="875">
        <f>SUM(P57:P65)</f>
        <v>0</v>
      </c>
      <c r="Q66" s="875"/>
      <c r="R66" s="863" t="s">
        <v>460</v>
      </c>
      <c r="S66" s="863"/>
      <c r="T66" s="863"/>
      <c r="U66" s="494">
        <f>SUM(U57:U65)</f>
        <v>0</v>
      </c>
      <c r="V66" s="442"/>
    </row>
    <row r="67" spans="1:22" x14ac:dyDescent="0.25">
      <c r="A67" s="241"/>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699.38</v>
      </c>
      <c r="D69" s="791" t="s">
        <v>427</v>
      </c>
      <c r="E69" s="791"/>
      <c r="F69" s="791"/>
      <c r="G69" s="791"/>
      <c r="H69" s="287">
        <v>215320.92</v>
      </c>
      <c r="I69" s="113"/>
      <c r="N69" s="870" t="s">
        <v>420</v>
      </c>
      <c r="O69" s="851"/>
      <c r="P69" s="41">
        <f>P30</f>
        <v>0</v>
      </c>
      <c r="Q69" s="871" t="s">
        <v>422</v>
      </c>
      <c r="R69" s="872"/>
      <c r="S69" s="872"/>
      <c r="T69" s="873">
        <f>H69</f>
        <v>215320.92</v>
      </c>
      <c r="U69" s="873"/>
    </row>
    <row r="70" spans="1:22" x14ac:dyDescent="0.25">
      <c r="B70" s="69"/>
      <c r="G70" s="42" t="s">
        <v>12</v>
      </c>
      <c r="H70" s="114">
        <f>ROUND(C69/H69,6)</f>
        <v>3.248E-3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698.25130000000013</v>
      </c>
      <c r="D72" s="791" t="s">
        <v>428</v>
      </c>
      <c r="E72" s="791"/>
      <c r="F72" s="791"/>
      <c r="G72" s="791"/>
      <c r="H72" s="288">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3.0479999999999999E-3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699.38</v>
      </c>
      <c r="D75" s="783" t="s">
        <v>429</v>
      </c>
      <c r="E75" s="783"/>
      <c r="F75" s="783"/>
      <c r="G75" s="783"/>
      <c r="H75" s="287">
        <v>186156.17</v>
      </c>
      <c r="I75" s="113"/>
      <c r="N75" s="870" t="s">
        <v>419</v>
      </c>
      <c r="O75" s="851"/>
      <c r="P75" s="41">
        <f>P30</f>
        <v>0</v>
      </c>
      <c r="Q75" s="878" t="s">
        <v>424</v>
      </c>
      <c r="R75" s="879"/>
      <c r="S75" s="879"/>
      <c r="T75" s="873">
        <f>H75</f>
        <v>186156.17</v>
      </c>
      <c r="U75" s="873"/>
    </row>
    <row r="76" spans="1:22" x14ac:dyDescent="0.25">
      <c r="B76" s="69"/>
      <c r="G76" s="42" t="s">
        <v>12</v>
      </c>
      <c r="H76" s="114">
        <f>ROUND(C75/H75,6)</f>
        <v>3.7569999999999999E-3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699.38</v>
      </c>
      <c r="D78" s="811" t="s">
        <v>430</v>
      </c>
      <c r="E78" s="811"/>
      <c r="F78" s="811"/>
      <c r="G78" s="811"/>
      <c r="H78" s="287">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3.2529999999999998E-3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699.38</v>
      </c>
      <c r="D81" s="783" t="s">
        <v>431</v>
      </c>
      <c r="E81" s="783"/>
      <c r="F81" s="783"/>
      <c r="G81" s="783"/>
      <c r="H81" s="287">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3.7629999999999999E-3</v>
      </c>
      <c r="I82" s="115"/>
      <c r="N82" s="851"/>
      <c r="O82" s="851"/>
      <c r="P82" s="851"/>
      <c r="Q82" s="851"/>
      <c r="R82" s="851"/>
      <c r="S82" s="851"/>
      <c r="T82" s="869">
        <f>ROUND(P81/T81,6)</f>
        <v>0</v>
      </c>
      <c r="U82" s="869"/>
    </row>
    <row r="83" spans="1:21" x14ac:dyDescent="0.25">
      <c r="A83" s="241"/>
      <c r="G83" s="42"/>
      <c r="H83" s="114"/>
      <c r="I83" s="114"/>
      <c r="N83" s="464"/>
      <c r="O83" s="464"/>
      <c r="P83" s="464"/>
      <c r="Q83" s="464"/>
      <c r="R83" s="464"/>
      <c r="S83" s="464"/>
      <c r="T83" s="465"/>
      <c r="U83" s="465"/>
    </row>
    <row r="84" spans="1:21" x14ac:dyDescent="0.25">
      <c r="A84" s="241"/>
      <c r="G84" s="42"/>
      <c r="H84" s="114"/>
      <c r="I84" s="114"/>
      <c r="N84" s="464"/>
      <c r="O84" s="464"/>
      <c r="P84" s="464"/>
      <c r="Q84" s="464"/>
      <c r="R84" s="464"/>
      <c r="S84" s="464"/>
      <c r="T84" s="465"/>
      <c r="U84" s="465"/>
    </row>
    <row r="85" spans="1:21" x14ac:dyDescent="0.25">
      <c r="A85" s="460" t="s">
        <v>467</v>
      </c>
      <c r="D85" s="69"/>
      <c r="E85" s="43" t="s">
        <v>316</v>
      </c>
      <c r="F85" s="289">
        <v>47290747</v>
      </c>
      <c r="G85" s="37" t="s">
        <v>6</v>
      </c>
      <c r="H85" s="440">
        <f>H79</f>
        <v>3.2529999999999998E-3</v>
      </c>
      <c r="I85" s="101">
        <f>ROUND(F85*H85,2)</f>
        <v>153836.79999999999</v>
      </c>
      <c r="N85" s="471" t="s">
        <v>467</v>
      </c>
      <c r="O85" s="51"/>
      <c r="P85" s="51"/>
      <c r="Q85" s="44"/>
      <c r="R85" s="437">
        <f>F85</f>
        <v>47290747</v>
      </c>
      <c r="S85" s="38" t="s">
        <v>6</v>
      </c>
      <c r="T85" s="439">
        <f>T79</f>
        <v>0</v>
      </c>
      <c r="U85" s="491">
        <f>ROUND(R85*T85,2)</f>
        <v>0</v>
      </c>
    </row>
    <row r="86" spans="1:21" x14ac:dyDescent="0.25">
      <c r="A86" s="418"/>
      <c r="D86" s="69"/>
      <c r="E86" s="43"/>
      <c r="F86" s="275"/>
      <c r="G86" s="37"/>
      <c r="H86" s="440"/>
      <c r="I86" s="101"/>
      <c r="N86" s="51"/>
      <c r="O86" s="51"/>
      <c r="P86" s="51"/>
      <c r="Q86" s="44"/>
      <c r="R86" s="438"/>
      <c r="S86" s="38"/>
      <c r="T86" s="439"/>
      <c r="U86" s="495"/>
    </row>
    <row r="87" spans="1:21" x14ac:dyDescent="0.25">
      <c r="A87" s="813" t="s">
        <v>71</v>
      </c>
      <c r="B87" s="804"/>
      <c r="C87" s="804"/>
      <c r="D87" s="69"/>
      <c r="E87" s="43"/>
      <c r="F87" s="275"/>
      <c r="G87" s="37"/>
      <c r="H87" s="440"/>
      <c r="I87" s="101"/>
      <c r="N87" s="870" t="s">
        <v>475</v>
      </c>
      <c r="O87" s="851"/>
      <c r="P87" s="851"/>
      <c r="Q87" s="51"/>
      <c r="R87" s="438"/>
      <c r="S87" s="51"/>
      <c r="T87" s="38"/>
      <c r="U87" s="496"/>
    </row>
    <row r="88" spans="1:21" x14ac:dyDescent="0.25">
      <c r="A88" s="813" t="s">
        <v>99</v>
      </c>
      <c r="B88" s="804"/>
      <c r="C88" s="804"/>
      <c r="D88" s="69"/>
      <c r="E88" s="43" t="s">
        <v>3</v>
      </c>
      <c r="F88" s="289">
        <v>0</v>
      </c>
      <c r="G88" s="37" t="s">
        <v>6</v>
      </c>
      <c r="H88" s="440">
        <f>H70</f>
        <v>3.248E-3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275"/>
      <c r="G89" s="37"/>
      <c r="H89" s="440"/>
      <c r="I89" s="101"/>
      <c r="N89" s="452"/>
      <c r="O89" s="45"/>
      <c r="P89" s="45"/>
      <c r="Q89" s="44"/>
      <c r="R89" s="437"/>
      <c r="S89" s="38"/>
      <c r="T89" s="439"/>
      <c r="U89" s="491"/>
    </row>
    <row r="90" spans="1:21" x14ac:dyDescent="0.25">
      <c r="A90" s="469" t="s">
        <v>468</v>
      </c>
      <c r="D90" s="69"/>
      <c r="E90" s="43" t="s">
        <v>434</v>
      </c>
      <c r="F90" s="289">
        <v>19167881</v>
      </c>
      <c r="G90" s="37" t="s">
        <v>6</v>
      </c>
      <c r="H90" s="440">
        <f>H82</f>
        <v>3.7629999999999999E-3</v>
      </c>
      <c r="I90" s="101">
        <f>ROUND(F90*H90,2)</f>
        <v>72128.740000000005</v>
      </c>
      <c r="N90" s="471" t="s">
        <v>468</v>
      </c>
      <c r="O90" s="51"/>
      <c r="P90" s="51"/>
      <c r="Q90" s="44"/>
      <c r="R90" s="437">
        <f>F90</f>
        <v>19167881</v>
      </c>
      <c r="S90" s="38" t="s">
        <v>6</v>
      </c>
      <c r="T90" s="439">
        <f>T82</f>
        <v>0</v>
      </c>
      <c r="U90" s="491">
        <f>ROUND(R90*T90,2)</f>
        <v>0</v>
      </c>
    </row>
    <row r="91" spans="1:21" x14ac:dyDescent="0.25">
      <c r="A91" s="418"/>
      <c r="D91" s="69"/>
      <c r="E91" s="43"/>
      <c r="F91" s="275"/>
      <c r="G91" s="37"/>
      <c r="H91" s="440"/>
      <c r="I91" s="101"/>
      <c r="N91" s="426"/>
      <c r="O91" s="51"/>
      <c r="P91" s="51"/>
      <c r="Q91" s="44"/>
      <c r="R91" s="437"/>
      <c r="S91" s="38"/>
      <c r="T91" s="439"/>
      <c r="U91" s="491"/>
    </row>
    <row r="92" spans="1:21" x14ac:dyDescent="0.25">
      <c r="A92" s="469" t="s">
        <v>469</v>
      </c>
      <c r="D92" s="69"/>
      <c r="E92" s="43" t="s">
        <v>3</v>
      </c>
      <c r="F92" s="289">
        <v>11546889</v>
      </c>
      <c r="G92" s="37" t="s">
        <v>6</v>
      </c>
      <c r="H92" s="440">
        <f>H76</f>
        <v>3.7569999999999999E-3</v>
      </c>
      <c r="I92" s="101">
        <f t="shared" ref="I92:I98" si="14">ROUND(F92*H92,2)</f>
        <v>43381.66</v>
      </c>
      <c r="N92" s="471" t="s">
        <v>469</v>
      </c>
      <c r="O92" s="51"/>
      <c r="P92" s="51"/>
      <c r="Q92" s="44"/>
      <c r="R92" s="437">
        <f t="shared" ref="R92:R96" si="15">F92</f>
        <v>11546889</v>
      </c>
      <c r="S92" s="38" t="s">
        <v>6</v>
      </c>
      <c r="T92" s="439">
        <f>T76</f>
        <v>0</v>
      </c>
      <c r="U92" s="491">
        <f>ROUND(R92*T92,2)</f>
        <v>0</v>
      </c>
    </row>
    <row r="93" spans="1:21" x14ac:dyDescent="0.25">
      <c r="A93" s="81"/>
      <c r="D93" s="69"/>
      <c r="E93" s="43"/>
      <c r="F93" s="275"/>
      <c r="G93" s="37"/>
      <c r="H93" s="440"/>
      <c r="I93" s="101"/>
      <c r="N93" s="402"/>
      <c r="O93" s="51"/>
      <c r="P93" s="51"/>
      <c r="Q93" s="44"/>
      <c r="R93" s="438"/>
      <c r="S93" s="38"/>
      <c r="T93" s="439"/>
      <c r="U93" s="495"/>
    </row>
    <row r="94" spans="1:21" x14ac:dyDescent="0.25">
      <c r="A94" s="810" t="s">
        <v>435</v>
      </c>
      <c r="B94" s="804"/>
      <c r="C94" s="804"/>
      <c r="D94" s="69"/>
      <c r="E94" s="43" t="s">
        <v>4</v>
      </c>
      <c r="F94" s="289">
        <v>268816278</v>
      </c>
      <c r="G94" s="37" t="s">
        <v>6</v>
      </c>
      <c r="H94" s="440">
        <f>H73</f>
        <v>3.0479999999999999E-3</v>
      </c>
      <c r="I94" s="101">
        <f t="shared" si="14"/>
        <v>819352.02</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275"/>
      <c r="G95" s="37"/>
      <c r="H95" s="440"/>
      <c r="I95" s="101"/>
      <c r="N95" s="45"/>
      <c r="O95" s="45"/>
      <c r="P95" s="45"/>
      <c r="Q95" s="44"/>
      <c r="R95" s="437"/>
      <c r="S95" s="38"/>
      <c r="T95" s="439"/>
      <c r="U95" s="491"/>
    </row>
    <row r="96" spans="1:21" x14ac:dyDescent="0.25">
      <c r="A96" s="810" t="s">
        <v>436</v>
      </c>
      <c r="B96" s="804"/>
      <c r="C96" s="804"/>
      <c r="D96" s="69"/>
      <c r="E96" s="43" t="s">
        <v>4</v>
      </c>
      <c r="F96" s="289">
        <v>0</v>
      </c>
      <c r="G96" s="37" t="s">
        <v>6</v>
      </c>
      <c r="H96" s="440">
        <f>H73</f>
        <v>3.0479999999999999E-3</v>
      </c>
      <c r="I96" s="101">
        <f t="shared" si="14"/>
        <v>0</v>
      </c>
      <c r="N96" s="870" t="s">
        <v>436</v>
      </c>
      <c r="O96" s="870"/>
      <c r="P96" s="870"/>
      <c r="Q96" s="44"/>
      <c r="R96" s="437">
        <f t="shared" si="15"/>
        <v>0</v>
      </c>
      <c r="S96" s="38" t="s">
        <v>6</v>
      </c>
      <c r="T96" s="439">
        <f>T73</f>
        <v>0</v>
      </c>
      <c r="U96" s="491">
        <f>ROUND(R96*T96,2)</f>
        <v>0</v>
      </c>
    </row>
    <row r="97" spans="1:21" x14ac:dyDescent="0.25">
      <c r="A97" s="547"/>
      <c r="B97" s="546"/>
      <c r="C97" s="546"/>
      <c r="D97" s="546"/>
      <c r="E97" s="544"/>
      <c r="F97" s="275"/>
      <c r="G97" s="545"/>
      <c r="H97" s="440"/>
      <c r="I97" s="101"/>
      <c r="N97" s="550"/>
      <c r="O97" s="550"/>
      <c r="P97" s="550"/>
      <c r="Q97" s="44"/>
      <c r="R97" s="552"/>
      <c r="S97" s="551"/>
      <c r="T97" s="439"/>
      <c r="U97" s="495"/>
    </row>
    <row r="98" spans="1:21" x14ac:dyDescent="0.25">
      <c r="A98" s="547" t="s">
        <v>507</v>
      </c>
      <c r="B98" s="546"/>
      <c r="C98" s="546"/>
      <c r="D98" s="546"/>
      <c r="E98" s="544" t="s">
        <v>3</v>
      </c>
      <c r="F98" s="289">
        <v>0</v>
      </c>
      <c r="G98" s="545" t="s">
        <v>6</v>
      </c>
      <c r="H98" s="440">
        <f>H70</f>
        <v>3.248E-3</v>
      </c>
      <c r="I98" s="101">
        <f t="shared" si="14"/>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81"/>
      <c r="B100" s="69"/>
      <c r="C100" s="69"/>
      <c r="D100" s="69"/>
      <c r="E100" s="43"/>
      <c r="F100" s="275"/>
      <c r="G100" s="37"/>
      <c r="H100" s="440"/>
      <c r="I100" s="101"/>
      <c r="N100" s="402"/>
      <c r="O100" s="402"/>
      <c r="P100" s="402"/>
      <c r="Q100" s="44"/>
      <c r="R100" s="438"/>
      <c r="S100" s="38"/>
      <c r="T100" s="439"/>
      <c r="U100" s="103"/>
    </row>
    <row r="101" spans="1:21" ht="15" customHeight="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119" t="s">
        <v>438</v>
      </c>
      <c r="F103" s="120" t="s">
        <v>106</v>
      </c>
      <c r="G103" s="121"/>
      <c r="H103" s="121"/>
      <c r="I103" s="121"/>
      <c r="N103" s="882" t="s">
        <v>35</v>
      </c>
      <c r="O103" s="882"/>
      <c r="P103" s="883" t="s">
        <v>440</v>
      </c>
      <c r="Q103" s="884"/>
      <c r="R103" s="873" t="s">
        <v>31</v>
      </c>
      <c r="S103" s="873"/>
      <c r="T103" s="873"/>
      <c r="U103" s="873"/>
    </row>
    <row r="104" spans="1:21" x14ac:dyDescent="0.25">
      <c r="A104" s="26"/>
      <c r="B104" s="52" t="s">
        <v>105</v>
      </c>
      <c r="C104" s="822">
        <f>H14+H15+H20+H23+H26</f>
        <v>0</v>
      </c>
      <c r="D104" s="822"/>
      <c r="E104" s="46">
        <f>H8</f>
        <v>1.0355000000000001</v>
      </c>
      <c r="F104" s="290">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290">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698.25130000000013</v>
      </c>
      <c r="D106" s="822"/>
      <c r="E106" s="46">
        <f>H8</f>
        <v>1.0355000000000001</v>
      </c>
      <c r="F106" s="290">
        <v>917.3</v>
      </c>
      <c r="G106" s="39" t="s">
        <v>12</v>
      </c>
      <c r="H106" s="94">
        <f>ROUND(C106*E106*F106,2)</f>
        <v>663243.88</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698.25130000000013</v>
      </c>
      <c r="D107" s="812"/>
      <c r="E107" s="123"/>
      <c r="F107" s="123"/>
      <c r="G107" s="123"/>
      <c r="H107" s="124" t="s">
        <v>100</v>
      </c>
      <c r="I107" s="101">
        <f>IF(A1=75,0,H106+H105+H104)</f>
        <v>663243.88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90" t="s">
        <v>2</v>
      </c>
      <c r="F112" s="43"/>
      <c r="G112" s="43"/>
      <c r="H112" s="43"/>
      <c r="I112" s="43"/>
      <c r="N112" s="45"/>
      <c r="O112" s="45"/>
      <c r="P112" s="45"/>
      <c r="Q112" s="125"/>
      <c r="R112" s="125"/>
      <c r="S112" s="125"/>
      <c r="T112" s="125"/>
      <c r="U112" s="103"/>
    </row>
    <row r="113" spans="1:21" x14ac:dyDescent="0.25">
      <c r="A113" s="783" t="s">
        <v>396</v>
      </c>
      <c r="B113" s="784"/>
      <c r="C113" s="143">
        <v>380</v>
      </c>
      <c r="D113" s="143">
        <v>359</v>
      </c>
      <c r="E113" s="116">
        <f>(C113+D113)/2</f>
        <v>369.5</v>
      </c>
      <c r="F113" s="126" t="s">
        <v>30</v>
      </c>
      <c r="G113" s="291">
        <v>617</v>
      </c>
      <c r="I113" s="101">
        <f>ROUND(G113*E113,2)</f>
        <v>227981.5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291">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510</v>
      </c>
      <c r="B117" s="804"/>
      <c r="C117" s="804"/>
      <c r="D117" s="69"/>
      <c r="E117" s="39" t="s">
        <v>317</v>
      </c>
      <c r="F117" s="789"/>
      <c r="G117" s="789"/>
      <c r="H117" s="789"/>
      <c r="I117" s="789"/>
      <c r="N117" s="870" t="s">
        <v>511</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5946239.1800000006</v>
      </c>
      <c r="J128" s="250"/>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J129" s="250"/>
      <c r="N129" s="471"/>
      <c r="O129" s="470"/>
      <c r="P129" s="470"/>
      <c r="Q129" s="305"/>
      <c r="R129" s="305"/>
      <c r="S129" s="305"/>
      <c r="T129" s="305"/>
      <c r="U129" s="103"/>
    </row>
    <row r="130" spans="1:21" ht="16.5" thickBot="1" x14ac:dyDescent="0.3">
      <c r="A130" s="547" t="s">
        <v>447</v>
      </c>
      <c r="B130" s="26"/>
      <c r="C130" s="26"/>
      <c r="D130" s="26"/>
      <c r="E130" s="26"/>
      <c r="F130" s="26"/>
      <c r="G130" s="26"/>
      <c r="H130" s="26"/>
      <c r="I130" s="101">
        <f>I128-I53</f>
        <v>5666159.4900000002</v>
      </c>
      <c r="J130" s="250"/>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J131" s="250"/>
      <c r="N131" s="28"/>
      <c r="O131" s="28"/>
      <c r="P131" s="28"/>
      <c r="Q131" s="28"/>
      <c r="R131" s="28"/>
      <c r="S131" s="28"/>
      <c r="T131" s="28"/>
      <c r="U131" s="138"/>
    </row>
    <row r="132" spans="1:21" x14ac:dyDescent="0.25">
      <c r="A132" s="810" t="s">
        <v>512</v>
      </c>
      <c r="B132" s="804"/>
      <c r="C132" s="804"/>
      <c r="D132" s="804"/>
      <c r="E132" s="804"/>
      <c r="F132" s="804"/>
      <c r="G132" s="804"/>
      <c r="H132" s="81" t="s">
        <v>351</v>
      </c>
      <c r="I132" s="134"/>
      <c r="J132" s="250"/>
      <c r="N132" s="870" t="s">
        <v>513</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28"/>
      <c r="O133" s="28"/>
      <c r="P133" s="28"/>
      <c r="Q133" s="28"/>
      <c r="R133" s="28"/>
      <c r="S133" s="28"/>
      <c r="T133" s="28"/>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5666159.4900000002</v>
      </c>
      <c r="I135" s="94">
        <f>ROUND(IF(E30=0,0,IF(E30&gt;250,-(((250/E30)*H135)*IF(G135="H",0.02,0.05)),IF(G135="H",-0.02*H135,-0.05*H135))),2)</f>
        <v>-40508.449999999997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5905730.7300000004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Payments'!Q72</f>
        <v>-485398.34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3" t="s">
        <v>246</v>
      </c>
      <c r="B141" s="69"/>
      <c r="C141" s="69"/>
      <c r="D141" s="69"/>
      <c r="E141" s="69"/>
      <c r="F141" s="69"/>
      <c r="G141" s="69"/>
      <c r="H141" s="65"/>
      <c r="I141" s="101">
        <f>I137+I139</f>
        <v>5420332.3900000006</v>
      </c>
      <c r="N141" s="73"/>
      <c r="O141" s="73"/>
      <c r="P141" s="73"/>
      <c r="Q141" s="73"/>
      <c r="R141" s="73"/>
      <c r="S141" s="73"/>
      <c r="T141" s="73"/>
      <c r="U141" s="73"/>
    </row>
    <row r="142" spans="1:21" x14ac:dyDescent="0.25">
      <c r="A142" s="3"/>
      <c r="B142" s="69"/>
      <c r="C142" s="69"/>
      <c r="D142" s="69"/>
      <c r="E142" s="69"/>
      <c r="F142" s="69"/>
      <c r="G142" s="69"/>
      <c r="H142" s="65"/>
      <c r="I142" s="101"/>
      <c r="N142" s="73"/>
      <c r="O142" s="73"/>
      <c r="P142" s="73"/>
      <c r="Q142" s="73"/>
      <c r="R142" s="73"/>
      <c r="S142" s="73"/>
      <c r="T142" s="73"/>
      <c r="U142" s="73"/>
    </row>
    <row r="143" spans="1:21" x14ac:dyDescent="0.25">
      <c r="A143" s="3" t="s">
        <v>247</v>
      </c>
      <c r="B143" s="69"/>
      <c r="C143" s="69"/>
      <c r="D143" s="69"/>
      <c r="E143" s="69"/>
      <c r="F143" s="69"/>
      <c r="G143" s="69"/>
      <c r="H143" s="65"/>
      <c r="I143" s="272">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492757.49</v>
      </c>
      <c r="K145" s="436"/>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72814.740000000005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ht="12.75" customHeight="1" x14ac:dyDescent="0.25">
      <c r="A151" s="357" t="s">
        <v>7</v>
      </c>
      <c r="B151" s="357"/>
      <c r="C151" s="357"/>
      <c r="D151" s="357"/>
      <c r="E151" s="357"/>
      <c r="F151" s="357"/>
      <c r="G151" s="357"/>
      <c r="H151" s="357"/>
      <c r="I151" s="357"/>
      <c r="J151" s="134"/>
      <c r="N151" s="73"/>
      <c r="O151" s="73"/>
      <c r="P151" s="73"/>
      <c r="Q151" s="73"/>
      <c r="R151" s="73"/>
      <c r="S151" s="73"/>
      <c r="T151" s="73"/>
      <c r="U151" s="73"/>
    </row>
    <row r="152" spans="1:21" ht="12.75" customHeight="1" x14ac:dyDescent="0.25">
      <c r="A152" s="358" t="s">
        <v>259</v>
      </c>
      <c r="B152" s="359"/>
      <c r="C152" s="359"/>
      <c r="D152" s="359"/>
      <c r="E152" s="359"/>
      <c r="F152" s="359"/>
      <c r="G152" s="359"/>
      <c r="H152" s="359"/>
      <c r="I152" s="359"/>
      <c r="J152" s="77"/>
      <c r="K152" s="339"/>
      <c r="L152" s="76"/>
      <c r="M152" s="76"/>
      <c r="N152" s="73"/>
      <c r="O152" s="73"/>
      <c r="P152" s="73"/>
      <c r="Q152" s="73"/>
      <c r="R152" s="73"/>
      <c r="S152" s="73"/>
      <c r="T152" s="73"/>
      <c r="U152" s="73"/>
    </row>
    <row r="153" spans="1:21" ht="12.75" customHeight="1" x14ac:dyDescent="0.25">
      <c r="A153" s="364" t="s">
        <v>387</v>
      </c>
      <c r="B153" s="359"/>
      <c r="C153" s="359"/>
      <c r="D153" s="359"/>
      <c r="E153" s="359"/>
      <c r="F153" s="359"/>
      <c r="G153" s="359"/>
      <c r="H153" s="359"/>
      <c r="I153" s="359"/>
      <c r="J153" s="77"/>
      <c r="K153" s="339"/>
      <c r="L153" s="76"/>
      <c r="M153" s="76"/>
      <c r="N153" s="73"/>
      <c r="O153" s="73"/>
      <c r="P153" s="73"/>
      <c r="Q153" s="73"/>
      <c r="R153" s="73"/>
      <c r="S153" s="73"/>
      <c r="T153" s="73"/>
      <c r="U153" s="73"/>
    </row>
    <row r="154" spans="1:21" ht="12.75" customHeight="1" x14ac:dyDescent="0.25">
      <c r="A154" s="361" t="s">
        <v>388</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ht="12.75" customHeight="1" x14ac:dyDescent="0.2">
      <c r="A155" s="361" t="s">
        <v>389</v>
      </c>
      <c r="B155" s="360"/>
      <c r="C155" s="360"/>
      <c r="D155" s="360"/>
      <c r="E155" s="360"/>
      <c r="F155" s="360"/>
      <c r="G155" s="360"/>
      <c r="H155" s="360"/>
      <c r="I155" s="360"/>
      <c r="N155" s="896"/>
      <c r="O155" s="896"/>
      <c r="P155" s="896"/>
      <c r="Q155" s="896"/>
      <c r="R155" s="896"/>
      <c r="S155" s="896"/>
      <c r="T155" s="896"/>
      <c r="U155" s="896"/>
    </row>
    <row r="156" spans="1:21" s="76" customFormat="1" ht="12.75" customHeight="1" x14ac:dyDescent="0.2">
      <c r="A156" s="361" t="s">
        <v>390</v>
      </c>
      <c r="B156" s="360"/>
      <c r="C156" s="360"/>
      <c r="D156" s="360"/>
      <c r="E156" s="360"/>
      <c r="F156" s="360"/>
      <c r="G156" s="360"/>
      <c r="H156" s="360"/>
      <c r="I156" s="360"/>
      <c r="N156" s="73"/>
      <c r="O156" s="73"/>
      <c r="P156" s="73"/>
      <c r="Q156" s="73"/>
      <c r="R156" s="73"/>
      <c r="S156" s="73"/>
      <c r="T156" s="73"/>
      <c r="U156" s="73"/>
    </row>
    <row r="157" spans="1:21" s="76" customFormat="1" ht="12.75" customHeight="1" x14ac:dyDescent="0.2">
      <c r="A157" s="361" t="s">
        <v>391</v>
      </c>
      <c r="B157" s="360"/>
      <c r="C157" s="360"/>
      <c r="D157" s="360"/>
      <c r="E157" s="360"/>
      <c r="F157" s="360"/>
      <c r="G157" s="360"/>
      <c r="H157" s="360"/>
      <c r="I157" s="360"/>
      <c r="N157" s="78"/>
      <c r="O157" s="79"/>
      <c r="P157" s="79"/>
      <c r="Q157" s="79"/>
      <c r="R157" s="79"/>
      <c r="S157" s="79"/>
      <c r="T157" s="79"/>
      <c r="U157" s="79"/>
    </row>
    <row r="158" spans="1:21" s="76" customFormat="1" ht="12.75" customHeight="1" x14ac:dyDescent="0.2">
      <c r="A158" s="361" t="s">
        <v>392</v>
      </c>
      <c r="B158" s="360"/>
      <c r="C158" s="360"/>
      <c r="D158" s="360"/>
      <c r="E158" s="360"/>
      <c r="F158" s="360"/>
      <c r="G158" s="360"/>
      <c r="H158" s="360"/>
      <c r="I158" s="360"/>
      <c r="N158" s="78"/>
    </row>
    <row r="159" spans="1:21" s="76" customFormat="1" ht="12.75" customHeight="1" x14ac:dyDescent="0.2">
      <c r="A159" s="361" t="s">
        <v>394</v>
      </c>
      <c r="B159" s="360"/>
      <c r="C159" s="360"/>
      <c r="D159" s="360"/>
      <c r="E159" s="360"/>
      <c r="F159" s="360"/>
      <c r="G159" s="360"/>
      <c r="H159" s="360"/>
      <c r="I159" s="360"/>
      <c r="K159" s="360"/>
      <c r="N159" s="78"/>
    </row>
    <row r="160" spans="1:21" s="76" customFormat="1" ht="12.75" customHeight="1" x14ac:dyDescent="0.2">
      <c r="A160" s="366" t="s">
        <v>393</v>
      </c>
      <c r="B160" s="360"/>
      <c r="C160" s="360"/>
      <c r="D160" s="360"/>
      <c r="E160" s="360"/>
      <c r="F160" s="360"/>
      <c r="G160" s="360"/>
      <c r="H160" s="360"/>
      <c r="I160" s="360"/>
      <c r="N160" s="78"/>
    </row>
    <row r="161" spans="1:14" s="76" customFormat="1" ht="12.75" customHeight="1" x14ac:dyDescent="0.2">
      <c r="A161" s="361" t="s">
        <v>395</v>
      </c>
      <c r="B161" s="360"/>
      <c r="C161" s="360"/>
      <c r="D161" s="360"/>
      <c r="E161" s="360"/>
      <c r="F161" s="360"/>
      <c r="G161" s="360"/>
      <c r="H161" s="360"/>
      <c r="I161" s="360"/>
      <c r="N161" s="78"/>
    </row>
    <row r="162" spans="1:14" s="76" customFormat="1" ht="12.75" customHeight="1" x14ac:dyDescent="0.2">
      <c r="A162" s="365" t="s">
        <v>260</v>
      </c>
      <c r="B162" s="360"/>
      <c r="C162" s="360"/>
      <c r="D162" s="360"/>
      <c r="E162" s="360"/>
      <c r="F162" s="360"/>
      <c r="G162" s="360"/>
      <c r="H162" s="360"/>
      <c r="I162" s="360"/>
      <c r="N162" s="78"/>
    </row>
    <row r="163" spans="1:14" s="76" customFormat="1" ht="12.75" customHeight="1" x14ac:dyDescent="0.2">
      <c r="A163" s="361" t="s">
        <v>398</v>
      </c>
      <c r="B163" s="360"/>
      <c r="C163" s="360"/>
      <c r="D163" s="360"/>
      <c r="E163" s="360"/>
      <c r="F163" s="360"/>
      <c r="G163" s="360"/>
      <c r="H163" s="360"/>
      <c r="I163" s="360"/>
      <c r="N163" s="78"/>
    </row>
    <row r="164" spans="1:14" s="76" customFormat="1" ht="12.75" customHeight="1" x14ac:dyDescent="0.2">
      <c r="A164" s="361" t="s">
        <v>287</v>
      </c>
      <c r="B164" s="360"/>
      <c r="C164" s="360"/>
      <c r="D164" s="360"/>
      <c r="E164" s="360"/>
      <c r="F164" s="360"/>
      <c r="G164" s="360"/>
      <c r="H164" s="360"/>
      <c r="I164" s="360"/>
      <c r="N164" s="78"/>
    </row>
    <row r="165" spans="1:14" s="76" customFormat="1" ht="12.75" customHeight="1" x14ac:dyDescent="0.2">
      <c r="A165" s="361" t="s">
        <v>400</v>
      </c>
      <c r="B165" s="360"/>
      <c r="C165" s="360"/>
      <c r="D165" s="360"/>
      <c r="E165" s="360"/>
      <c r="F165" s="360"/>
      <c r="G165" s="360"/>
      <c r="H165" s="360"/>
      <c r="I165" s="360"/>
      <c r="N165" s="78"/>
    </row>
    <row r="166" spans="1:14" s="76" customFormat="1" ht="12.75" customHeight="1" x14ac:dyDescent="0.2">
      <c r="A166" s="366" t="s">
        <v>399</v>
      </c>
      <c r="B166" s="360"/>
      <c r="C166" s="360"/>
      <c r="D166" s="360"/>
      <c r="E166" s="360"/>
      <c r="F166" s="360"/>
      <c r="G166" s="360"/>
      <c r="H166" s="360"/>
      <c r="I166" s="360"/>
      <c r="N166" s="78"/>
    </row>
    <row r="167" spans="1:14" s="76" customFormat="1" ht="12.75" customHeight="1" x14ac:dyDescent="0.2">
      <c r="A167" s="361" t="s">
        <v>401</v>
      </c>
      <c r="B167" s="360"/>
      <c r="C167" s="360"/>
      <c r="D167" s="360"/>
      <c r="E167" s="360"/>
      <c r="F167" s="360"/>
      <c r="G167" s="360"/>
      <c r="H167" s="360"/>
      <c r="I167" s="360"/>
      <c r="N167" s="78"/>
    </row>
    <row r="168" spans="1:14" s="76" customFormat="1" ht="12.75" customHeight="1" x14ac:dyDescent="0.2">
      <c r="A168" s="366" t="s">
        <v>261</v>
      </c>
      <c r="B168" s="360"/>
      <c r="C168" s="360"/>
      <c r="D168" s="360"/>
      <c r="E168" s="360"/>
      <c r="F168" s="360"/>
      <c r="G168" s="360"/>
      <c r="H168" s="360"/>
      <c r="I168" s="360"/>
      <c r="N168" s="78"/>
    </row>
    <row r="169" spans="1:14" s="76" customFormat="1" ht="12.75" customHeight="1" x14ac:dyDescent="0.2">
      <c r="A169" s="361" t="s">
        <v>403</v>
      </c>
      <c r="B169" s="360"/>
      <c r="C169" s="360"/>
      <c r="D169" s="360"/>
      <c r="E169" s="360"/>
      <c r="F169" s="360"/>
      <c r="G169" s="360"/>
      <c r="H169" s="360"/>
      <c r="I169" s="360"/>
      <c r="N169" s="78"/>
    </row>
    <row r="170" spans="1:14" s="76" customFormat="1" ht="12.75" customHeight="1" x14ac:dyDescent="0.2">
      <c r="A170" s="366" t="s">
        <v>402</v>
      </c>
      <c r="B170" s="360"/>
      <c r="C170" s="360"/>
      <c r="D170" s="360"/>
      <c r="E170" s="360"/>
      <c r="F170" s="360"/>
      <c r="G170" s="360"/>
      <c r="H170" s="360"/>
      <c r="I170" s="360"/>
      <c r="N170" s="78"/>
    </row>
    <row r="171" spans="1:14" s="76" customFormat="1" ht="12.75" customHeight="1" x14ac:dyDescent="0.2">
      <c r="A171" s="361"/>
      <c r="B171" s="360"/>
      <c r="C171" s="360"/>
      <c r="D171" s="360"/>
      <c r="E171" s="360"/>
      <c r="F171" s="360"/>
      <c r="G171" s="360"/>
      <c r="H171" s="360"/>
      <c r="I171" s="360"/>
      <c r="N171" s="78"/>
    </row>
    <row r="172" spans="1:14" s="76" customFormat="1" ht="12.75" customHeight="1" x14ac:dyDescent="0.2">
      <c r="A172" s="369" t="s">
        <v>67</v>
      </c>
      <c r="B172" s="360"/>
      <c r="C172" s="360"/>
      <c r="D172" s="360"/>
      <c r="E172" s="360"/>
      <c r="F172" s="360"/>
      <c r="G172" s="360"/>
      <c r="H172" s="360"/>
      <c r="I172" s="360"/>
      <c r="N172" s="78"/>
    </row>
    <row r="173" spans="1:14" s="76" customFormat="1" ht="12.75" customHeight="1" x14ac:dyDescent="0.2">
      <c r="A173" s="362" t="s">
        <v>262</v>
      </c>
      <c r="B173" s="363"/>
      <c r="C173" s="363"/>
      <c r="D173" s="363"/>
      <c r="E173" s="363"/>
      <c r="F173" s="363"/>
      <c r="G173" s="363"/>
      <c r="H173" s="363"/>
      <c r="I173" s="363"/>
      <c r="N173" s="78"/>
    </row>
    <row r="174" spans="1:14" s="76" customFormat="1" ht="12.75" customHeight="1" x14ac:dyDescent="0.2">
      <c r="A174" s="367" t="s">
        <v>318</v>
      </c>
      <c r="B174" s="370"/>
      <c r="C174" s="370"/>
      <c r="D174" s="370"/>
      <c r="E174" s="370"/>
      <c r="F174" s="370"/>
      <c r="G174" s="370"/>
      <c r="H174" s="370"/>
      <c r="I174" s="370"/>
      <c r="N174" s="78"/>
    </row>
    <row r="175" spans="1:14" s="76" customFormat="1" ht="12.75" customHeight="1" x14ac:dyDescent="0.2">
      <c r="A175" s="367" t="s">
        <v>404</v>
      </c>
      <c r="B175" s="370"/>
      <c r="C175" s="370"/>
      <c r="D175" s="370"/>
      <c r="E175" s="370"/>
      <c r="F175" s="370"/>
      <c r="G175" s="370"/>
      <c r="H175" s="370"/>
      <c r="I175" s="370"/>
      <c r="N175" s="78"/>
    </row>
    <row r="176" spans="1:14" s="76" customFormat="1" ht="12.75" customHeight="1" x14ac:dyDescent="0.2">
      <c r="A176" s="367" t="s">
        <v>405</v>
      </c>
      <c r="B176" s="370"/>
      <c r="C176" s="370"/>
      <c r="D176" s="370"/>
      <c r="E176" s="370"/>
      <c r="F176" s="370"/>
      <c r="G176" s="370"/>
      <c r="H176" s="370"/>
      <c r="I176" s="370"/>
      <c r="N176" s="78"/>
    </row>
    <row r="177" spans="1:21" s="76" customFormat="1" ht="12.75" customHeight="1" x14ac:dyDescent="0.2">
      <c r="A177" s="362"/>
      <c r="B177" s="370"/>
      <c r="C177" s="370"/>
      <c r="D177" s="370"/>
      <c r="E177" s="370"/>
      <c r="F177" s="370"/>
      <c r="G177" s="370"/>
      <c r="H177" s="370"/>
      <c r="I177" s="370"/>
      <c r="N177" s="78"/>
    </row>
    <row r="178" spans="1:21" s="76" customFormat="1" ht="12.75" customHeight="1" x14ac:dyDescent="0.25">
      <c r="A178" s="362" t="s">
        <v>319</v>
      </c>
      <c r="B178" s="363"/>
      <c r="C178" s="363"/>
      <c r="D178" s="363"/>
      <c r="E178" s="363"/>
      <c r="F178" s="363"/>
      <c r="G178" s="363"/>
      <c r="H178" s="363"/>
      <c r="I178" s="363"/>
      <c r="J178" s="3"/>
      <c r="K178" s="3"/>
      <c r="L178" s="3"/>
      <c r="M178" s="3"/>
      <c r="N178" s="78"/>
    </row>
    <row r="179" spans="1:21" s="76" customFormat="1" ht="12.75" customHeight="1" x14ac:dyDescent="0.25">
      <c r="A179" s="367" t="s">
        <v>318</v>
      </c>
      <c r="B179" s="363"/>
      <c r="C179" s="363"/>
      <c r="D179" s="363"/>
      <c r="E179" s="363"/>
      <c r="F179" s="363"/>
      <c r="G179" s="363"/>
      <c r="H179" s="363"/>
      <c r="I179" s="363"/>
      <c r="J179" s="3"/>
      <c r="K179" s="3"/>
      <c r="L179" s="3"/>
      <c r="M179" s="3"/>
      <c r="N179" s="78"/>
    </row>
    <row r="180" spans="1:21" s="76" customFormat="1" ht="12.75" customHeight="1" x14ac:dyDescent="0.25">
      <c r="A180" s="367" t="s">
        <v>320</v>
      </c>
      <c r="B180" s="363"/>
      <c r="C180" s="363"/>
      <c r="D180" s="363"/>
      <c r="E180" s="363"/>
      <c r="F180" s="363"/>
      <c r="G180" s="363"/>
      <c r="H180" s="363"/>
      <c r="I180" s="363"/>
      <c r="J180" s="3"/>
      <c r="K180" s="3"/>
      <c r="L180" s="3"/>
      <c r="M180" s="3"/>
      <c r="N180" s="78"/>
    </row>
    <row r="181" spans="1:21" s="76" customFormat="1" ht="12.75" customHeight="1" x14ac:dyDescent="0.25">
      <c r="A181" s="363"/>
      <c r="B181" s="363"/>
      <c r="C181" s="363"/>
      <c r="D181" s="363"/>
      <c r="E181" s="363"/>
      <c r="F181" s="363"/>
      <c r="G181" s="363"/>
      <c r="H181" s="363"/>
      <c r="I181" s="363"/>
      <c r="J181" s="3"/>
      <c r="K181" s="3"/>
      <c r="L181" s="3"/>
      <c r="M181" s="3"/>
      <c r="N181" s="78"/>
    </row>
    <row r="182" spans="1:21" s="76" customFormat="1" ht="12.75" customHeight="1" x14ac:dyDescent="0.2">
      <c r="A182" s="369" t="s">
        <v>68</v>
      </c>
      <c r="B182" s="369"/>
      <c r="C182" s="369"/>
      <c r="D182" s="369"/>
      <c r="E182" s="369"/>
      <c r="F182" s="369"/>
      <c r="G182" s="369"/>
      <c r="H182" s="369"/>
      <c r="I182" s="369"/>
      <c r="N182" s="78"/>
    </row>
    <row r="183" spans="1:21" ht="12.75" customHeight="1" x14ac:dyDescent="0.25">
      <c r="A183" s="362" t="s">
        <v>263</v>
      </c>
      <c r="B183" s="363"/>
      <c r="C183" s="363"/>
      <c r="D183" s="363"/>
      <c r="E183" s="363"/>
      <c r="F183" s="363"/>
      <c r="G183" s="363"/>
      <c r="H183" s="363"/>
      <c r="I183" s="363"/>
      <c r="J183" s="76"/>
      <c r="K183" s="76"/>
      <c r="L183" s="76"/>
      <c r="M183" s="76"/>
      <c r="N183" s="78"/>
      <c r="O183" s="76"/>
      <c r="P183" s="76"/>
      <c r="Q183" s="76"/>
      <c r="R183" s="76"/>
      <c r="S183" s="76"/>
      <c r="T183" s="76"/>
      <c r="U183" s="76"/>
    </row>
    <row r="184" spans="1:21" ht="12.75" customHeight="1" x14ac:dyDescent="0.25">
      <c r="A184" s="367" t="s">
        <v>264</v>
      </c>
      <c r="B184" s="370"/>
      <c r="C184" s="370"/>
      <c r="D184" s="370"/>
      <c r="E184" s="370"/>
      <c r="F184" s="370"/>
      <c r="G184" s="370"/>
      <c r="H184" s="370"/>
      <c r="I184" s="370"/>
      <c r="J184" s="76"/>
      <c r="K184" s="76"/>
      <c r="L184" s="76"/>
      <c r="M184" s="76"/>
      <c r="N184" s="78"/>
      <c r="O184" s="76"/>
      <c r="P184" s="76"/>
      <c r="Q184" s="76"/>
      <c r="R184" s="76"/>
      <c r="S184" s="76"/>
      <c r="T184" s="76"/>
      <c r="U184" s="76"/>
    </row>
    <row r="185" spans="1:21" s="76" customFormat="1" ht="12.75" customHeight="1" x14ac:dyDescent="0.25">
      <c r="A185" s="363" t="s">
        <v>11</v>
      </c>
      <c r="B185" s="363"/>
      <c r="C185" s="363"/>
      <c r="D185" s="363"/>
      <c r="E185" s="363"/>
      <c r="F185" s="363"/>
      <c r="G185" s="363"/>
      <c r="H185" s="363"/>
      <c r="I185" s="363"/>
      <c r="N185" s="74"/>
      <c r="O185" s="3"/>
      <c r="P185" s="3"/>
      <c r="Q185" s="3"/>
      <c r="R185" s="3"/>
      <c r="S185" s="3"/>
      <c r="T185" s="3"/>
      <c r="U185" s="3"/>
    </row>
    <row r="186" spans="1:21" s="76" customFormat="1" ht="15.75" customHeight="1" x14ac:dyDescent="0.25">
      <c r="A186" s="292"/>
      <c r="B186" s="292"/>
      <c r="C186" s="292"/>
      <c r="D186" s="292"/>
      <c r="E186" s="292"/>
      <c r="F186" s="292"/>
      <c r="G186" s="292"/>
      <c r="H186" s="292"/>
      <c r="I186" s="292"/>
      <c r="J186" s="3"/>
      <c r="K186" s="3"/>
      <c r="L186" s="3"/>
      <c r="M186" s="3"/>
      <c r="N186" s="78"/>
    </row>
    <row r="187" spans="1:21" s="76" customFormat="1" ht="15.75" customHeight="1" x14ac:dyDescent="0.25">
      <c r="A187" s="74"/>
      <c r="B187" s="3"/>
      <c r="C187" s="3"/>
      <c r="D187" s="3"/>
      <c r="E187" s="3"/>
      <c r="F187" s="3"/>
      <c r="G187" s="3"/>
      <c r="H187" s="3"/>
      <c r="I187" s="3"/>
      <c r="J187" s="3"/>
      <c r="K187" s="3"/>
      <c r="L187" s="3"/>
      <c r="M187" s="3"/>
      <c r="N187" s="78"/>
    </row>
    <row r="188" spans="1:21" ht="15.75" customHeight="1" x14ac:dyDescent="0.25">
      <c r="A188" s="74"/>
      <c r="N188" s="78"/>
      <c r="O188" s="76"/>
      <c r="P188" s="76"/>
      <c r="Q188" s="76"/>
      <c r="R188" s="76"/>
      <c r="S188" s="76"/>
      <c r="T188" s="76"/>
      <c r="U188" s="76"/>
    </row>
    <row r="189" spans="1:21" ht="15.75" customHeight="1" x14ac:dyDescent="0.25">
      <c r="A189" s="74"/>
      <c r="N189" s="78"/>
      <c r="O189" s="76"/>
      <c r="P189" s="76"/>
      <c r="Q189" s="76"/>
      <c r="R189" s="76"/>
      <c r="S189" s="76"/>
      <c r="T189" s="76"/>
      <c r="U189" s="76"/>
    </row>
    <row r="190" spans="1:21" ht="15.75" customHeight="1" x14ac:dyDescent="0.25">
      <c r="A190" s="74"/>
      <c r="B190" s="135"/>
      <c r="C190" s="135"/>
      <c r="D190" s="135"/>
      <c r="E190" s="135"/>
      <c r="F190" s="135"/>
      <c r="G190" s="135"/>
      <c r="H190" s="135"/>
      <c r="I190" s="135"/>
      <c r="N190" s="74"/>
    </row>
    <row r="191" spans="1:21" ht="15.75" customHeight="1" x14ac:dyDescent="0.25">
      <c r="A191" s="74"/>
      <c r="N191" s="74"/>
    </row>
    <row r="192" spans="1:21" ht="15.75" customHeight="1" x14ac:dyDescent="0.25">
      <c r="A192" s="74"/>
      <c r="N192" s="74"/>
    </row>
    <row r="193" spans="1:14" ht="15.75" customHeight="1" x14ac:dyDescent="0.25">
      <c r="A193" s="74"/>
      <c r="N193" s="74"/>
    </row>
    <row r="194" spans="1:14" ht="15.75" customHeight="1" x14ac:dyDescent="0.25">
      <c r="A194" s="74"/>
      <c r="N194" s="74"/>
    </row>
    <row r="195" spans="1:14" ht="15.75" customHeight="1" x14ac:dyDescent="0.25">
      <c r="A195" s="74"/>
      <c r="N195" s="74"/>
    </row>
    <row r="196" spans="1:14" ht="15.75" customHeight="1" x14ac:dyDescent="0.25">
      <c r="A196" s="74"/>
      <c r="N196" s="74"/>
    </row>
    <row r="197" spans="1:14" ht="15.75" customHeight="1" x14ac:dyDescent="0.25">
      <c r="A197" s="74"/>
      <c r="N197" s="74"/>
    </row>
    <row r="198" spans="1:14" ht="15.75" customHeight="1" x14ac:dyDescent="0.25">
      <c r="A198" s="74"/>
      <c r="N198" s="74"/>
    </row>
    <row r="199" spans="1:14" ht="15.75" customHeight="1" x14ac:dyDescent="0.25">
      <c r="A199" s="74"/>
      <c r="N199" s="74"/>
    </row>
    <row r="200" spans="1:14" ht="15.75" customHeight="1" x14ac:dyDescent="0.25">
      <c r="A200" s="74"/>
      <c r="N200" s="74"/>
    </row>
    <row r="201" spans="1:14" ht="15.75" customHeight="1" x14ac:dyDescent="0.25">
      <c r="A201" s="74"/>
      <c r="N201" s="74"/>
    </row>
    <row r="202" spans="1:14" ht="15.75" customHeight="1" x14ac:dyDescent="0.25">
      <c r="A202" s="74"/>
      <c r="N202" s="74"/>
    </row>
    <row r="203" spans="1:14" ht="15.75" customHeight="1" x14ac:dyDescent="0.25">
      <c r="A203" s="74"/>
      <c r="N203" s="74"/>
    </row>
    <row r="204" spans="1:14" ht="15.75" customHeight="1" x14ac:dyDescent="0.25">
      <c r="A204" s="74"/>
      <c r="N204" s="74"/>
    </row>
    <row r="205" spans="1:14" x14ac:dyDescent="0.25">
      <c r="A205" s="74"/>
      <c r="N205" s="74"/>
    </row>
    <row r="206" spans="1:14" x14ac:dyDescent="0.25">
      <c r="A206" s="74"/>
      <c r="N206" s="74"/>
    </row>
    <row r="207" spans="1:14" x14ac:dyDescent="0.25">
      <c r="A207" s="74"/>
      <c r="N207" s="74"/>
    </row>
    <row r="208" spans="1:14" x14ac:dyDescent="0.25">
      <c r="A208" s="74"/>
      <c r="N208" s="74"/>
    </row>
    <row r="209" spans="1:14" x14ac:dyDescent="0.25">
      <c r="A209" s="74"/>
      <c r="N209" s="74"/>
    </row>
    <row r="210" spans="1:14" x14ac:dyDescent="0.25">
      <c r="A210" s="74"/>
      <c r="N210" s="74"/>
    </row>
    <row r="211" spans="1:14" x14ac:dyDescent="0.25">
      <c r="A211" s="74"/>
      <c r="N211" s="74"/>
    </row>
    <row r="212" spans="1:14" x14ac:dyDescent="0.25">
      <c r="A212" s="74"/>
      <c r="N212" s="74"/>
    </row>
    <row r="213" spans="1:14" x14ac:dyDescent="0.25">
      <c r="A213" s="74"/>
      <c r="N213" s="74"/>
    </row>
    <row r="214" spans="1:14" x14ac:dyDescent="0.25">
      <c r="A214" s="74"/>
      <c r="N214" s="74"/>
    </row>
    <row r="215" spans="1:14" x14ac:dyDescent="0.25">
      <c r="A215" s="74"/>
      <c r="N215" s="74"/>
    </row>
    <row r="216" spans="1:14" x14ac:dyDescent="0.25">
      <c r="A216" s="74"/>
      <c r="N216" s="74"/>
    </row>
    <row r="217" spans="1:14" x14ac:dyDescent="0.25">
      <c r="A217" s="74"/>
      <c r="N217" s="74"/>
    </row>
    <row r="218" spans="1:14" x14ac:dyDescent="0.25">
      <c r="A218" s="74"/>
      <c r="N218" s="74"/>
    </row>
    <row r="219" spans="1:14" x14ac:dyDescent="0.25">
      <c r="A219" s="74"/>
      <c r="N219" s="74"/>
    </row>
    <row r="220" spans="1:14" x14ac:dyDescent="0.25">
      <c r="A220" s="74"/>
      <c r="N220" s="74"/>
    </row>
    <row r="221" spans="1:14" x14ac:dyDescent="0.25">
      <c r="A221" s="74"/>
      <c r="N221" s="74"/>
    </row>
    <row r="222" spans="1:14" x14ac:dyDescent="0.25">
      <c r="A222" s="74"/>
      <c r="N222" s="74"/>
    </row>
    <row r="223" spans="1:14" x14ac:dyDescent="0.25">
      <c r="A223" s="74"/>
      <c r="N223" s="74"/>
    </row>
    <row r="224" spans="1:14" x14ac:dyDescent="0.25">
      <c r="A224" s="74"/>
      <c r="N224" s="74"/>
    </row>
    <row r="225" spans="1:14" x14ac:dyDescent="0.25">
      <c r="A225" s="74"/>
      <c r="N225" s="74"/>
    </row>
    <row r="226" spans="1:14" x14ac:dyDescent="0.25">
      <c r="A226" s="74"/>
      <c r="N226" s="74"/>
    </row>
    <row r="227" spans="1:14" x14ac:dyDescent="0.25">
      <c r="A227" s="74"/>
      <c r="N227" s="74"/>
    </row>
    <row r="228" spans="1:14" x14ac:dyDescent="0.25">
      <c r="A228" s="74"/>
      <c r="N228" s="74"/>
    </row>
    <row r="229" spans="1:14" x14ac:dyDescent="0.25">
      <c r="A229" s="74"/>
      <c r="N229" s="74"/>
    </row>
    <row r="230" spans="1:14" x14ac:dyDescent="0.25">
      <c r="A230" s="74"/>
      <c r="N230" s="74"/>
    </row>
    <row r="231" spans="1:14" x14ac:dyDescent="0.25">
      <c r="A231" s="74"/>
    </row>
    <row r="232" spans="1:14" x14ac:dyDescent="0.25">
      <c r="A232" s="74"/>
    </row>
    <row r="233" spans="1:14" x14ac:dyDescent="0.25">
      <c r="A233" s="74"/>
    </row>
    <row r="234" spans="1:14" x14ac:dyDescent="0.25">
      <c r="A234" s="74"/>
    </row>
    <row r="235" spans="1:14" x14ac:dyDescent="0.25">
      <c r="A235" s="74"/>
    </row>
    <row r="236" spans="1:14" x14ac:dyDescent="0.25">
      <c r="A236" s="74"/>
    </row>
    <row r="237" spans="1:14" x14ac:dyDescent="0.25">
      <c r="A237" s="74"/>
    </row>
    <row r="238" spans="1:14" x14ac:dyDescent="0.25">
      <c r="A238" s="74"/>
    </row>
    <row r="239" spans="1:14" x14ac:dyDescent="0.25">
      <c r="A239" s="74"/>
    </row>
    <row r="240" spans="1:14" x14ac:dyDescent="0.25">
      <c r="A240" s="74"/>
    </row>
    <row r="241" spans="1:1" x14ac:dyDescent="0.25">
      <c r="A241" s="74"/>
    </row>
    <row r="242" spans="1:1" x14ac:dyDescent="0.25">
      <c r="A242" s="74"/>
    </row>
    <row r="243" spans="1:1" x14ac:dyDescent="0.25">
      <c r="A243" s="74"/>
    </row>
    <row r="244" spans="1:1" x14ac:dyDescent="0.25">
      <c r="A244" s="74"/>
    </row>
    <row r="245" spans="1:1" x14ac:dyDescent="0.25">
      <c r="A245" s="74"/>
    </row>
    <row r="246" spans="1:1" x14ac:dyDescent="0.25">
      <c r="A246" s="74"/>
    </row>
  </sheetData>
  <mergeCells count="258">
    <mergeCell ref="A128:H128"/>
    <mergeCell ref="A133:G133"/>
    <mergeCell ref="A132:G132"/>
    <mergeCell ref="F126:H126"/>
    <mergeCell ref="A40:B40"/>
    <mergeCell ref="A41:B41"/>
    <mergeCell ref="A124:B124"/>
    <mergeCell ref="A123:B123"/>
    <mergeCell ref="A122:B122"/>
    <mergeCell ref="A108:I108"/>
    <mergeCell ref="F121:G121"/>
    <mergeCell ref="A88:C88"/>
    <mergeCell ref="C107:D107"/>
    <mergeCell ref="A120:B120"/>
    <mergeCell ref="F110:I110"/>
    <mergeCell ref="F120:G120"/>
    <mergeCell ref="A126:C126"/>
    <mergeCell ref="A42:B42"/>
    <mergeCell ref="A94:C94"/>
    <mergeCell ref="C104:D104"/>
    <mergeCell ref="A78:B78"/>
    <mergeCell ref="D78:G78"/>
    <mergeCell ref="A81:B81"/>
    <mergeCell ref="D81:G81"/>
    <mergeCell ref="F29:G29"/>
    <mergeCell ref="A25:B25"/>
    <mergeCell ref="A26:B26"/>
    <mergeCell ref="A38:B38"/>
    <mergeCell ref="F123:G123"/>
    <mergeCell ref="C106:D106"/>
    <mergeCell ref="A72:B72"/>
    <mergeCell ref="C105:D105"/>
    <mergeCell ref="F34:H37"/>
    <mergeCell ref="A37:B37"/>
    <mergeCell ref="F122:G122"/>
    <mergeCell ref="A87:C87"/>
    <mergeCell ref="A121:B121"/>
    <mergeCell ref="A117:C117"/>
    <mergeCell ref="F117:I117"/>
    <mergeCell ref="A113:B113"/>
    <mergeCell ref="A114:B114"/>
    <mergeCell ref="F30:G30"/>
    <mergeCell ref="A69:B69"/>
    <mergeCell ref="A96:C96"/>
    <mergeCell ref="A75:B75"/>
    <mergeCell ref="D75:G75"/>
    <mergeCell ref="A57:B65"/>
    <mergeCell ref="F66:H66"/>
    <mergeCell ref="A4:B4"/>
    <mergeCell ref="C4:E4"/>
    <mergeCell ref="F11:G11"/>
    <mergeCell ref="A15:B15"/>
    <mergeCell ref="F15:G15"/>
    <mergeCell ref="F12:G12"/>
    <mergeCell ref="F13:G13"/>
    <mergeCell ref="A13:B13"/>
    <mergeCell ref="A29:B29"/>
    <mergeCell ref="A27:B27"/>
    <mergeCell ref="A28:B28"/>
    <mergeCell ref="F14:G14"/>
    <mergeCell ref="A20:B20"/>
    <mergeCell ref="A19:B19"/>
    <mergeCell ref="A14:B14"/>
    <mergeCell ref="A16:B16"/>
    <mergeCell ref="F19:G19"/>
    <mergeCell ref="A18:B18"/>
    <mergeCell ref="F25:G25"/>
    <mergeCell ref="F26:G26"/>
    <mergeCell ref="A23:B23"/>
    <mergeCell ref="F24:G24"/>
    <mergeCell ref="F27:G27"/>
    <mergeCell ref="F28:G28"/>
    <mergeCell ref="O1:U1"/>
    <mergeCell ref="N2:U2"/>
    <mergeCell ref="N3:U3"/>
    <mergeCell ref="N4:O4"/>
    <mergeCell ref="P4:Q4"/>
    <mergeCell ref="A43:B43"/>
    <mergeCell ref="N7:U7"/>
    <mergeCell ref="A39:B39"/>
    <mergeCell ref="A30:B30"/>
    <mergeCell ref="A24:B24"/>
    <mergeCell ref="A22:B22"/>
    <mergeCell ref="F22:G22"/>
    <mergeCell ref="F23:G23"/>
    <mergeCell ref="A17:B17"/>
    <mergeCell ref="F16:G16"/>
    <mergeCell ref="F18:G18"/>
    <mergeCell ref="F17:G17"/>
    <mergeCell ref="F20:G20"/>
    <mergeCell ref="F21:G21"/>
    <mergeCell ref="A21:B21"/>
    <mergeCell ref="B1:I1"/>
    <mergeCell ref="A7:I7"/>
    <mergeCell ref="N8:O8"/>
    <mergeCell ref="P8:Q8"/>
    <mergeCell ref="N16:O16"/>
    <mergeCell ref="P16:Q16"/>
    <mergeCell ref="R16:S16"/>
    <mergeCell ref="N13:O13"/>
    <mergeCell ref="P13:Q13"/>
    <mergeCell ref="R13:S13"/>
    <mergeCell ref="N14:O14"/>
    <mergeCell ref="P14:Q14"/>
    <mergeCell ref="R14:S14"/>
    <mergeCell ref="R8:S8"/>
    <mergeCell ref="T8:U8"/>
    <mergeCell ref="R11:S11"/>
    <mergeCell ref="N12:O12"/>
    <mergeCell ref="P12:Q12"/>
    <mergeCell ref="R12:S12"/>
    <mergeCell ref="N15:O15"/>
    <mergeCell ref="P15:Q15"/>
    <mergeCell ref="R15:S15"/>
    <mergeCell ref="T9:U9"/>
    <mergeCell ref="R20:S20"/>
    <mergeCell ref="N17:O17"/>
    <mergeCell ref="P17:Q17"/>
    <mergeCell ref="R17:S17"/>
    <mergeCell ref="N18:O18"/>
    <mergeCell ref="P18:Q18"/>
    <mergeCell ref="R18:S18"/>
    <mergeCell ref="N20:O20"/>
    <mergeCell ref="P20:Q20"/>
    <mergeCell ref="N19:O19"/>
    <mergeCell ref="P19:Q19"/>
    <mergeCell ref="R19:S19"/>
    <mergeCell ref="N24:O24"/>
    <mergeCell ref="P24:Q24"/>
    <mergeCell ref="R24:S24"/>
    <mergeCell ref="N21:O21"/>
    <mergeCell ref="P21:Q21"/>
    <mergeCell ref="R21:S21"/>
    <mergeCell ref="N22:O22"/>
    <mergeCell ref="P22:Q22"/>
    <mergeCell ref="R22:S22"/>
    <mergeCell ref="N23:O23"/>
    <mergeCell ref="P23:Q23"/>
    <mergeCell ref="R23:S23"/>
    <mergeCell ref="N27:O27"/>
    <mergeCell ref="P27:Q27"/>
    <mergeCell ref="R27:S27"/>
    <mergeCell ref="N28:O28"/>
    <mergeCell ref="P28:Q28"/>
    <mergeCell ref="R28:S28"/>
    <mergeCell ref="N25:O25"/>
    <mergeCell ref="P25:Q25"/>
    <mergeCell ref="R25:S25"/>
    <mergeCell ref="N26:O26"/>
    <mergeCell ref="P26:Q26"/>
    <mergeCell ref="R26:S26"/>
    <mergeCell ref="P42:T42"/>
    <mergeCell ref="N35:T35"/>
    <mergeCell ref="N37:O37"/>
    <mergeCell ref="P37:T37"/>
    <mergeCell ref="N38:O38"/>
    <mergeCell ref="P38:T38"/>
    <mergeCell ref="N39:O39"/>
    <mergeCell ref="P39:T39"/>
    <mergeCell ref="N29:O29"/>
    <mergeCell ref="P29:Q29"/>
    <mergeCell ref="R29:S29"/>
    <mergeCell ref="N30:O30"/>
    <mergeCell ref="P30:Q30"/>
    <mergeCell ref="R30:S30"/>
    <mergeCell ref="N40:O40"/>
    <mergeCell ref="P40:T40"/>
    <mergeCell ref="N41:O41"/>
    <mergeCell ref="P41:T41"/>
    <mergeCell ref="N42:O42"/>
    <mergeCell ref="N94:P94"/>
    <mergeCell ref="N103:O103"/>
    <mergeCell ref="P103:Q103"/>
    <mergeCell ref="R103:U103"/>
    <mergeCell ref="Q72:S72"/>
    <mergeCell ref="N73:S73"/>
    <mergeCell ref="T73:U73"/>
    <mergeCell ref="N87:P87"/>
    <mergeCell ref="N78:O78"/>
    <mergeCell ref="Q78:S78"/>
    <mergeCell ref="T78:U78"/>
    <mergeCell ref="N79:S79"/>
    <mergeCell ref="T79:U79"/>
    <mergeCell ref="N72:O72"/>
    <mergeCell ref="T72:U72"/>
    <mergeCell ref="N81:O81"/>
    <mergeCell ref="Q81:S81"/>
    <mergeCell ref="T81:U81"/>
    <mergeCell ref="N82:S82"/>
    <mergeCell ref="T82:U82"/>
    <mergeCell ref="N88:P88"/>
    <mergeCell ref="N75:O75"/>
    <mergeCell ref="Q75:S75"/>
    <mergeCell ref="N136:U136"/>
    <mergeCell ref="N155:U155"/>
    <mergeCell ref="D69:G69"/>
    <mergeCell ref="D72:G72"/>
    <mergeCell ref="C102:D102"/>
    <mergeCell ref="C103:D103"/>
    <mergeCell ref="F119:G119"/>
    <mergeCell ref="C118:E118"/>
    <mergeCell ref="N126:P126"/>
    <mergeCell ref="N130:T130"/>
    <mergeCell ref="N135:U135"/>
    <mergeCell ref="N123:O123"/>
    <mergeCell ref="P123:Q123"/>
    <mergeCell ref="R123:S123"/>
    <mergeCell ref="N124:O124"/>
    <mergeCell ref="N121:O121"/>
    <mergeCell ref="P121:Q121"/>
    <mergeCell ref="R121:S121"/>
    <mergeCell ref="N122:O122"/>
    <mergeCell ref="P122:Q122"/>
    <mergeCell ref="R122:S122"/>
    <mergeCell ref="N113:O113"/>
    <mergeCell ref="P113:R113"/>
    <mergeCell ref="N114:O114"/>
    <mergeCell ref="N43:O43"/>
    <mergeCell ref="P43:T43"/>
    <mergeCell ref="N44:Q44"/>
    <mergeCell ref="S44:T44"/>
    <mergeCell ref="N46:Q46"/>
    <mergeCell ref="S46:T46"/>
    <mergeCell ref="N57:O65"/>
    <mergeCell ref="P56:Q56"/>
    <mergeCell ref="P57:Q57"/>
    <mergeCell ref="P58:Q58"/>
    <mergeCell ref="P59:Q59"/>
    <mergeCell ref="P60:Q60"/>
    <mergeCell ref="P61:Q61"/>
    <mergeCell ref="P62:Q62"/>
    <mergeCell ref="P63:Q63"/>
    <mergeCell ref="P64:Q64"/>
    <mergeCell ref="P65:Q65"/>
    <mergeCell ref="N132:T132"/>
    <mergeCell ref="P66:Q66"/>
    <mergeCell ref="R66:T66"/>
    <mergeCell ref="T75:U75"/>
    <mergeCell ref="N76:S76"/>
    <mergeCell ref="T76:U76"/>
    <mergeCell ref="N70:S70"/>
    <mergeCell ref="T70:U70"/>
    <mergeCell ref="N69:O69"/>
    <mergeCell ref="Q69:S69"/>
    <mergeCell ref="T69:U69"/>
    <mergeCell ref="P114:R114"/>
    <mergeCell ref="N117:U117"/>
    <mergeCell ref="N120:O120"/>
    <mergeCell ref="P120:Q120"/>
    <mergeCell ref="R120:S120"/>
    <mergeCell ref="P104:Q104"/>
    <mergeCell ref="P105:Q105"/>
    <mergeCell ref="P106:Q106"/>
    <mergeCell ref="P107:T107"/>
    <mergeCell ref="N108:U108"/>
    <mergeCell ref="N110:P110"/>
    <mergeCell ref="Q110:T110"/>
    <mergeCell ref="N96:P96"/>
  </mergeCells>
  <phoneticPr fontId="14" type="noConversion"/>
  <printOptions horizontalCentered="1" headings="1"/>
  <pageMargins left="0.1" right="0.1" top="0.25" bottom="0.5" header="0" footer="0.1"/>
  <pageSetup scale="77" fitToHeight="2" orientation="portrait" r:id="rId1"/>
  <headerFooter alignWithMargins="0">
    <oddFooter>&amp;R&amp;P of &amp;N</oddFooter>
  </headerFooter>
  <rowBreaks count="1" manualBreakCount="1">
    <brk id="76" max="16383" man="1"/>
  </rowBreaks>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CCCC"/>
  </sheetPr>
  <dimension ref="A1:V221"/>
  <sheetViews>
    <sheetView topLeftCell="A111" workbookViewId="0">
      <selection activeCell="I135" sqref="I13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v>50</v>
      </c>
      <c r="B1" s="792" t="s">
        <v>15</v>
      </c>
      <c r="C1" s="793"/>
      <c r="D1" s="793"/>
      <c r="E1" s="793"/>
      <c r="F1" s="793"/>
      <c r="G1" s="793"/>
      <c r="H1" s="793"/>
      <c r="I1" s="793"/>
      <c r="J1" s="135"/>
      <c r="K1" s="135"/>
      <c r="L1" s="135"/>
      <c r="N1" s="82">
        <f>A1</f>
        <v>50</v>
      </c>
      <c r="O1" s="826" t="s">
        <v>15</v>
      </c>
      <c r="P1" s="827"/>
      <c r="Q1" s="827"/>
      <c r="R1" s="827"/>
      <c r="S1" s="827"/>
      <c r="T1" s="827"/>
      <c r="U1" s="827"/>
    </row>
    <row r="2" spans="1:21" ht="21" x14ac:dyDescent="0.35">
      <c r="A2" s="1" t="s">
        <v>110</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8"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302.67</v>
      </c>
      <c r="D18" s="143">
        <v>0</v>
      </c>
      <c r="E18" s="116">
        <f>IF(D$30=0,C18*2,C18+D18)</f>
        <v>605.34</v>
      </c>
      <c r="F18" s="850">
        <f>'1461'!F18:G18</f>
        <v>0.97199999999999998</v>
      </c>
      <c r="G18" s="850"/>
      <c r="H18" s="80">
        <f t="shared" si="2"/>
        <v>588.39049999999997</v>
      </c>
      <c r="I18" s="101">
        <f t="shared" si="3"/>
        <v>3273408.93</v>
      </c>
      <c r="N18" s="851" t="s">
        <v>24</v>
      </c>
      <c r="O18" s="851"/>
      <c r="P18" s="848">
        <f t="shared" si="0"/>
        <v>0</v>
      </c>
      <c r="Q18" s="848"/>
      <c r="R18" s="852">
        <v>1</v>
      </c>
      <c r="S18" s="852"/>
      <c r="T18" s="95">
        <f t="shared" si="4"/>
        <v>0</v>
      </c>
      <c r="U18" s="491">
        <f t="shared" si="5"/>
        <v>0</v>
      </c>
    </row>
    <row r="19" spans="1:21" x14ac:dyDescent="0.25">
      <c r="A19" s="804" t="s">
        <v>25</v>
      </c>
      <c r="B19" s="804"/>
      <c r="C19" s="143">
        <v>131.19999999999999</v>
      </c>
      <c r="D19" s="143">
        <v>0</v>
      </c>
      <c r="E19" s="116">
        <f t="shared" si="1"/>
        <v>262.39999999999998</v>
      </c>
      <c r="F19" s="850">
        <f>'1461'!F19:G19</f>
        <v>0.97199999999999998</v>
      </c>
      <c r="G19" s="850"/>
      <c r="H19" s="80">
        <f t="shared" si="2"/>
        <v>255.05279999999999</v>
      </c>
      <c r="I19" s="101">
        <f>ROUND(ROUND(ROUND(H19*$C$8,4)*($H$8),2)*(MAX($H$9,1)),2)</f>
        <v>1418942.21</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2.44</v>
      </c>
      <c r="D28" s="143">
        <v>0</v>
      </c>
      <c r="E28" s="116">
        <f t="shared" si="1"/>
        <v>4.88</v>
      </c>
      <c r="F28" s="850">
        <f>'1461'!F28:G28</f>
        <v>1.165</v>
      </c>
      <c r="G28" s="850"/>
      <c r="H28" s="80">
        <f t="shared" si="2"/>
        <v>5.6852</v>
      </c>
      <c r="I28" s="101">
        <f t="shared" si="3"/>
        <v>31628.63</v>
      </c>
      <c r="N28" s="851" t="s">
        <v>87</v>
      </c>
      <c r="O28" s="851"/>
      <c r="P28" s="848">
        <f t="shared" si="0"/>
        <v>0</v>
      </c>
      <c r="Q28" s="848"/>
      <c r="R28" s="852">
        <v>1</v>
      </c>
      <c r="S28" s="852"/>
      <c r="T28" s="95">
        <f t="shared" si="4"/>
        <v>0</v>
      </c>
      <c r="U28" s="491">
        <f t="shared" si="5"/>
        <v>0</v>
      </c>
    </row>
    <row r="29" spans="1:21" x14ac:dyDescent="0.25">
      <c r="A29" s="804" t="s">
        <v>88</v>
      </c>
      <c r="B29" s="804"/>
      <c r="C29" s="110">
        <v>121.01</v>
      </c>
      <c r="D29" s="110">
        <v>0</v>
      </c>
      <c r="E29" s="154">
        <f t="shared" si="1"/>
        <v>242.02</v>
      </c>
      <c r="F29" s="850">
        <f>'1461'!F29:G29</f>
        <v>1.081</v>
      </c>
      <c r="G29" s="850"/>
      <c r="H29" s="93">
        <f t="shared" si="2"/>
        <v>261.62360000000001</v>
      </c>
      <c r="I29" s="94">
        <f>ROUND(ROUND(ROUND(H29*$C$8,4)*($H$8),2)*(MAX($H$9,1)),2)</f>
        <v>1455497.72</v>
      </c>
      <c r="N29" s="853" t="s">
        <v>88</v>
      </c>
      <c r="O29" s="853"/>
      <c r="P29" s="848">
        <f t="shared" si="0"/>
        <v>0</v>
      </c>
      <c r="Q29" s="848"/>
      <c r="R29" s="854">
        <v>1</v>
      </c>
      <c r="S29" s="854"/>
      <c r="T29" s="95">
        <f t="shared" si="4"/>
        <v>0</v>
      </c>
      <c r="U29" s="491">
        <f t="shared" si="5"/>
        <v>0</v>
      </c>
    </row>
    <row r="30" spans="1:21" x14ac:dyDescent="0.25">
      <c r="A30" s="816" t="s">
        <v>5</v>
      </c>
      <c r="B30" s="816"/>
      <c r="C30" s="94">
        <f>SUM(C14:C29)</f>
        <v>557.32000000000005</v>
      </c>
      <c r="D30" s="94">
        <f>SUM(D14:D29)</f>
        <v>0</v>
      </c>
      <c r="E30" s="94">
        <f>SUM(E14:E29)</f>
        <v>1114.6400000000001</v>
      </c>
      <c r="F30" s="808"/>
      <c r="G30" s="808"/>
      <c r="H30" s="99">
        <f>SUM(H14:H29)</f>
        <v>1110.7520999999999</v>
      </c>
      <c r="I30" s="94">
        <f>SUM(I14:I29)</f>
        <v>6179477.4900000002</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1110.7520999999999</v>
      </c>
      <c r="F46" s="34"/>
      <c r="G46" s="106"/>
      <c r="H46" s="107" t="s">
        <v>98</v>
      </c>
      <c r="I46" s="94">
        <f>SUM(I44,I30)</f>
        <v>6179477.4900000002</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6179477.4900000002</v>
      </c>
      <c r="G51" s="109" t="s">
        <v>6</v>
      </c>
      <c r="H51" s="420">
        <f>'1461'!H51</f>
        <v>6.6699999999999995E-2</v>
      </c>
      <c r="I51" s="101">
        <f>ROUND(F51*H51,2)</f>
        <v>412171.15</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6179477.4900000002</v>
      </c>
      <c r="G52" s="109" t="s">
        <v>6</v>
      </c>
      <c r="H52" s="420">
        <f>'1461'!H52</f>
        <v>5.4000000000000003E-3</v>
      </c>
      <c r="I52" s="101">
        <f>ROUND(F52*H52,2)</f>
        <v>33369.18</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445540.33</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2" si="10">IF(D$72=0,C57*2,C57+D57)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119.29</v>
      </c>
      <c r="D63" s="143">
        <v>0</v>
      </c>
      <c r="E63" s="116">
        <f>IF(D$66=0,C63*2,C63+D63)</f>
        <v>238.58</v>
      </c>
      <c r="F63" s="462" t="s">
        <v>14</v>
      </c>
      <c r="G63" s="461">
        <v>251</v>
      </c>
      <c r="H63" s="475">
        <f>'1461'!H63</f>
        <v>835</v>
      </c>
      <c r="I63" s="101">
        <f t="shared" si="11"/>
        <v>199214.3</v>
      </c>
      <c r="N63" s="866"/>
      <c r="O63" s="866"/>
      <c r="P63" s="868"/>
      <c r="Q63" s="868"/>
      <c r="R63" s="40" t="s">
        <v>14</v>
      </c>
      <c r="S63" s="467">
        <v>251</v>
      </c>
      <c r="T63" s="478">
        <f t="shared" si="12"/>
        <v>835</v>
      </c>
      <c r="U63" s="492">
        <f t="shared" si="13"/>
        <v>0</v>
      </c>
      <c r="V63" s="442"/>
    </row>
    <row r="64" spans="1:22" x14ac:dyDescent="0.25">
      <c r="A64" s="815"/>
      <c r="B64" s="815"/>
      <c r="C64" s="143">
        <v>11.91</v>
      </c>
      <c r="D64" s="143">
        <v>0</v>
      </c>
      <c r="E64" s="116">
        <f>IF(D$66=0,C64*2,C64+D64)</f>
        <v>23.82</v>
      </c>
      <c r="F64" s="462" t="s">
        <v>14</v>
      </c>
      <c r="G64" s="461">
        <v>252</v>
      </c>
      <c r="H64" s="475">
        <f>'1461'!H64</f>
        <v>3168</v>
      </c>
      <c r="I64" s="101">
        <f t="shared" si="11"/>
        <v>75461.759999999995</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IF(D$66=0,C65*2,C65+D65)</f>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131.20000000000002</v>
      </c>
      <c r="D66" s="97">
        <f>SUM(D57:D65)</f>
        <v>0</v>
      </c>
      <c r="E66" s="97">
        <f>SUM(E57:E65)</f>
        <v>262.40000000000003</v>
      </c>
      <c r="F66" s="816" t="s">
        <v>460</v>
      </c>
      <c r="G66" s="816"/>
      <c r="H66" s="816"/>
      <c r="I66" s="97">
        <f>SUM(I57:I65)</f>
        <v>274676.06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1114.6400000000001</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5.1770000000000002E-3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1110.7520999999999</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4.849E-3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1114.6400000000001</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5.9880000000000003E-3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1114.6400000000001</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5.1840000000000002E-3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1114.6400000000001</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5.9969999999999997E-3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5.1840000000000002E-3</v>
      </c>
      <c r="I85" s="101">
        <f>ROUND(F85*H85,2)</f>
        <v>245155.23</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5.1770000000000002E-3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5.9969999999999997E-3</v>
      </c>
      <c r="I90" s="101">
        <f>ROUND(F90*H90,2)</f>
        <v>114949.78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5.9880000000000003E-3</v>
      </c>
      <c r="I92" s="101">
        <f t="shared" ref="I92:I96" si="14">ROUND(F92*H92,2)</f>
        <v>69142.77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4.849E-3</v>
      </c>
      <c r="I94" s="101">
        <f t="shared" si="14"/>
        <v>1303490.1299999999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4.849E-3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5.1770000000000002E-3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1110.7520999999999</v>
      </c>
      <c r="D106" s="822"/>
      <c r="E106" s="46">
        <f>H8</f>
        <v>1.0355000000000001</v>
      </c>
      <c r="F106" s="302">
        <f>'1461'!F106</f>
        <v>917.3</v>
      </c>
      <c r="G106" s="39" t="s">
        <v>12</v>
      </c>
      <c r="H106" s="94">
        <f>ROUND(C106*E106*F106,2)</f>
        <v>1055063.6000000001</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1110.7520999999999</v>
      </c>
      <c r="D107" s="812"/>
      <c r="E107" s="123"/>
      <c r="F107" s="123"/>
      <c r="G107" s="123"/>
      <c r="H107" s="124" t="s">
        <v>100</v>
      </c>
      <c r="I107" s="101">
        <f>IF(A1=75,0,H106+H105+H104)</f>
        <v>1055063.6000000001</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8"/>
      <c r="D110" s="8"/>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784</v>
      </c>
      <c r="D113" s="143">
        <v>796</v>
      </c>
      <c r="E113" s="116">
        <f>(C113+D113)/2</f>
        <v>790</v>
      </c>
      <c r="F113" s="126" t="s">
        <v>30</v>
      </c>
      <c r="G113" s="303">
        <f>'1461'!G113</f>
        <v>617</v>
      </c>
      <c r="I113" s="101">
        <f>ROUND(G113*E113,2)</f>
        <v>487430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9729385.0600000005</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9283844.7300000004</v>
      </c>
      <c r="N130" s="863" t="s">
        <v>33</v>
      </c>
      <c r="O130" s="863"/>
      <c r="P130" s="863"/>
      <c r="Q130" s="863"/>
      <c r="R130" s="863"/>
      <c r="S130" s="863"/>
      <c r="T130" s="863"/>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448</v>
      </c>
      <c r="B132" s="804"/>
      <c r="C132" s="804"/>
      <c r="D132" s="804"/>
      <c r="E132" s="804"/>
      <c r="F132" s="804"/>
      <c r="G132" s="804"/>
      <c r="H132" s="81" t="s">
        <v>351</v>
      </c>
      <c r="I132" s="134"/>
      <c r="N132" s="28"/>
      <c r="O132" s="28"/>
      <c r="P132" s="28"/>
      <c r="Q132" s="28"/>
      <c r="R132" s="28"/>
      <c r="S132" s="28"/>
      <c r="T132" s="28"/>
      <c r="U132" s="138"/>
    </row>
    <row r="133" spans="1:21" x14ac:dyDescent="0.25">
      <c r="A133" s="804" t="s">
        <v>70</v>
      </c>
      <c r="B133" s="804"/>
      <c r="C133" s="804"/>
      <c r="D133" s="804"/>
      <c r="E133" s="804"/>
      <c r="F133" s="804"/>
      <c r="G133" s="804"/>
      <c r="H133" s="70" t="str">
        <f>IF(E30=0,"",IF((E15+E17+SUM(E19:E25))/E30&gt;0.75,1,""))</f>
        <v/>
      </c>
      <c r="I133" s="116">
        <f>U130</f>
        <v>0</v>
      </c>
      <c r="N133" s="28"/>
      <c r="O133" s="28"/>
      <c r="P133" s="28"/>
      <c r="Q133" s="28"/>
      <c r="R133" s="28"/>
      <c r="S133" s="28"/>
      <c r="T133" s="28"/>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9283844.7300000004</v>
      </c>
      <c r="I135" s="94">
        <f>ROUND(IF(E30=0,0,IF(E30&gt;250,-(((250/E30)*H135)*IF(G135="H",0.02,0.05)),IF(G135="H",-0.02*H135,-0.05*H135))),2)</f>
        <v>-41645.040000000001</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9687740.0200000014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Payments'!Q73</f>
        <v>-795164.86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8892575.160000002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808415.92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144031.85459999999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387</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388</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389</v>
      </c>
      <c r="B155" s="360"/>
      <c r="C155" s="360"/>
      <c r="D155" s="360"/>
      <c r="E155" s="360"/>
      <c r="F155" s="360"/>
      <c r="G155" s="360"/>
      <c r="H155" s="360"/>
      <c r="I155" s="360"/>
      <c r="N155" s="896"/>
      <c r="O155" s="896"/>
      <c r="P155" s="896"/>
      <c r="Q155" s="896"/>
      <c r="R155" s="896"/>
      <c r="S155" s="896"/>
      <c r="T155" s="896"/>
      <c r="U155" s="896"/>
    </row>
    <row r="156" spans="1:21" s="76" customFormat="1" x14ac:dyDescent="0.2">
      <c r="A156" s="358" t="s">
        <v>390</v>
      </c>
      <c r="B156" s="360"/>
      <c r="C156" s="360"/>
      <c r="D156" s="360"/>
      <c r="E156" s="360"/>
      <c r="F156" s="360"/>
      <c r="G156" s="360"/>
      <c r="H156" s="360"/>
      <c r="I156" s="360"/>
      <c r="N156" s="73"/>
      <c r="O156" s="73"/>
      <c r="P156" s="73"/>
      <c r="Q156" s="73"/>
      <c r="R156" s="73"/>
      <c r="S156" s="73"/>
      <c r="T156" s="73"/>
      <c r="U156" s="73"/>
    </row>
    <row r="157" spans="1:21" s="76" customFormat="1" x14ac:dyDescent="0.2">
      <c r="A157" s="358" t="s">
        <v>391</v>
      </c>
      <c r="B157" s="360"/>
      <c r="C157" s="360"/>
      <c r="D157" s="360"/>
      <c r="E157" s="360"/>
      <c r="F157" s="360"/>
      <c r="G157" s="360"/>
      <c r="H157" s="360"/>
      <c r="I157" s="360"/>
      <c r="N157" s="78"/>
      <c r="O157" s="79"/>
      <c r="P157" s="79"/>
      <c r="Q157" s="79"/>
      <c r="R157" s="79"/>
      <c r="S157" s="79"/>
      <c r="T157" s="79"/>
      <c r="U157" s="79"/>
    </row>
    <row r="158" spans="1:21" s="76" customFormat="1" x14ac:dyDescent="0.2">
      <c r="A158" s="358" t="s">
        <v>392</v>
      </c>
      <c r="B158" s="360"/>
      <c r="C158" s="360"/>
      <c r="D158" s="360"/>
      <c r="E158" s="360"/>
      <c r="F158" s="360"/>
      <c r="G158" s="360"/>
      <c r="H158" s="360"/>
      <c r="I158" s="360"/>
      <c r="N158" s="78"/>
    </row>
    <row r="159" spans="1:21" s="76" customFormat="1" x14ac:dyDescent="0.2">
      <c r="A159" s="358" t="s">
        <v>394</v>
      </c>
      <c r="B159" s="360"/>
      <c r="C159" s="360"/>
      <c r="D159" s="360"/>
      <c r="E159" s="360"/>
      <c r="F159" s="360"/>
      <c r="G159" s="360"/>
      <c r="H159" s="360"/>
      <c r="I159" s="360"/>
      <c r="N159" s="78"/>
    </row>
    <row r="160" spans="1:21" s="76" customFormat="1" x14ac:dyDescent="0.2">
      <c r="A160" s="364" t="s">
        <v>393</v>
      </c>
      <c r="B160" s="360"/>
      <c r="C160" s="360"/>
      <c r="D160" s="360"/>
      <c r="E160" s="360"/>
      <c r="F160" s="360"/>
      <c r="G160" s="360"/>
      <c r="H160" s="360"/>
      <c r="I160" s="360"/>
      <c r="N160" s="78"/>
    </row>
    <row r="161" spans="1:14" s="76" customFormat="1" x14ac:dyDescent="0.2">
      <c r="A161" s="358" t="s">
        <v>395</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398</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400</v>
      </c>
      <c r="B165" s="360"/>
      <c r="C165" s="360"/>
      <c r="D165" s="360"/>
      <c r="E165" s="360"/>
      <c r="F165" s="360"/>
      <c r="G165" s="360"/>
      <c r="H165" s="360"/>
      <c r="I165" s="360"/>
      <c r="N165" s="78"/>
    </row>
    <row r="166" spans="1:14" s="76" customFormat="1" ht="15.75" customHeight="1" x14ac:dyDescent="0.2">
      <c r="A166" s="364" t="s">
        <v>399</v>
      </c>
      <c r="B166" s="360"/>
      <c r="C166" s="360"/>
      <c r="D166" s="360"/>
      <c r="E166" s="360"/>
      <c r="F166" s="360"/>
      <c r="G166" s="360"/>
      <c r="H166" s="360"/>
      <c r="I166" s="360"/>
      <c r="N166" s="78"/>
    </row>
    <row r="167" spans="1:14" s="76" customFormat="1" ht="15.75" customHeight="1" x14ac:dyDescent="0.2">
      <c r="A167" s="358" t="s">
        <v>401</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403</v>
      </c>
      <c r="B169" s="360"/>
      <c r="C169" s="360"/>
      <c r="D169" s="360"/>
      <c r="E169" s="360"/>
      <c r="F169" s="360"/>
      <c r="G169" s="360"/>
      <c r="H169" s="360"/>
      <c r="I169" s="360"/>
      <c r="N169" s="78"/>
    </row>
    <row r="170" spans="1:14" s="76" customFormat="1" ht="15.75" customHeight="1" x14ac:dyDescent="0.2">
      <c r="A170" s="364" t="s">
        <v>402</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404</v>
      </c>
      <c r="B175" s="370"/>
      <c r="C175" s="370"/>
      <c r="D175" s="370"/>
      <c r="E175" s="370"/>
      <c r="F175" s="370"/>
      <c r="G175" s="370"/>
      <c r="H175" s="370"/>
      <c r="I175" s="370"/>
      <c r="J175" s="3"/>
      <c r="K175" s="3"/>
      <c r="L175" s="3"/>
      <c r="M175" s="3"/>
      <c r="N175" s="78"/>
    </row>
    <row r="176" spans="1:14" s="76" customFormat="1" ht="15.75" customHeight="1" x14ac:dyDescent="0.2">
      <c r="A176" s="376" t="s">
        <v>405</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58">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CCCC"/>
  </sheetPr>
  <dimension ref="A1:V221"/>
  <sheetViews>
    <sheetView topLeftCell="A108" workbookViewId="0">
      <selection activeCell="J66" sqref="J66"/>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111</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26.65</v>
      </c>
      <c r="D19" s="143">
        <v>0</v>
      </c>
      <c r="E19" s="116">
        <f t="shared" si="1"/>
        <v>53.3</v>
      </c>
      <c r="F19" s="850">
        <f>'1461'!F19:G19</f>
        <v>0.97199999999999998</v>
      </c>
      <c r="G19" s="850"/>
      <c r="H19" s="80">
        <f t="shared" si="2"/>
        <v>51.807600000000001</v>
      </c>
      <c r="I19" s="101">
        <f>ROUND(ROUND(ROUND(H19*$C$8,4)*($H$8),2)*(MAX($H$9,1)),2)</f>
        <v>288222.64</v>
      </c>
      <c r="J19" s="65" t="str">
        <f>IF(ROUND(E19,2)=ROUND(SUM(E63:E65),2)," ","CHECK 4-8 LINES BELOW")</f>
        <v xml:space="preserve"> </v>
      </c>
      <c r="N19" s="851" t="s">
        <v>25</v>
      </c>
      <c r="O19" s="851"/>
      <c r="P19" s="848">
        <f>IF($H$133=1,E19,0)</f>
        <v>53.3</v>
      </c>
      <c r="Q19" s="848"/>
      <c r="R19" s="852">
        <v>1</v>
      </c>
      <c r="S19" s="852"/>
      <c r="T19" s="95">
        <f t="shared" si="4"/>
        <v>53.3</v>
      </c>
      <c r="U19" s="490">
        <f>ROUND(ROUND(ROUND(T19*$C$8,4)*($H$8),2)*(MAX($H$9,1)),2)</f>
        <v>296525.34999999998</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10.43</v>
      </c>
      <c r="D22" s="143">
        <v>0</v>
      </c>
      <c r="E22" s="116">
        <f t="shared" si="1"/>
        <v>20.86</v>
      </c>
      <c r="F22" s="850">
        <f>'1461'!F22:G22</f>
        <v>3.609</v>
      </c>
      <c r="G22" s="850"/>
      <c r="H22" s="80">
        <f t="shared" si="2"/>
        <v>75.283699999999996</v>
      </c>
      <c r="I22" s="101">
        <f t="shared" si="3"/>
        <v>418827.86</v>
      </c>
      <c r="N22" s="851" t="s">
        <v>81</v>
      </c>
      <c r="O22" s="851"/>
      <c r="P22" s="848">
        <f t="shared" si="0"/>
        <v>20.86</v>
      </c>
      <c r="Q22" s="848"/>
      <c r="R22" s="852">
        <v>1</v>
      </c>
      <c r="S22" s="852"/>
      <c r="T22" s="95">
        <f t="shared" si="4"/>
        <v>20.86</v>
      </c>
      <c r="U22" s="491">
        <f t="shared" si="5"/>
        <v>116051.01</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37.08</v>
      </c>
      <c r="D30" s="94">
        <f>SUM(D14:D29)</f>
        <v>0</v>
      </c>
      <c r="E30" s="94">
        <f>SUM(E14:E29)</f>
        <v>74.16</v>
      </c>
      <c r="F30" s="808"/>
      <c r="G30" s="808"/>
      <c r="H30" s="99">
        <f>SUM(H14:H29)</f>
        <v>127.09129999999999</v>
      </c>
      <c r="I30" s="94">
        <f>SUM(I14:I29)</f>
        <v>707050.5</v>
      </c>
      <c r="N30" s="855" t="s">
        <v>5</v>
      </c>
      <c r="O30" s="855"/>
      <c r="P30" s="856">
        <f>SUM(P14:P29)</f>
        <v>74.16</v>
      </c>
      <c r="Q30" s="856"/>
      <c r="R30" s="857"/>
      <c r="S30" s="857"/>
      <c r="T30" s="100">
        <f>SUM(T14:T29)</f>
        <v>74.16</v>
      </c>
      <c r="U30" s="491">
        <f>SUM(U14:U29)</f>
        <v>412576.36</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127.09129999999999</v>
      </c>
      <c r="F46" s="34"/>
      <c r="G46" s="106"/>
      <c r="H46" s="107" t="s">
        <v>98</v>
      </c>
      <c r="I46" s="94">
        <f>SUM(I44,I30)</f>
        <v>707050.5</v>
      </c>
      <c r="N46" s="863" t="s">
        <v>44</v>
      </c>
      <c r="O46" s="863"/>
      <c r="P46" s="863"/>
      <c r="Q46" s="863"/>
      <c r="R46" s="35">
        <f>R44+T30</f>
        <v>74.16</v>
      </c>
      <c r="S46" s="857" t="s">
        <v>42</v>
      </c>
      <c r="T46" s="857"/>
      <c r="U46" s="108">
        <f>SUM(U44,U30)</f>
        <v>412576.36</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707050.5</v>
      </c>
      <c r="G51" s="109" t="s">
        <v>6</v>
      </c>
      <c r="H51" s="420">
        <f>'1461'!H51</f>
        <v>6.6699999999999995E-2</v>
      </c>
      <c r="I51" s="101">
        <f>ROUND(F51*H51,2)</f>
        <v>47160.27</v>
      </c>
      <c r="N51" s="425"/>
      <c r="O51" s="426" t="s">
        <v>556</v>
      </c>
      <c r="P51" s="28"/>
      <c r="Q51" s="44" t="s">
        <v>414</v>
      </c>
      <c r="R51" s="427">
        <f>U30</f>
        <v>412576.36</v>
      </c>
      <c r="S51" s="428" t="s">
        <v>6</v>
      </c>
      <c r="T51" s="429">
        <v>6.6699999999999995E-2</v>
      </c>
      <c r="U51" s="421">
        <f>ROUND(R51*T51,2)</f>
        <v>27518.84</v>
      </c>
    </row>
    <row r="52" spans="1:22" x14ac:dyDescent="0.25">
      <c r="A52" s="26"/>
      <c r="B52" s="575" t="str">
        <f>'1461'!B52</f>
        <v>Growth Portion (0.54% of Conference Funding)</v>
      </c>
      <c r="C52" s="26"/>
      <c r="D52" s="26"/>
      <c r="E52" s="43" t="s">
        <v>414</v>
      </c>
      <c r="F52" s="419">
        <v>707050.5</v>
      </c>
      <c r="G52" s="109" t="s">
        <v>6</v>
      </c>
      <c r="H52" s="420">
        <f>'1461'!H52</f>
        <v>5.4000000000000003E-3</v>
      </c>
      <c r="I52" s="101">
        <f>ROUND(F52*H52,2)</f>
        <v>3818.07</v>
      </c>
      <c r="N52" s="28"/>
      <c r="O52" s="757" t="s">
        <v>560</v>
      </c>
      <c r="P52" s="28"/>
      <c r="Q52" s="44" t="s">
        <v>414</v>
      </c>
      <c r="R52" s="427">
        <f>U30</f>
        <v>412576.36</v>
      </c>
      <c r="S52" s="428" t="s">
        <v>6</v>
      </c>
      <c r="T52" s="429">
        <v>5.4000000000000003E-3</v>
      </c>
      <c r="U52" s="430">
        <f>ROUND(R52*T52,2)</f>
        <v>2227.91</v>
      </c>
    </row>
    <row r="53" spans="1:22" x14ac:dyDescent="0.25">
      <c r="A53" s="26"/>
      <c r="B53" s="81" t="s">
        <v>415</v>
      </c>
      <c r="C53" s="26"/>
      <c r="D53" s="26"/>
      <c r="E53" s="43"/>
      <c r="F53" s="419"/>
      <c r="G53" s="109"/>
      <c r="H53" s="420"/>
      <c r="I53" s="97">
        <f>SUM(I51:I52)</f>
        <v>50978.34</v>
      </c>
      <c r="N53" s="28"/>
      <c r="O53" s="402" t="s">
        <v>415</v>
      </c>
      <c r="P53" s="28"/>
      <c r="Q53" s="44"/>
      <c r="R53" s="427"/>
      <c r="S53" s="428"/>
      <c r="T53" s="429"/>
      <c r="U53" s="421">
        <f>SUM(U51:U52)</f>
        <v>29746.75</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2" si="10">IF(D$72=0,C57*2,C57+D57)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IF(D$66=0,C63*2,C63+D63)</f>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0.5</v>
      </c>
      <c r="D64" s="143">
        <v>0</v>
      </c>
      <c r="E64" s="116">
        <f>IF(D$66=0,C64*2,C64+D64)</f>
        <v>1</v>
      </c>
      <c r="F64" s="462" t="s">
        <v>14</v>
      </c>
      <c r="G64" s="461">
        <v>252</v>
      </c>
      <c r="H64" s="475">
        <f>'1461'!H64</f>
        <v>3168</v>
      </c>
      <c r="I64" s="101">
        <f t="shared" si="11"/>
        <v>3168</v>
      </c>
      <c r="N64" s="866"/>
      <c r="O64" s="866"/>
      <c r="P64" s="868"/>
      <c r="Q64" s="868"/>
      <c r="R64" s="40" t="s">
        <v>14</v>
      </c>
      <c r="S64" s="467">
        <v>252</v>
      </c>
      <c r="T64" s="478">
        <f t="shared" si="12"/>
        <v>3168</v>
      </c>
      <c r="U64" s="492">
        <f t="shared" si="13"/>
        <v>0</v>
      </c>
      <c r="V64" s="442"/>
    </row>
    <row r="65" spans="1:22" ht="16.5" thickBot="1" x14ac:dyDescent="0.3">
      <c r="A65" s="815"/>
      <c r="B65" s="815"/>
      <c r="C65" s="143">
        <v>26.15</v>
      </c>
      <c r="D65" s="143">
        <v>0</v>
      </c>
      <c r="E65" s="116">
        <f>IF(D$66=0,C65*2,C65+D65)</f>
        <v>52.3</v>
      </c>
      <c r="F65" s="462" t="s">
        <v>14</v>
      </c>
      <c r="G65" s="461">
        <v>253</v>
      </c>
      <c r="H65" s="475">
        <f>'1461'!H65</f>
        <v>6685</v>
      </c>
      <c r="I65" s="101">
        <f t="shared" si="11"/>
        <v>349625.5</v>
      </c>
      <c r="N65" s="866"/>
      <c r="O65" s="866"/>
      <c r="P65" s="874"/>
      <c r="Q65" s="874"/>
      <c r="R65" s="40" t="s">
        <v>14</v>
      </c>
      <c r="S65" s="467">
        <v>253</v>
      </c>
      <c r="T65" s="478">
        <f t="shared" si="12"/>
        <v>6685</v>
      </c>
      <c r="U65" s="493">
        <f t="shared" si="13"/>
        <v>0</v>
      </c>
      <c r="V65" s="442"/>
    </row>
    <row r="66" spans="1:22" ht="16.5" thickBot="1" x14ac:dyDescent="0.3">
      <c r="A66" s="458"/>
      <c r="C66" s="97">
        <f>SUM(C57:C65)</f>
        <v>26.65</v>
      </c>
      <c r="D66" s="97">
        <f>SUM(D57:D65)</f>
        <v>0</v>
      </c>
      <c r="E66" s="97">
        <f>SUM(E57:E65)</f>
        <v>53.3</v>
      </c>
      <c r="F66" s="816" t="s">
        <v>460</v>
      </c>
      <c r="G66" s="816"/>
      <c r="H66" s="816"/>
      <c r="I66" s="97">
        <f>SUM(I57:I65)</f>
        <v>352793.5</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74.16</v>
      </c>
      <c r="D69" s="791" t="s">
        <v>427</v>
      </c>
      <c r="E69" s="791"/>
      <c r="F69" s="791"/>
      <c r="G69" s="791"/>
      <c r="H69" s="299">
        <f>'1461'!H69</f>
        <v>215320.92</v>
      </c>
      <c r="I69" s="113"/>
      <c r="N69" s="870" t="s">
        <v>420</v>
      </c>
      <c r="O69" s="851"/>
      <c r="P69" s="41">
        <f>P30</f>
        <v>74.16</v>
      </c>
      <c r="Q69" s="871" t="s">
        <v>422</v>
      </c>
      <c r="R69" s="872"/>
      <c r="S69" s="872"/>
      <c r="T69" s="873">
        <f>H69</f>
        <v>215320.92</v>
      </c>
      <c r="U69" s="873"/>
    </row>
    <row r="70" spans="1:22" x14ac:dyDescent="0.25">
      <c r="B70" s="69"/>
      <c r="G70" s="42" t="s">
        <v>12</v>
      </c>
      <c r="H70" s="114">
        <f>ROUND(C69/H69,6)</f>
        <v>3.4400000000000001E-4</v>
      </c>
      <c r="I70" s="115"/>
      <c r="N70" s="851"/>
      <c r="O70" s="851"/>
      <c r="P70" s="851"/>
      <c r="Q70" s="851"/>
      <c r="R70" s="851"/>
      <c r="S70" s="851"/>
      <c r="T70" s="869">
        <f>ROUND(P69/T69,6)</f>
        <v>3.4400000000000001E-4</v>
      </c>
      <c r="U70" s="869"/>
    </row>
    <row r="71" spans="1:22" x14ac:dyDescent="0.25">
      <c r="A71" s="460" t="s">
        <v>463</v>
      </c>
      <c r="N71" s="471" t="s">
        <v>471</v>
      </c>
      <c r="O71" s="51"/>
      <c r="P71" s="51"/>
      <c r="Q71" s="51"/>
      <c r="R71" s="51"/>
      <c r="S71" s="51"/>
      <c r="T71" s="51"/>
      <c r="U71" s="51"/>
    </row>
    <row r="72" spans="1:22" x14ac:dyDescent="0.25">
      <c r="A72" s="810" t="s">
        <v>417</v>
      </c>
      <c r="B72" s="804"/>
      <c r="C72" s="112">
        <f>H30</f>
        <v>127.09129999999999</v>
      </c>
      <c r="D72" s="791" t="s">
        <v>428</v>
      </c>
      <c r="E72" s="791"/>
      <c r="F72" s="791"/>
      <c r="G72" s="791"/>
      <c r="H72" s="300">
        <f>'1461'!H72</f>
        <v>229051.25000000003</v>
      </c>
      <c r="I72" s="116"/>
      <c r="N72" s="870" t="s">
        <v>421</v>
      </c>
      <c r="O72" s="851"/>
      <c r="P72" s="41">
        <f>T30</f>
        <v>74.16</v>
      </c>
      <c r="Q72" s="871" t="s">
        <v>423</v>
      </c>
      <c r="R72" s="872"/>
      <c r="S72" s="872"/>
      <c r="T72" s="873">
        <f>H72</f>
        <v>229051.25000000003</v>
      </c>
      <c r="U72" s="873"/>
    </row>
    <row r="73" spans="1:22" x14ac:dyDescent="0.25">
      <c r="G73" s="42" t="s">
        <v>12</v>
      </c>
      <c r="H73" s="114">
        <f>ROUND(C72/H72,6)</f>
        <v>5.5500000000000005E-4</v>
      </c>
      <c r="I73" s="114"/>
      <c r="N73" s="851"/>
      <c r="O73" s="851"/>
      <c r="P73" s="851"/>
      <c r="Q73" s="851"/>
      <c r="R73" s="851"/>
      <c r="S73" s="851"/>
      <c r="T73" s="869">
        <f>ROUND(P72/T72,6)</f>
        <v>3.2400000000000001E-4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74.16</v>
      </c>
      <c r="D75" s="783" t="s">
        <v>429</v>
      </c>
      <c r="E75" s="783"/>
      <c r="F75" s="783"/>
      <c r="G75" s="783"/>
      <c r="H75" s="299">
        <f>'1461'!H75</f>
        <v>186156.17</v>
      </c>
      <c r="I75" s="113"/>
      <c r="N75" s="870" t="s">
        <v>419</v>
      </c>
      <c r="O75" s="851"/>
      <c r="P75" s="41">
        <f>P30</f>
        <v>74.16</v>
      </c>
      <c r="Q75" s="878" t="s">
        <v>424</v>
      </c>
      <c r="R75" s="879"/>
      <c r="S75" s="879"/>
      <c r="T75" s="873">
        <f>H75</f>
        <v>186156.17</v>
      </c>
      <c r="U75" s="873"/>
    </row>
    <row r="76" spans="1:22" x14ac:dyDescent="0.25">
      <c r="B76" s="69"/>
      <c r="G76" s="42" t="s">
        <v>12</v>
      </c>
      <c r="H76" s="114">
        <f>ROUND(C75/H75,6)</f>
        <v>3.9800000000000002E-4</v>
      </c>
      <c r="I76" s="115"/>
      <c r="N76" s="851"/>
      <c r="O76" s="851"/>
      <c r="P76" s="851"/>
      <c r="Q76" s="851"/>
      <c r="R76" s="851"/>
      <c r="S76" s="851"/>
      <c r="T76" s="869">
        <f>ROUND(P75/T75,6)</f>
        <v>3.9800000000000002E-4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74.16</v>
      </c>
      <c r="D78" s="811" t="s">
        <v>430</v>
      </c>
      <c r="E78" s="811"/>
      <c r="F78" s="811"/>
      <c r="G78" s="811"/>
      <c r="H78" s="299">
        <f>'1461'!H78</f>
        <v>215016.58000000002</v>
      </c>
      <c r="I78" s="113"/>
      <c r="N78" s="870" t="s">
        <v>419</v>
      </c>
      <c r="O78" s="851"/>
      <c r="P78" s="41">
        <f>P30</f>
        <v>74.16</v>
      </c>
      <c r="Q78" s="876" t="s">
        <v>425</v>
      </c>
      <c r="R78" s="877"/>
      <c r="S78" s="877"/>
      <c r="T78" s="873">
        <f>H78</f>
        <v>215016.58000000002</v>
      </c>
      <c r="U78" s="873"/>
    </row>
    <row r="79" spans="1:22" x14ac:dyDescent="0.25">
      <c r="B79" s="69"/>
      <c r="G79" s="42" t="s">
        <v>12</v>
      </c>
      <c r="H79" s="114">
        <f>ROUND(C78/H78,6)</f>
        <v>3.4499999999999998E-4</v>
      </c>
      <c r="I79" s="115"/>
      <c r="N79" s="851"/>
      <c r="O79" s="851"/>
      <c r="P79" s="851"/>
      <c r="Q79" s="851"/>
      <c r="R79" s="851"/>
      <c r="S79" s="851"/>
      <c r="T79" s="869">
        <f>ROUND(P78/T78,6)</f>
        <v>3.4499999999999998E-4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74.16</v>
      </c>
      <c r="D81" s="783" t="s">
        <v>431</v>
      </c>
      <c r="E81" s="783"/>
      <c r="F81" s="783"/>
      <c r="G81" s="783"/>
      <c r="H81" s="299">
        <f>'1461'!H81</f>
        <v>185851.83000000002</v>
      </c>
      <c r="I81" s="113"/>
      <c r="N81" s="870" t="s">
        <v>432</v>
      </c>
      <c r="O81" s="851"/>
      <c r="P81" s="41">
        <f>P30</f>
        <v>74.16</v>
      </c>
      <c r="Q81" s="878" t="s">
        <v>433</v>
      </c>
      <c r="R81" s="879"/>
      <c r="S81" s="879"/>
      <c r="T81" s="873">
        <f>H81</f>
        <v>185851.83000000002</v>
      </c>
      <c r="U81" s="873"/>
    </row>
    <row r="82" spans="1:21" x14ac:dyDescent="0.25">
      <c r="B82" s="69"/>
      <c r="G82" s="42" t="s">
        <v>12</v>
      </c>
      <c r="H82" s="114">
        <f>ROUND(C81/H81,6)</f>
        <v>3.9899999999999999E-4</v>
      </c>
      <c r="I82" s="115"/>
      <c r="N82" s="851"/>
      <c r="O82" s="851"/>
      <c r="P82" s="851"/>
      <c r="Q82" s="851"/>
      <c r="R82" s="851"/>
      <c r="S82" s="851"/>
      <c r="T82" s="869">
        <f>ROUND(P81/T81,6)</f>
        <v>3.9899999999999999E-4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3.4499999999999998E-4</v>
      </c>
      <c r="I85" s="101">
        <f>ROUND(F85*H85,2)</f>
        <v>16315.31</v>
      </c>
      <c r="N85" s="471" t="s">
        <v>467</v>
      </c>
      <c r="O85" s="51"/>
      <c r="P85" s="51"/>
      <c r="Q85" s="44"/>
      <c r="R85" s="437">
        <f>F85</f>
        <v>47290747</v>
      </c>
      <c r="S85" s="38" t="s">
        <v>6</v>
      </c>
      <c r="T85" s="439">
        <f>T79</f>
        <v>3.4499999999999998E-4</v>
      </c>
      <c r="U85" s="491">
        <f>ROUND(R85*T85,2)</f>
        <v>16315.31</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3.4400000000000001E-4</v>
      </c>
      <c r="I88" s="101">
        <f>ROUND(F88*H88,2)</f>
        <v>0</v>
      </c>
      <c r="N88" s="880" t="s">
        <v>99</v>
      </c>
      <c r="O88" s="851"/>
      <c r="P88" s="851"/>
      <c r="Q88" s="44"/>
      <c r="R88" s="437">
        <f>F88</f>
        <v>0</v>
      </c>
      <c r="S88" s="38" t="s">
        <v>6</v>
      </c>
      <c r="T88" s="439">
        <f>T70</f>
        <v>3.4400000000000001E-4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3.9899999999999999E-4</v>
      </c>
      <c r="I90" s="101">
        <f>ROUND(F90*H90,2)</f>
        <v>7647.98</v>
      </c>
      <c r="N90" s="471" t="s">
        <v>468</v>
      </c>
      <c r="O90" s="51"/>
      <c r="P90" s="51"/>
      <c r="Q90" s="44"/>
      <c r="R90" s="437">
        <f>F90</f>
        <v>19167881</v>
      </c>
      <c r="S90" s="38" t="s">
        <v>6</v>
      </c>
      <c r="T90" s="439">
        <f>T82</f>
        <v>3.9899999999999999E-4</v>
      </c>
      <c r="U90" s="491">
        <f>ROUND(R90*T90,2)</f>
        <v>7647.98</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3.9800000000000002E-4</v>
      </c>
      <c r="I92" s="101">
        <f t="shared" ref="I92:I96" si="14">ROUND(F92*H92,2)</f>
        <v>4595.66</v>
      </c>
      <c r="N92" s="471" t="s">
        <v>469</v>
      </c>
      <c r="O92" s="51"/>
      <c r="P92" s="51"/>
      <c r="Q92" s="44"/>
      <c r="R92" s="437">
        <f t="shared" ref="R92:R96" si="15">F92</f>
        <v>11546889</v>
      </c>
      <c r="S92" s="38" t="s">
        <v>6</v>
      </c>
      <c r="T92" s="439">
        <f>T76</f>
        <v>3.9800000000000002E-4</v>
      </c>
      <c r="U92" s="491">
        <f>ROUND(R92*T92,2)</f>
        <v>4595.66</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5.5500000000000005E-4</v>
      </c>
      <c r="I94" s="101">
        <f t="shared" si="14"/>
        <v>149193.03</v>
      </c>
      <c r="N94" s="851" t="s">
        <v>435</v>
      </c>
      <c r="O94" s="851"/>
      <c r="P94" s="851"/>
      <c r="Q94" s="44"/>
      <c r="R94" s="437">
        <f t="shared" si="15"/>
        <v>268816278</v>
      </c>
      <c r="S94" s="38" t="s">
        <v>6</v>
      </c>
      <c r="T94" s="439">
        <f>T73</f>
        <v>3.2400000000000001E-4</v>
      </c>
      <c r="U94" s="491">
        <f>ROUND(R94*T94,2)</f>
        <v>87096.47</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5.5500000000000005E-4</v>
      </c>
      <c r="I96" s="101">
        <f t="shared" si="14"/>
        <v>0</v>
      </c>
      <c r="N96" s="870" t="s">
        <v>436</v>
      </c>
      <c r="O96" s="851"/>
      <c r="P96" s="851"/>
      <c r="Q96" s="44"/>
      <c r="R96" s="437">
        <f t="shared" si="15"/>
        <v>0</v>
      </c>
      <c r="S96" s="38" t="s">
        <v>6</v>
      </c>
      <c r="T96" s="439">
        <f>T73</f>
        <v>3.2400000000000001E-4</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3.4400000000000001E-4</v>
      </c>
      <c r="I98" s="101">
        <f t="shared" ref="I98" si="16">ROUND(F98*H98,2)</f>
        <v>0</v>
      </c>
      <c r="N98" s="550" t="s">
        <v>507</v>
      </c>
      <c r="O98" s="550"/>
      <c r="P98" s="550"/>
      <c r="Q98" s="44"/>
      <c r="R98" s="553">
        <f>F98</f>
        <v>0</v>
      </c>
      <c r="S98" s="551" t="s">
        <v>6</v>
      </c>
      <c r="T98" s="439">
        <f>T70</f>
        <v>3.4400000000000001E-4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81"/>
      <c r="B100" s="69"/>
      <c r="C100" s="69"/>
      <c r="D100" s="69"/>
      <c r="E100" s="43"/>
      <c r="F100" s="117"/>
      <c r="G100" s="37"/>
      <c r="H100" s="440"/>
      <c r="I100" s="101"/>
      <c r="N100" s="402"/>
      <c r="O100" s="45"/>
      <c r="P100" s="45"/>
      <c r="Q100" s="44"/>
      <c r="R100" s="438"/>
      <c r="S100" s="38"/>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127.09129999999999</v>
      </c>
      <c r="D106" s="822"/>
      <c r="E106" s="46">
        <f>H8</f>
        <v>1.0355000000000001</v>
      </c>
      <c r="F106" s="302">
        <f>'1461'!F106</f>
        <v>917.3</v>
      </c>
      <c r="G106" s="39" t="s">
        <v>12</v>
      </c>
      <c r="H106" s="94">
        <f>ROUND(C106*E106*F106,2)</f>
        <v>120719.47</v>
      </c>
      <c r="N106" s="53" t="s">
        <v>14</v>
      </c>
      <c r="O106" s="54">
        <f>T18+T19+T22+T25+T28+T29</f>
        <v>74.16</v>
      </c>
      <c r="P106" s="881">
        <f>T8</f>
        <v>1.0355000000000001</v>
      </c>
      <c r="Q106" s="881"/>
      <c r="R106" s="48">
        <f>F106</f>
        <v>917.3</v>
      </c>
      <c r="S106" s="40" t="s">
        <v>12</v>
      </c>
      <c r="T106" s="497">
        <f>ROUND(O106*P106*R106,2)</f>
        <v>70441.929999999993</v>
      </c>
      <c r="U106" s="51"/>
    </row>
    <row r="107" spans="1:21" ht="16.5" thickBot="1" x14ac:dyDescent="0.3">
      <c r="A107" s="55"/>
      <c r="B107" s="122" t="s">
        <v>102</v>
      </c>
      <c r="C107" s="812">
        <f>SUM(C104:C106)</f>
        <v>127.09129999999999</v>
      </c>
      <c r="D107" s="812"/>
      <c r="E107" s="123"/>
      <c r="F107" s="123"/>
      <c r="G107" s="123"/>
      <c r="H107" s="124" t="s">
        <v>100</v>
      </c>
      <c r="I107" s="101">
        <f>IF(A1=75,0,H106+H105+H104)</f>
        <v>120719.47</v>
      </c>
      <c r="N107" s="56" t="s">
        <v>89</v>
      </c>
      <c r="O107" s="57">
        <f>SUM(O104:O106)</f>
        <v>74.16</v>
      </c>
      <c r="P107" s="887" t="s">
        <v>16</v>
      </c>
      <c r="Q107" s="888"/>
      <c r="R107" s="888"/>
      <c r="S107" s="888"/>
      <c r="T107" s="888"/>
      <c r="U107" s="491">
        <f>IF(N1=75,0,T106+T105+T104)</f>
        <v>70441.929999999993</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8"/>
      <c r="D110" s="8"/>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36</v>
      </c>
      <c r="D113" s="143">
        <v>34</v>
      </c>
      <c r="E113" s="116">
        <f>(C113+D113)/2</f>
        <v>35</v>
      </c>
      <c r="F113" s="126" t="s">
        <v>30</v>
      </c>
      <c r="G113" s="303">
        <f>'1461'!G113</f>
        <v>617</v>
      </c>
      <c r="I113" s="101">
        <f>ROUND(G113*E113,2)</f>
        <v>21595</v>
      </c>
      <c r="N113" s="885" t="s">
        <v>52</v>
      </c>
      <c r="O113" s="885"/>
      <c r="P113" s="886">
        <f>IF(H133=1,E113,0)</f>
        <v>35</v>
      </c>
      <c r="Q113" s="886"/>
      <c r="R113" s="886"/>
      <c r="S113" s="83" t="s">
        <v>30</v>
      </c>
      <c r="T113" s="58">
        <f>G113</f>
        <v>617</v>
      </c>
      <c r="U113" s="491">
        <f>ROUND(T113*P113,2)</f>
        <v>21595</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1379910.45</v>
      </c>
      <c r="N128" s="471"/>
      <c r="O128" s="470"/>
      <c r="P128" s="470"/>
      <c r="Q128" s="305"/>
      <c r="R128" s="305"/>
      <c r="S128" s="305"/>
      <c r="T128" s="305"/>
      <c r="U128" s="498">
        <f>SUM(U30,U85,U88,U90,U92,U94,U96,U107,U113,U114,U124,U126)</f>
        <v>620268.71</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1328932.1099999999</v>
      </c>
      <c r="N130" s="851" t="s">
        <v>447</v>
      </c>
      <c r="O130" s="851"/>
      <c r="P130" s="851"/>
      <c r="Q130" s="851"/>
      <c r="R130" s="851"/>
      <c r="S130" s="851"/>
      <c r="T130" s="851"/>
      <c r="U130" s="132">
        <f>U128-U53</f>
        <v>590521.96</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590521.96</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590521.96</v>
      </c>
      <c r="I135" s="94">
        <f>ROUND(IF(E30=0,0,IF(E30&gt;250,-(((250/E30)*H135)*IF(G135="H",0.02,0.05)),IF(G135="H",-0.02*H135,-0.05*H135))),2)</f>
        <v>-29526.1</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1350384.3499999999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Payments'!Q74</f>
        <v>-112200.54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1238183.8099999998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112562.16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387</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388</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389</v>
      </c>
      <c r="B155" s="360"/>
      <c r="C155" s="360"/>
      <c r="D155" s="360"/>
      <c r="E155" s="360"/>
      <c r="F155" s="360"/>
      <c r="G155" s="360"/>
      <c r="H155" s="360"/>
      <c r="I155" s="360"/>
      <c r="N155" s="896"/>
      <c r="O155" s="896"/>
      <c r="P155" s="896"/>
      <c r="Q155" s="896"/>
      <c r="R155" s="896"/>
      <c r="S155" s="896"/>
      <c r="T155" s="896"/>
      <c r="U155" s="896"/>
    </row>
    <row r="156" spans="1:21" s="76" customFormat="1" x14ac:dyDescent="0.2">
      <c r="A156" s="358" t="s">
        <v>390</v>
      </c>
      <c r="B156" s="360"/>
      <c r="C156" s="360"/>
      <c r="D156" s="360"/>
      <c r="E156" s="360"/>
      <c r="F156" s="360"/>
      <c r="G156" s="360"/>
      <c r="H156" s="360"/>
      <c r="I156" s="360"/>
      <c r="N156" s="73"/>
      <c r="O156" s="73"/>
      <c r="P156" s="73"/>
      <c r="Q156" s="73"/>
      <c r="R156" s="73"/>
      <c r="S156" s="73"/>
      <c r="T156" s="73"/>
      <c r="U156" s="73"/>
    </row>
    <row r="157" spans="1:21" s="76" customFormat="1" x14ac:dyDescent="0.2">
      <c r="A157" s="358" t="s">
        <v>391</v>
      </c>
      <c r="B157" s="360"/>
      <c r="C157" s="360"/>
      <c r="D157" s="360"/>
      <c r="E157" s="360"/>
      <c r="F157" s="360"/>
      <c r="G157" s="360"/>
      <c r="H157" s="360"/>
      <c r="I157" s="360"/>
      <c r="N157" s="78"/>
      <c r="O157" s="79"/>
      <c r="P157" s="79"/>
      <c r="Q157" s="79"/>
      <c r="R157" s="79"/>
      <c r="S157" s="79"/>
      <c r="T157" s="79"/>
      <c r="U157" s="79"/>
    </row>
    <row r="158" spans="1:21" s="76" customFormat="1" x14ac:dyDescent="0.2">
      <c r="A158" s="358" t="s">
        <v>392</v>
      </c>
      <c r="B158" s="360"/>
      <c r="C158" s="360"/>
      <c r="D158" s="360"/>
      <c r="E158" s="360"/>
      <c r="F158" s="360"/>
      <c r="G158" s="360"/>
      <c r="H158" s="360"/>
      <c r="I158" s="360"/>
      <c r="N158" s="78"/>
    </row>
    <row r="159" spans="1:21" s="76" customFormat="1" x14ac:dyDescent="0.2">
      <c r="A159" s="358" t="s">
        <v>394</v>
      </c>
      <c r="B159" s="360"/>
      <c r="C159" s="360"/>
      <c r="D159" s="360"/>
      <c r="E159" s="360"/>
      <c r="F159" s="360"/>
      <c r="G159" s="360"/>
      <c r="H159" s="360"/>
      <c r="I159" s="360"/>
      <c r="N159" s="78"/>
    </row>
    <row r="160" spans="1:21" s="76" customFormat="1" x14ac:dyDescent="0.2">
      <c r="A160" s="364" t="s">
        <v>393</v>
      </c>
      <c r="B160" s="360"/>
      <c r="C160" s="360"/>
      <c r="D160" s="360"/>
      <c r="E160" s="360"/>
      <c r="F160" s="360"/>
      <c r="G160" s="360"/>
      <c r="H160" s="360"/>
      <c r="I160" s="360"/>
      <c r="N160" s="78"/>
    </row>
    <row r="161" spans="1:14" s="76" customFormat="1" x14ac:dyDescent="0.2">
      <c r="A161" s="358" t="s">
        <v>395</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398</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400</v>
      </c>
      <c r="B165" s="360"/>
      <c r="C165" s="360"/>
      <c r="D165" s="360"/>
      <c r="E165" s="360"/>
      <c r="F165" s="360"/>
      <c r="G165" s="360"/>
      <c r="H165" s="360"/>
      <c r="I165" s="360"/>
      <c r="N165" s="78"/>
    </row>
    <row r="166" spans="1:14" s="76" customFormat="1" ht="15.75" customHeight="1" x14ac:dyDescent="0.2">
      <c r="A166" s="364" t="s">
        <v>399</v>
      </c>
      <c r="B166" s="360"/>
      <c r="C166" s="360"/>
      <c r="D166" s="360"/>
      <c r="E166" s="360"/>
      <c r="F166" s="360"/>
      <c r="G166" s="360"/>
      <c r="H166" s="360"/>
      <c r="I166" s="360"/>
      <c r="N166" s="78"/>
    </row>
    <row r="167" spans="1:14" s="76" customFormat="1" ht="15.75" customHeight="1" x14ac:dyDescent="0.2">
      <c r="A167" s="358" t="s">
        <v>401</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403</v>
      </c>
      <c r="B169" s="360"/>
      <c r="C169" s="360"/>
      <c r="D169" s="360"/>
      <c r="E169" s="360"/>
      <c r="F169" s="360"/>
      <c r="G169" s="360"/>
      <c r="H169" s="360"/>
      <c r="I169" s="360"/>
      <c r="N169" s="78"/>
    </row>
    <row r="170" spans="1:14" s="76" customFormat="1" ht="15.75" customHeight="1" x14ac:dyDescent="0.2">
      <c r="A170" s="364" t="s">
        <v>402</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404</v>
      </c>
      <c r="B175" s="370"/>
      <c r="C175" s="370"/>
      <c r="D175" s="370"/>
      <c r="E175" s="370"/>
      <c r="F175" s="370"/>
      <c r="G175" s="370"/>
      <c r="H175" s="370"/>
      <c r="I175" s="370"/>
      <c r="J175" s="3"/>
      <c r="K175" s="3"/>
      <c r="L175" s="3"/>
      <c r="M175" s="3"/>
      <c r="N175" s="78"/>
    </row>
    <row r="176" spans="1:14" s="76" customFormat="1" ht="15.75" customHeight="1" x14ac:dyDescent="0.2">
      <c r="A176" s="376" t="s">
        <v>405</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C104:D104"/>
    <mergeCell ref="P104:Q104"/>
    <mergeCell ref="C105:D105"/>
    <mergeCell ref="P105:Q105"/>
    <mergeCell ref="C106:D106"/>
    <mergeCell ref="P106:Q106"/>
    <mergeCell ref="C107:D107"/>
    <mergeCell ref="P107:T107"/>
    <mergeCell ref="A108:I108"/>
    <mergeCell ref="N108:U108"/>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A78:B78"/>
    <mergeCell ref="D78:G78"/>
    <mergeCell ref="N78:O78"/>
    <mergeCell ref="Q78:S78"/>
    <mergeCell ref="T78:U78"/>
    <mergeCell ref="N79:S79"/>
    <mergeCell ref="T79:U79"/>
    <mergeCell ref="A57:B65"/>
    <mergeCell ref="F66:H66"/>
    <mergeCell ref="P65:Q65"/>
    <mergeCell ref="P66:Q66"/>
    <mergeCell ref="R66:T66"/>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CCCC"/>
    <pageSetUpPr fitToPage="1"/>
  </sheetPr>
  <dimension ref="A1:V221"/>
  <sheetViews>
    <sheetView topLeftCell="A112" workbookViewId="0">
      <selection activeCell="C114" sqref="C11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bestFit="1"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535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IF(D$30=0,C15*2,C15+D15)</f>
        <v>0</v>
      </c>
      <c r="F15" s="850">
        <f>'1461'!F15:G15</f>
        <v>1.1080000000000001</v>
      </c>
      <c r="G15" s="850"/>
      <c r="H15" s="80">
        <f t="shared" ref="H15:H29" si="1">ROUND(E15*F15,4)</f>
        <v>0</v>
      </c>
      <c r="I15" s="101">
        <f t="shared" ref="I15:I29" si="2">ROUND(ROUND(ROUND(H15*$C$8,4)*($H$8),2)*(MAX($H$9,1)),2)</f>
        <v>0</v>
      </c>
      <c r="J15" s="65" t="str">
        <f>IF(ROUND(E15,2)=ROUND(SUM(E57:E59),2)," ","CHECK PK-3 LINES BELOW")</f>
        <v xml:space="preserve"> </v>
      </c>
      <c r="N15" s="851" t="s">
        <v>21</v>
      </c>
      <c r="O15" s="851"/>
      <c r="P15" s="848">
        <f t="shared" si="0"/>
        <v>0</v>
      </c>
      <c r="Q15" s="848"/>
      <c r="R15" s="852">
        <v>1</v>
      </c>
      <c r="S15" s="852"/>
      <c r="T15" s="95">
        <f t="shared" ref="T15:T29" si="3">ROUND(P15*R15,4)</f>
        <v>0</v>
      </c>
      <c r="U15" s="491">
        <f t="shared" ref="U15:U29" si="4">ROUND(ROUND(ROUND(T15*$C$8,4)*($H$8),2)*(MAX($H$9,1)),2)</f>
        <v>0</v>
      </c>
    </row>
    <row r="16" spans="1:21" x14ac:dyDescent="0.25">
      <c r="A16" s="804" t="s">
        <v>22</v>
      </c>
      <c r="B16" s="804"/>
      <c r="C16" s="143">
        <v>0</v>
      </c>
      <c r="D16" s="143">
        <v>0</v>
      </c>
      <c r="E16" s="116">
        <f t="shared" ref="E16:E29" si="5">IF(D$30=0,C16*2,C16+D16)</f>
        <v>0</v>
      </c>
      <c r="F16" s="850">
        <f>'1461'!F16:G16</f>
        <v>1</v>
      </c>
      <c r="G16" s="850"/>
      <c r="H16" s="80">
        <f t="shared" si="1"/>
        <v>0</v>
      </c>
      <c r="I16" s="101">
        <f t="shared" si="2"/>
        <v>0</v>
      </c>
      <c r="N16" s="851" t="s">
        <v>22</v>
      </c>
      <c r="O16" s="851"/>
      <c r="P16" s="848">
        <f t="shared" si="0"/>
        <v>0</v>
      </c>
      <c r="Q16" s="848"/>
      <c r="R16" s="852">
        <v>1</v>
      </c>
      <c r="S16" s="852"/>
      <c r="T16" s="95">
        <f t="shared" si="3"/>
        <v>0</v>
      </c>
      <c r="U16" s="491">
        <f t="shared" si="4"/>
        <v>0</v>
      </c>
    </row>
    <row r="17" spans="1:21" x14ac:dyDescent="0.25">
      <c r="A17" s="804" t="s">
        <v>23</v>
      </c>
      <c r="B17" s="804"/>
      <c r="C17" s="143">
        <v>0</v>
      </c>
      <c r="D17" s="143">
        <v>0</v>
      </c>
      <c r="E17" s="116">
        <f t="shared" si="5"/>
        <v>0</v>
      </c>
      <c r="F17" s="850">
        <f>'1461'!F17:G17</f>
        <v>1</v>
      </c>
      <c r="G17" s="850"/>
      <c r="H17" s="80">
        <f t="shared" si="1"/>
        <v>0</v>
      </c>
      <c r="I17" s="101">
        <f t="shared" si="2"/>
        <v>0</v>
      </c>
      <c r="J17" s="65" t="str">
        <f>IF(ROUND(E17,2)=ROUND(SUM(E60:E62),2)," ","CHECK 4-8 LINES BELOW")</f>
        <v xml:space="preserve"> </v>
      </c>
      <c r="N17" s="851" t="s">
        <v>23</v>
      </c>
      <c r="O17" s="851"/>
      <c r="P17" s="848">
        <f t="shared" si="0"/>
        <v>0</v>
      </c>
      <c r="Q17" s="848"/>
      <c r="R17" s="852">
        <v>1</v>
      </c>
      <c r="S17" s="852"/>
      <c r="T17" s="95">
        <f t="shared" si="3"/>
        <v>0</v>
      </c>
      <c r="U17" s="491">
        <f t="shared" si="4"/>
        <v>0</v>
      </c>
    </row>
    <row r="18" spans="1:21" x14ac:dyDescent="0.25">
      <c r="A18" s="804" t="s">
        <v>24</v>
      </c>
      <c r="B18" s="804"/>
      <c r="C18" s="143">
        <v>0</v>
      </c>
      <c r="D18" s="143">
        <v>0</v>
      </c>
      <c r="E18" s="116">
        <f t="shared" si="5"/>
        <v>0</v>
      </c>
      <c r="F18" s="850">
        <f>'1461'!F18:G18</f>
        <v>0.97199999999999998</v>
      </c>
      <c r="G18" s="850"/>
      <c r="H18" s="80">
        <f t="shared" si="1"/>
        <v>0</v>
      </c>
      <c r="I18" s="101">
        <f t="shared" si="2"/>
        <v>0</v>
      </c>
      <c r="N18" s="851" t="s">
        <v>24</v>
      </c>
      <c r="O18" s="851"/>
      <c r="P18" s="848">
        <f t="shared" si="0"/>
        <v>0</v>
      </c>
      <c r="Q18" s="848"/>
      <c r="R18" s="852">
        <v>1</v>
      </c>
      <c r="S18" s="852"/>
      <c r="T18" s="95">
        <f t="shared" si="3"/>
        <v>0</v>
      </c>
      <c r="U18" s="491">
        <f t="shared" si="4"/>
        <v>0</v>
      </c>
    </row>
    <row r="19" spans="1:21" x14ac:dyDescent="0.25">
      <c r="A19" s="804" t="s">
        <v>25</v>
      </c>
      <c r="B19" s="804"/>
      <c r="C19" s="143">
        <v>9.5</v>
      </c>
      <c r="D19" s="143">
        <v>0</v>
      </c>
      <c r="E19" s="116">
        <f t="shared" si="5"/>
        <v>19</v>
      </c>
      <c r="F19" s="850">
        <f>'1461'!F19:G19</f>
        <v>0.97199999999999998</v>
      </c>
      <c r="G19" s="850"/>
      <c r="H19" s="80">
        <f t="shared" si="1"/>
        <v>18.468</v>
      </c>
      <c r="I19" s="101">
        <f t="shared" si="2"/>
        <v>102743.53</v>
      </c>
      <c r="J19" s="65" t="str">
        <f>IF(ROUND(E19,2)=ROUND(SUM(E63:E65),2)," ","CHECK 4-8 LINES BELOW")</f>
        <v xml:space="preserve"> </v>
      </c>
      <c r="N19" s="851" t="s">
        <v>25</v>
      </c>
      <c r="O19" s="851"/>
      <c r="P19" s="848">
        <f t="shared" si="0"/>
        <v>19</v>
      </c>
      <c r="Q19" s="848"/>
      <c r="R19" s="852">
        <v>1</v>
      </c>
      <c r="S19" s="852"/>
      <c r="T19" s="95">
        <f t="shared" si="3"/>
        <v>19</v>
      </c>
      <c r="U19" s="490">
        <f t="shared" si="4"/>
        <v>105703.22</v>
      </c>
    </row>
    <row r="20" spans="1:21" x14ac:dyDescent="0.25">
      <c r="A20" s="804" t="s">
        <v>79</v>
      </c>
      <c r="B20" s="804"/>
      <c r="C20" s="143">
        <v>0.5</v>
      </c>
      <c r="D20" s="143">
        <v>0</v>
      </c>
      <c r="E20" s="116">
        <f t="shared" si="5"/>
        <v>1</v>
      </c>
      <c r="F20" s="850">
        <f>'1461'!F20:G20</f>
        <v>3.609</v>
      </c>
      <c r="G20" s="850"/>
      <c r="H20" s="80">
        <f t="shared" si="1"/>
        <v>3.609</v>
      </c>
      <c r="I20" s="101">
        <f t="shared" si="2"/>
        <v>20078.05</v>
      </c>
      <c r="N20" s="851" t="s">
        <v>79</v>
      </c>
      <c r="O20" s="851"/>
      <c r="P20" s="848">
        <f t="shared" si="0"/>
        <v>1</v>
      </c>
      <c r="Q20" s="848"/>
      <c r="R20" s="852">
        <v>1</v>
      </c>
      <c r="S20" s="852"/>
      <c r="T20" s="95">
        <f t="shared" si="3"/>
        <v>1</v>
      </c>
      <c r="U20" s="491">
        <f t="shared" si="4"/>
        <v>5563.33</v>
      </c>
    </row>
    <row r="21" spans="1:21" x14ac:dyDescent="0.25">
      <c r="A21" s="804" t="s">
        <v>80</v>
      </c>
      <c r="B21" s="804"/>
      <c r="C21" s="143">
        <v>1</v>
      </c>
      <c r="D21" s="143">
        <v>0</v>
      </c>
      <c r="E21" s="116">
        <f t="shared" si="5"/>
        <v>2</v>
      </c>
      <c r="F21" s="850">
        <f>'1461'!F21:G21</f>
        <v>3.609</v>
      </c>
      <c r="G21" s="850"/>
      <c r="H21" s="80">
        <f t="shared" si="1"/>
        <v>7.218</v>
      </c>
      <c r="I21" s="101">
        <f t="shared" si="2"/>
        <v>40156.1</v>
      </c>
      <c r="N21" s="851" t="s">
        <v>80</v>
      </c>
      <c r="O21" s="851"/>
      <c r="P21" s="848">
        <f t="shared" si="0"/>
        <v>2</v>
      </c>
      <c r="Q21" s="848"/>
      <c r="R21" s="852">
        <v>1</v>
      </c>
      <c r="S21" s="852"/>
      <c r="T21" s="95">
        <f t="shared" si="3"/>
        <v>2</v>
      </c>
      <c r="U21" s="491">
        <f t="shared" si="4"/>
        <v>11126.65</v>
      </c>
    </row>
    <row r="22" spans="1:21" x14ac:dyDescent="0.25">
      <c r="A22" s="804" t="s">
        <v>81</v>
      </c>
      <c r="B22" s="804"/>
      <c r="C22" s="143">
        <v>1</v>
      </c>
      <c r="D22" s="143">
        <v>0</v>
      </c>
      <c r="E22" s="116">
        <f t="shared" si="5"/>
        <v>2</v>
      </c>
      <c r="F22" s="850">
        <f>'1461'!F22:G22</f>
        <v>3.609</v>
      </c>
      <c r="G22" s="850"/>
      <c r="H22" s="80">
        <f t="shared" si="1"/>
        <v>7.218</v>
      </c>
      <c r="I22" s="101">
        <f t="shared" si="2"/>
        <v>40156.1</v>
      </c>
      <c r="N22" s="851" t="s">
        <v>81</v>
      </c>
      <c r="O22" s="851"/>
      <c r="P22" s="848">
        <f t="shared" si="0"/>
        <v>2</v>
      </c>
      <c r="Q22" s="848"/>
      <c r="R22" s="852">
        <v>1</v>
      </c>
      <c r="S22" s="852"/>
      <c r="T22" s="95">
        <f t="shared" si="3"/>
        <v>2</v>
      </c>
      <c r="U22" s="491">
        <f t="shared" si="4"/>
        <v>11126.65</v>
      </c>
    </row>
    <row r="23" spans="1:21" x14ac:dyDescent="0.25">
      <c r="A23" s="804" t="s">
        <v>82</v>
      </c>
      <c r="B23" s="804"/>
      <c r="C23" s="143">
        <v>4</v>
      </c>
      <c r="D23" s="143">
        <v>0</v>
      </c>
      <c r="E23" s="116">
        <f t="shared" si="5"/>
        <v>8</v>
      </c>
      <c r="F23" s="850">
        <f>'1461'!F23:G23</f>
        <v>6.0640000000000001</v>
      </c>
      <c r="G23" s="850"/>
      <c r="H23" s="80">
        <f t="shared" si="1"/>
        <v>48.512</v>
      </c>
      <c r="I23" s="101">
        <f t="shared" si="2"/>
        <v>269888.13</v>
      </c>
      <c r="N23" s="851" t="s">
        <v>82</v>
      </c>
      <c r="O23" s="851"/>
      <c r="P23" s="848">
        <f t="shared" si="0"/>
        <v>8</v>
      </c>
      <c r="Q23" s="848"/>
      <c r="R23" s="852">
        <v>1</v>
      </c>
      <c r="S23" s="852"/>
      <c r="T23" s="95">
        <f t="shared" si="3"/>
        <v>8</v>
      </c>
      <c r="U23" s="491">
        <f t="shared" si="4"/>
        <v>44506.62</v>
      </c>
    </row>
    <row r="24" spans="1:21" x14ac:dyDescent="0.25">
      <c r="A24" s="804" t="s">
        <v>83</v>
      </c>
      <c r="B24" s="804"/>
      <c r="C24" s="143">
        <v>3.5</v>
      </c>
      <c r="D24" s="143">
        <v>0</v>
      </c>
      <c r="E24" s="116">
        <f t="shared" si="5"/>
        <v>7</v>
      </c>
      <c r="F24" s="850">
        <f>'1461'!F24:G24</f>
        <v>6.0640000000000001</v>
      </c>
      <c r="G24" s="850"/>
      <c r="H24" s="80">
        <f t="shared" si="1"/>
        <v>42.448</v>
      </c>
      <c r="I24" s="101">
        <f t="shared" si="2"/>
        <v>236152.12</v>
      </c>
      <c r="N24" s="851" t="s">
        <v>83</v>
      </c>
      <c r="O24" s="851"/>
      <c r="P24" s="848">
        <f t="shared" si="0"/>
        <v>7</v>
      </c>
      <c r="Q24" s="848"/>
      <c r="R24" s="852">
        <v>1</v>
      </c>
      <c r="S24" s="852"/>
      <c r="T24" s="95">
        <f t="shared" si="3"/>
        <v>7</v>
      </c>
      <c r="U24" s="491">
        <f t="shared" si="4"/>
        <v>38943.29</v>
      </c>
    </row>
    <row r="25" spans="1:21" x14ac:dyDescent="0.25">
      <c r="A25" s="804" t="s">
        <v>84</v>
      </c>
      <c r="B25" s="804"/>
      <c r="C25" s="143">
        <v>5</v>
      </c>
      <c r="D25" s="143">
        <v>0</v>
      </c>
      <c r="E25" s="116">
        <f t="shared" si="5"/>
        <v>10</v>
      </c>
      <c r="F25" s="850">
        <f>'1461'!F25:G25</f>
        <v>6.0640000000000001</v>
      </c>
      <c r="G25" s="850"/>
      <c r="H25" s="80">
        <f t="shared" si="1"/>
        <v>60.64</v>
      </c>
      <c r="I25" s="101">
        <f t="shared" si="2"/>
        <v>337360.17</v>
      </c>
      <c r="N25" s="851" t="s">
        <v>84</v>
      </c>
      <c r="O25" s="851"/>
      <c r="P25" s="848">
        <f t="shared" si="0"/>
        <v>10</v>
      </c>
      <c r="Q25" s="848"/>
      <c r="R25" s="852">
        <v>1</v>
      </c>
      <c r="S25" s="852"/>
      <c r="T25" s="95">
        <f t="shared" si="3"/>
        <v>10</v>
      </c>
      <c r="U25" s="491">
        <f t="shared" si="4"/>
        <v>55633.27</v>
      </c>
    </row>
    <row r="26" spans="1:21" x14ac:dyDescent="0.25">
      <c r="A26" s="804" t="s">
        <v>85</v>
      </c>
      <c r="B26" s="804"/>
      <c r="C26" s="143">
        <v>0</v>
      </c>
      <c r="D26" s="143">
        <v>0</v>
      </c>
      <c r="E26" s="116">
        <f t="shared" si="5"/>
        <v>0</v>
      </c>
      <c r="F26" s="850">
        <f>'1461'!F26:G26</f>
        <v>1.165</v>
      </c>
      <c r="G26" s="850"/>
      <c r="H26" s="80">
        <f t="shared" si="1"/>
        <v>0</v>
      </c>
      <c r="I26" s="101">
        <f t="shared" si="2"/>
        <v>0</v>
      </c>
      <c r="N26" s="851" t="s">
        <v>85</v>
      </c>
      <c r="O26" s="851"/>
      <c r="P26" s="848">
        <f t="shared" si="0"/>
        <v>0</v>
      </c>
      <c r="Q26" s="848"/>
      <c r="R26" s="852">
        <v>1</v>
      </c>
      <c r="S26" s="852"/>
      <c r="T26" s="95">
        <f t="shared" si="3"/>
        <v>0</v>
      </c>
      <c r="U26" s="491">
        <f t="shared" si="4"/>
        <v>0</v>
      </c>
    </row>
    <row r="27" spans="1:21" x14ac:dyDescent="0.25">
      <c r="A27" s="804" t="s">
        <v>86</v>
      </c>
      <c r="B27" s="804"/>
      <c r="C27" s="143">
        <v>0</v>
      </c>
      <c r="D27" s="143">
        <v>0</v>
      </c>
      <c r="E27" s="116">
        <f t="shared" si="5"/>
        <v>0</v>
      </c>
      <c r="F27" s="850">
        <f>'1461'!F27:G27</f>
        <v>1.165</v>
      </c>
      <c r="G27" s="850"/>
      <c r="H27" s="80">
        <f t="shared" si="1"/>
        <v>0</v>
      </c>
      <c r="I27" s="101">
        <f t="shared" si="2"/>
        <v>0</v>
      </c>
      <c r="N27" s="851" t="s">
        <v>86</v>
      </c>
      <c r="O27" s="851"/>
      <c r="P27" s="848">
        <f t="shared" si="0"/>
        <v>0</v>
      </c>
      <c r="Q27" s="848"/>
      <c r="R27" s="852">
        <v>1</v>
      </c>
      <c r="S27" s="852"/>
      <c r="T27" s="95">
        <f t="shared" si="3"/>
        <v>0</v>
      </c>
      <c r="U27" s="491">
        <f t="shared" si="4"/>
        <v>0</v>
      </c>
    </row>
    <row r="28" spans="1:21" x14ac:dyDescent="0.25">
      <c r="A28" s="804" t="s">
        <v>87</v>
      </c>
      <c r="B28" s="804"/>
      <c r="C28" s="143">
        <v>0</v>
      </c>
      <c r="D28" s="143">
        <v>0</v>
      </c>
      <c r="E28" s="116">
        <f t="shared" si="5"/>
        <v>0</v>
      </c>
      <c r="F28" s="850">
        <f>'1461'!F28:G28</f>
        <v>1.165</v>
      </c>
      <c r="G28" s="850"/>
      <c r="H28" s="80">
        <f t="shared" si="1"/>
        <v>0</v>
      </c>
      <c r="I28" s="101">
        <f t="shared" si="2"/>
        <v>0</v>
      </c>
      <c r="N28" s="851" t="s">
        <v>87</v>
      </c>
      <c r="O28" s="851"/>
      <c r="P28" s="848">
        <f t="shared" si="0"/>
        <v>0</v>
      </c>
      <c r="Q28" s="848"/>
      <c r="R28" s="852">
        <v>1</v>
      </c>
      <c r="S28" s="852"/>
      <c r="T28" s="95">
        <f t="shared" si="3"/>
        <v>0</v>
      </c>
      <c r="U28" s="491">
        <f t="shared" si="4"/>
        <v>0</v>
      </c>
    </row>
    <row r="29" spans="1:21" x14ac:dyDescent="0.25">
      <c r="A29" s="804" t="s">
        <v>88</v>
      </c>
      <c r="B29" s="804"/>
      <c r="C29" s="110">
        <v>0</v>
      </c>
      <c r="D29" s="110">
        <v>0</v>
      </c>
      <c r="E29" s="154">
        <f t="shared" si="5"/>
        <v>0</v>
      </c>
      <c r="F29" s="850">
        <f>'1461'!F29:G29</f>
        <v>1.081</v>
      </c>
      <c r="G29" s="850"/>
      <c r="H29" s="93">
        <f t="shared" si="1"/>
        <v>0</v>
      </c>
      <c r="I29" s="94">
        <f t="shared" si="2"/>
        <v>0</v>
      </c>
      <c r="N29" s="853" t="s">
        <v>88</v>
      </c>
      <c r="O29" s="853"/>
      <c r="P29" s="848">
        <f t="shared" si="0"/>
        <v>0</v>
      </c>
      <c r="Q29" s="848"/>
      <c r="R29" s="854">
        <v>1</v>
      </c>
      <c r="S29" s="854"/>
      <c r="T29" s="95">
        <f t="shared" si="3"/>
        <v>0</v>
      </c>
      <c r="U29" s="491">
        <f t="shared" si="4"/>
        <v>0</v>
      </c>
    </row>
    <row r="30" spans="1:21" x14ac:dyDescent="0.25">
      <c r="A30" s="816" t="s">
        <v>5</v>
      </c>
      <c r="B30" s="816"/>
      <c r="C30" s="94">
        <f>SUM(C14:C29)</f>
        <v>24.5</v>
      </c>
      <c r="D30" s="94">
        <f>SUM(D14:D29)</f>
        <v>0</v>
      </c>
      <c r="E30" s="94">
        <f>SUM(E14:E29)</f>
        <v>49</v>
      </c>
      <c r="F30" s="808"/>
      <c r="G30" s="808"/>
      <c r="H30" s="99">
        <f>SUM(H14:H29)</f>
        <v>188.113</v>
      </c>
      <c r="I30" s="94">
        <f>SUM(I14:I29)</f>
        <v>1046534.2</v>
      </c>
      <c r="N30" s="855" t="s">
        <v>5</v>
      </c>
      <c r="O30" s="855"/>
      <c r="P30" s="856">
        <f>SUM(P14:P29)</f>
        <v>49</v>
      </c>
      <c r="Q30" s="856"/>
      <c r="R30" s="857"/>
      <c r="S30" s="857"/>
      <c r="T30" s="100">
        <f>SUM(T14:T29)</f>
        <v>49</v>
      </c>
      <c r="U30" s="491">
        <f>SUM(U14:U29)</f>
        <v>272603.03000000003</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x14ac:dyDescent="0.25">
      <c r="A34" s="146"/>
      <c r="B34" s="26"/>
      <c r="C34" s="101"/>
      <c r="D34" s="101"/>
      <c r="E34" s="101"/>
      <c r="F34" s="897" t="s">
        <v>232</v>
      </c>
      <c r="G34" s="897"/>
      <c r="H34" s="897"/>
      <c r="I34" s="101"/>
      <c r="N34" s="28"/>
      <c r="O34" s="28"/>
      <c r="P34" s="29"/>
      <c r="Q34" s="29"/>
      <c r="R34" s="30"/>
      <c r="S34" s="30"/>
      <c r="T34" s="102"/>
      <c r="U34" s="103"/>
    </row>
    <row r="35" spans="1:21" x14ac:dyDescent="0.25">
      <c r="A35" s="3"/>
      <c r="B35" s="69"/>
      <c r="C35" s="69"/>
      <c r="D35" s="69"/>
      <c r="E35" s="69"/>
      <c r="F35" s="897"/>
      <c r="G35" s="897"/>
      <c r="H35" s="897"/>
      <c r="I35" s="24" t="s">
        <v>61</v>
      </c>
      <c r="N35" s="829" t="s">
        <v>26</v>
      </c>
      <c r="O35" s="829"/>
      <c r="P35" s="829"/>
      <c r="Q35" s="829"/>
      <c r="R35" s="829"/>
      <c r="S35" s="829"/>
      <c r="T35" s="829"/>
      <c r="U35" s="25" t="str">
        <f>I35</f>
        <v>2015-16</v>
      </c>
    </row>
    <row r="36" spans="1:2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thickBot="1" x14ac:dyDescent="0.3">
      <c r="A45" s="3"/>
      <c r="B45" s="52"/>
      <c r="C45" s="101"/>
      <c r="D45" s="101"/>
      <c r="E45" s="111"/>
      <c r="F45" s="32"/>
      <c r="G45" s="106"/>
      <c r="H45" s="107"/>
      <c r="I45" s="101"/>
      <c r="N45" s="28"/>
      <c r="O45" s="28"/>
      <c r="P45" s="28"/>
      <c r="Q45" s="28"/>
      <c r="R45" s="33"/>
      <c r="S45" s="30"/>
      <c r="T45" s="30"/>
      <c r="U45" s="103"/>
    </row>
    <row r="46" spans="1:21" ht="16.5" thickBot="1" x14ac:dyDescent="0.3">
      <c r="A46" s="3"/>
      <c r="B46" s="52" t="s">
        <v>96</v>
      </c>
      <c r="E46" s="152">
        <f>H30+E44</f>
        <v>188.113</v>
      </c>
      <c r="F46" s="34"/>
      <c r="G46" s="106"/>
      <c r="H46" s="107" t="s">
        <v>98</v>
      </c>
      <c r="I46" s="94">
        <f>SUM(I44,I30)</f>
        <v>1046534.2</v>
      </c>
      <c r="N46" s="863" t="s">
        <v>44</v>
      </c>
      <c r="O46" s="863"/>
      <c r="P46" s="863"/>
      <c r="Q46" s="863"/>
      <c r="R46" s="35">
        <f>R44+T30</f>
        <v>49</v>
      </c>
      <c r="S46" s="857" t="s">
        <v>42</v>
      </c>
      <c r="T46" s="857"/>
      <c r="U46" s="108">
        <f>SUM(U44,U30)</f>
        <v>272603.03000000003</v>
      </c>
    </row>
    <row r="47" spans="1:21" ht="16.5"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1046534.2</v>
      </c>
      <c r="G51" s="109" t="s">
        <v>6</v>
      </c>
      <c r="H51" s="420">
        <f>'1461'!H51</f>
        <v>6.6699999999999995E-2</v>
      </c>
      <c r="I51" s="101">
        <f>ROUND(F51*H51,2)</f>
        <v>69803.83</v>
      </c>
      <c r="N51" s="425"/>
      <c r="O51" s="426" t="s">
        <v>556</v>
      </c>
      <c r="P51" s="28"/>
      <c r="Q51" s="44" t="s">
        <v>414</v>
      </c>
      <c r="R51" s="427">
        <f>U30</f>
        <v>272603.03000000003</v>
      </c>
      <c r="S51" s="428" t="s">
        <v>6</v>
      </c>
      <c r="T51" s="429">
        <v>6.6699999999999995E-2</v>
      </c>
      <c r="U51" s="421">
        <f>ROUND(R51*T51,2)</f>
        <v>18182.62</v>
      </c>
    </row>
    <row r="52" spans="1:22" x14ac:dyDescent="0.25">
      <c r="A52" s="26"/>
      <c r="B52" s="575" t="str">
        <f>'1461'!B52</f>
        <v>Growth Portion (0.54% of Conference Funding)</v>
      </c>
      <c r="C52" s="26"/>
      <c r="D52" s="26"/>
      <c r="E52" s="43" t="s">
        <v>414</v>
      </c>
      <c r="F52" s="419">
        <v>1046534.2</v>
      </c>
      <c r="G52" s="109" t="s">
        <v>6</v>
      </c>
      <c r="H52" s="420">
        <f>'1461'!H52</f>
        <v>5.4000000000000003E-3</v>
      </c>
      <c r="I52" s="101">
        <f>ROUND(F52*H52,2)</f>
        <v>5651.28</v>
      </c>
      <c r="N52" s="28"/>
      <c r="O52" s="757" t="s">
        <v>560</v>
      </c>
      <c r="P52" s="28"/>
      <c r="Q52" s="44" t="s">
        <v>414</v>
      </c>
      <c r="R52" s="427">
        <f>U30</f>
        <v>272603.03000000003</v>
      </c>
      <c r="S52" s="428" t="s">
        <v>6</v>
      </c>
      <c r="T52" s="429">
        <v>5.4000000000000003E-3</v>
      </c>
      <c r="U52" s="430">
        <f>ROUND(R52*T52,2)</f>
        <v>1472.06</v>
      </c>
    </row>
    <row r="53" spans="1:22" x14ac:dyDescent="0.25">
      <c r="A53" s="26"/>
      <c r="B53" s="81" t="s">
        <v>415</v>
      </c>
      <c r="C53" s="26"/>
      <c r="D53" s="26"/>
      <c r="E53" s="43"/>
      <c r="F53" s="419"/>
      <c r="G53" s="109"/>
      <c r="H53" s="420"/>
      <c r="I53" s="97">
        <f>SUM(I51:I52)</f>
        <v>75455.11</v>
      </c>
      <c r="N53" s="28"/>
      <c r="O53" s="402" t="s">
        <v>415</v>
      </c>
      <c r="P53" s="28"/>
      <c r="Q53" s="44"/>
      <c r="R53" s="427"/>
      <c r="S53" s="428"/>
      <c r="T53" s="429"/>
      <c r="U53" s="421">
        <f>SUM(U51:U52)</f>
        <v>19654.68</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2" si="10">IF(D$72=0,C57*2,C57+D57)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IF(D$66=0,C63*2,C63+D63)</f>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1</v>
      </c>
      <c r="D64" s="143">
        <v>0</v>
      </c>
      <c r="E64" s="116">
        <f>IF(D$66=0,C64*2,C64+D64)</f>
        <v>2</v>
      </c>
      <c r="F64" s="462" t="s">
        <v>14</v>
      </c>
      <c r="G64" s="461">
        <v>252</v>
      </c>
      <c r="H64" s="475">
        <f>'1461'!H64</f>
        <v>3168</v>
      </c>
      <c r="I64" s="101">
        <f t="shared" si="11"/>
        <v>6336</v>
      </c>
      <c r="N64" s="866"/>
      <c r="O64" s="866"/>
      <c r="P64" s="868"/>
      <c r="Q64" s="868"/>
      <c r="R64" s="40" t="s">
        <v>14</v>
      </c>
      <c r="S64" s="467">
        <v>252</v>
      </c>
      <c r="T64" s="478">
        <f t="shared" si="12"/>
        <v>3168</v>
      </c>
      <c r="U64" s="492">
        <f t="shared" si="13"/>
        <v>0</v>
      </c>
      <c r="V64" s="442"/>
    </row>
    <row r="65" spans="1:22" ht="16.5" thickBot="1" x14ac:dyDescent="0.3">
      <c r="A65" s="815"/>
      <c r="B65" s="815"/>
      <c r="C65" s="143">
        <v>8.5</v>
      </c>
      <c r="D65" s="143">
        <v>0</v>
      </c>
      <c r="E65" s="116">
        <f>IF(D$66=0,C65*2,C65+D65)</f>
        <v>17</v>
      </c>
      <c r="F65" s="462" t="s">
        <v>14</v>
      </c>
      <c r="G65" s="461">
        <v>253</v>
      </c>
      <c r="H65" s="475">
        <f>'1461'!H65</f>
        <v>6685</v>
      </c>
      <c r="I65" s="101">
        <f t="shared" si="11"/>
        <v>113645</v>
      </c>
      <c r="N65" s="866"/>
      <c r="O65" s="866"/>
      <c r="P65" s="874"/>
      <c r="Q65" s="874"/>
      <c r="R65" s="40" t="s">
        <v>14</v>
      </c>
      <c r="S65" s="467">
        <v>253</v>
      </c>
      <c r="T65" s="478">
        <f t="shared" si="12"/>
        <v>6685</v>
      </c>
      <c r="U65" s="493">
        <f t="shared" si="13"/>
        <v>0</v>
      </c>
      <c r="V65" s="442"/>
    </row>
    <row r="66" spans="1:22" ht="16.5" thickBot="1" x14ac:dyDescent="0.3">
      <c r="A66" s="458"/>
      <c r="C66" s="97">
        <f>SUM(C57:C65)</f>
        <v>9.5</v>
      </c>
      <c r="D66" s="97">
        <f>SUM(D57:D65)</f>
        <v>0</v>
      </c>
      <c r="E66" s="97">
        <f>SUM(E57:E65)</f>
        <v>19</v>
      </c>
      <c r="F66" s="816" t="s">
        <v>460</v>
      </c>
      <c r="G66" s="816"/>
      <c r="H66" s="816"/>
      <c r="I66" s="97">
        <f>SUM(I57:I65)</f>
        <v>119981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49</v>
      </c>
      <c r="D69" s="791" t="s">
        <v>427</v>
      </c>
      <c r="E69" s="791"/>
      <c r="F69" s="791"/>
      <c r="G69" s="791"/>
      <c r="H69" s="299">
        <f>'1461'!H69</f>
        <v>215320.92</v>
      </c>
      <c r="I69" s="113"/>
      <c r="N69" s="870" t="s">
        <v>420</v>
      </c>
      <c r="O69" s="851"/>
      <c r="P69" s="41">
        <f>P30</f>
        <v>49</v>
      </c>
      <c r="Q69" s="871" t="s">
        <v>422</v>
      </c>
      <c r="R69" s="872"/>
      <c r="S69" s="872"/>
      <c r="T69" s="873">
        <f>H69</f>
        <v>215320.92</v>
      </c>
      <c r="U69" s="873"/>
    </row>
    <row r="70" spans="1:22" x14ac:dyDescent="0.25">
      <c r="B70" s="69"/>
      <c r="G70" s="42" t="s">
        <v>12</v>
      </c>
      <c r="H70" s="114">
        <f>ROUND(C69/H69,6)</f>
        <v>2.2800000000000001E-4</v>
      </c>
      <c r="I70" s="115"/>
      <c r="N70" s="851"/>
      <c r="O70" s="851"/>
      <c r="P70" s="851"/>
      <c r="Q70" s="851"/>
      <c r="R70" s="851"/>
      <c r="S70" s="851"/>
      <c r="T70" s="869">
        <f>ROUND(P69/T69,6)</f>
        <v>2.2800000000000001E-4</v>
      </c>
      <c r="U70" s="869"/>
    </row>
    <row r="71" spans="1:22" x14ac:dyDescent="0.25">
      <c r="A71" s="460" t="s">
        <v>463</v>
      </c>
      <c r="N71" s="471" t="s">
        <v>471</v>
      </c>
      <c r="O71" s="51"/>
      <c r="P71" s="51"/>
      <c r="Q71" s="51"/>
      <c r="R71" s="51"/>
      <c r="S71" s="51"/>
      <c r="T71" s="51"/>
      <c r="U71" s="51"/>
    </row>
    <row r="72" spans="1:22" x14ac:dyDescent="0.25">
      <c r="A72" s="810" t="s">
        <v>417</v>
      </c>
      <c r="B72" s="804"/>
      <c r="C72" s="112">
        <f>H30</f>
        <v>188.113</v>
      </c>
      <c r="D72" s="791" t="s">
        <v>428</v>
      </c>
      <c r="E72" s="791"/>
      <c r="F72" s="791"/>
      <c r="G72" s="791"/>
      <c r="H72" s="300">
        <f>'1461'!H72</f>
        <v>229051.25000000003</v>
      </c>
      <c r="I72" s="116"/>
      <c r="N72" s="870" t="s">
        <v>421</v>
      </c>
      <c r="O72" s="851"/>
      <c r="P72" s="41">
        <f>T30</f>
        <v>49</v>
      </c>
      <c r="Q72" s="871" t="s">
        <v>423</v>
      </c>
      <c r="R72" s="872"/>
      <c r="S72" s="872"/>
      <c r="T72" s="873">
        <f>H72</f>
        <v>229051.25000000003</v>
      </c>
      <c r="U72" s="873"/>
    </row>
    <row r="73" spans="1:22" x14ac:dyDescent="0.25">
      <c r="G73" s="42" t="s">
        <v>12</v>
      </c>
      <c r="H73" s="114">
        <f>ROUND(C72/H72,6)</f>
        <v>8.2100000000000001E-4</v>
      </c>
      <c r="I73" s="114"/>
      <c r="N73" s="851"/>
      <c r="O73" s="851"/>
      <c r="P73" s="851"/>
      <c r="Q73" s="851"/>
      <c r="R73" s="851"/>
      <c r="S73" s="851"/>
      <c r="T73" s="869">
        <f>ROUND(P72/T72,6)</f>
        <v>2.14E-4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49</v>
      </c>
      <c r="D75" s="783" t="s">
        <v>429</v>
      </c>
      <c r="E75" s="783"/>
      <c r="F75" s="783"/>
      <c r="G75" s="783"/>
      <c r="H75" s="299">
        <f>'1461'!H75</f>
        <v>186156.17</v>
      </c>
      <c r="I75" s="113"/>
      <c r="N75" s="870" t="s">
        <v>419</v>
      </c>
      <c r="O75" s="851"/>
      <c r="P75" s="41">
        <f>P30</f>
        <v>49</v>
      </c>
      <c r="Q75" s="878" t="s">
        <v>424</v>
      </c>
      <c r="R75" s="879"/>
      <c r="S75" s="879"/>
      <c r="T75" s="873">
        <f>H75</f>
        <v>186156.17</v>
      </c>
      <c r="U75" s="873"/>
    </row>
    <row r="76" spans="1:22" x14ac:dyDescent="0.25">
      <c r="B76" s="69"/>
      <c r="G76" s="42" t="s">
        <v>12</v>
      </c>
      <c r="H76" s="114">
        <f>ROUND(C75/H75,6)</f>
        <v>2.63E-4</v>
      </c>
      <c r="I76" s="115"/>
      <c r="N76" s="851"/>
      <c r="O76" s="851"/>
      <c r="P76" s="851"/>
      <c r="Q76" s="851"/>
      <c r="R76" s="851"/>
      <c r="S76" s="851"/>
      <c r="T76" s="869">
        <f>ROUND(P75/T75,6)</f>
        <v>2.63E-4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49</v>
      </c>
      <c r="D78" s="811" t="s">
        <v>430</v>
      </c>
      <c r="E78" s="811"/>
      <c r="F78" s="811"/>
      <c r="G78" s="811"/>
      <c r="H78" s="299">
        <f>'1461'!H78</f>
        <v>215016.58000000002</v>
      </c>
      <c r="I78" s="113"/>
      <c r="N78" s="870" t="s">
        <v>419</v>
      </c>
      <c r="O78" s="851"/>
      <c r="P78" s="41">
        <f>P30</f>
        <v>49</v>
      </c>
      <c r="Q78" s="876" t="s">
        <v>425</v>
      </c>
      <c r="R78" s="877"/>
      <c r="S78" s="877"/>
      <c r="T78" s="873">
        <f>H78</f>
        <v>215016.58000000002</v>
      </c>
      <c r="U78" s="873"/>
    </row>
    <row r="79" spans="1:22" x14ac:dyDescent="0.25">
      <c r="B79" s="69"/>
      <c r="G79" s="42" t="s">
        <v>12</v>
      </c>
      <c r="H79" s="114">
        <f>ROUND(C78/H78,6)</f>
        <v>2.2800000000000001E-4</v>
      </c>
      <c r="I79" s="115"/>
      <c r="N79" s="851"/>
      <c r="O79" s="851"/>
      <c r="P79" s="851"/>
      <c r="Q79" s="851"/>
      <c r="R79" s="851"/>
      <c r="S79" s="851"/>
      <c r="T79" s="869">
        <f>ROUND(P78/T78,6)</f>
        <v>2.2800000000000001E-4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49</v>
      </c>
      <c r="D81" s="783" t="s">
        <v>431</v>
      </c>
      <c r="E81" s="783"/>
      <c r="F81" s="783"/>
      <c r="G81" s="783"/>
      <c r="H81" s="299">
        <f>'1461'!H81</f>
        <v>185851.83000000002</v>
      </c>
      <c r="I81" s="113"/>
      <c r="N81" s="870" t="s">
        <v>432</v>
      </c>
      <c r="O81" s="851"/>
      <c r="P81" s="41">
        <f>P30</f>
        <v>49</v>
      </c>
      <c r="Q81" s="878" t="s">
        <v>433</v>
      </c>
      <c r="R81" s="879"/>
      <c r="S81" s="879"/>
      <c r="T81" s="873">
        <f>H81</f>
        <v>185851.83000000002</v>
      </c>
      <c r="U81" s="873"/>
    </row>
    <row r="82" spans="1:21" x14ac:dyDescent="0.25">
      <c r="B82" s="69"/>
      <c r="G82" s="42" t="s">
        <v>12</v>
      </c>
      <c r="H82" s="114">
        <f>ROUND(C81/H81,6)</f>
        <v>2.6400000000000002E-4</v>
      </c>
      <c r="I82" s="115"/>
      <c r="N82" s="851"/>
      <c r="O82" s="851"/>
      <c r="P82" s="851"/>
      <c r="Q82" s="851"/>
      <c r="R82" s="851"/>
      <c r="S82" s="851"/>
      <c r="T82" s="869">
        <f>ROUND(P81/T81,6)</f>
        <v>2.6400000000000002E-4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2.2800000000000001E-4</v>
      </c>
      <c r="I85" s="101">
        <f>ROUND(F85*H85,2)</f>
        <v>10782.29</v>
      </c>
      <c r="N85" s="471" t="s">
        <v>467</v>
      </c>
      <c r="O85" s="51"/>
      <c r="P85" s="51"/>
      <c r="Q85" s="44"/>
      <c r="R85" s="437">
        <f>F85</f>
        <v>47290747</v>
      </c>
      <c r="S85" s="38" t="s">
        <v>6</v>
      </c>
      <c r="T85" s="439">
        <f>T79</f>
        <v>2.2800000000000001E-4</v>
      </c>
      <c r="U85" s="491">
        <f>ROUND(R85*T85,2)</f>
        <v>10782.29</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2.2800000000000001E-4</v>
      </c>
      <c r="I88" s="101">
        <f>ROUND(F88*H88,2)</f>
        <v>0</v>
      </c>
      <c r="N88" s="880" t="s">
        <v>99</v>
      </c>
      <c r="O88" s="851"/>
      <c r="P88" s="851"/>
      <c r="Q88" s="44"/>
      <c r="R88" s="437">
        <f>F88</f>
        <v>0</v>
      </c>
      <c r="S88" s="38" t="s">
        <v>6</v>
      </c>
      <c r="T88" s="439">
        <f>T70</f>
        <v>2.2800000000000001E-4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2.6400000000000002E-4</v>
      </c>
      <c r="I90" s="101">
        <f>ROUND(F90*H90,2)</f>
        <v>5060.32</v>
      </c>
      <c r="N90" s="471" t="s">
        <v>468</v>
      </c>
      <c r="O90" s="51"/>
      <c r="P90" s="51"/>
      <c r="Q90" s="44"/>
      <c r="R90" s="437">
        <f>F90</f>
        <v>19167881</v>
      </c>
      <c r="S90" s="38" t="s">
        <v>6</v>
      </c>
      <c r="T90" s="439">
        <f>T82</f>
        <v>2.6400000000000002E-4</v>
      </c>
      <c r="U90" s="491">
        <f>ROUND(R90*T90,2)</f>
        <v>5060.32</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2.63E-4</v>
      </c>
      <c r="I92" s="101">
        <f t="shared" ref="I92:I96" si="14">ROUND(F92*H92,2)</f>
        <v>3036.83</v>
      </c>
      <c r="N92" s="471" t="s">
        <v>469</v>
      </c>
      <c r="O92" s="51"/>
      <c r="P92" s="51"/>
      <c r="Q92" s="44"/>
      <c r="R92" s="437">
        <f t="shared" ref="R92:R96" si="15">F92</f>
        <v>11546889</v>
      </c>
      <c r="S92" s="38" t="s">
        <v>6</v>
      </c>
      <c r="T92" s="439">
        <f>T76</f>
        <v>2.63E-4</v>
      </c>
      <c r="U92" s="491">
        <f>ROUND(R92*T92,2)</f>
        <v>3036.83</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8.2100000000000001E-4</v>
      </c>
      <c r="I94" s="101">
        <f t="shared" si="14"/>
        <v>220698.16</v>
      </c>
      <c r="N94" s="851" t="s">
        <v>435</v>
      </c>
      <c r="O94" s="851"/>
      <c r="P94" s="851"/>
      <c r="Q94" s="44"/>
      <c r="R94" s="437">
        <f t="shared" si="15"/>
        <v>268816278</v>
      </c>
      <c r="S94" s="38" t="s">
        <v>6</v>
      </c>
      <c r="T94" s="439">
        <f>T73</f>
        <v>2.14E-4</v>
      </c>
      <c r="U94" s="491">
        <f>ROUND(R94*T94,2)</f>
        <v>57526.68</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8.2100000000000001E-4</v>
      </c>
      <c r="I96" s="101">
        <f t="shared" si="14"/>
        <v>0</v>
      </c>
      <c r="N96" s="870" t="s">
        <v>436</v>
      </c>
      <c r="O96" s="851"/>
      <c r="P96" s="851"/>
      <c r="Q96" s="44"/>
      <c r="R96" s="437">
        <f t="shared" si="15"/>
        <v>0</v>
      </c>
      <c r="S96" s="38" t="s">
        <v>6</v>
      </c>
      <c r="T96" s="439">
        <f>T73</f>
        <v>2.14E-4</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2.2800000000000001E-4</v>
      </c>
      <c r="I98" s="101">
        <f t="shared" ref="I98" si="16">ROUND(F98*H98,2)</f>
        <v>0</v>
      </c>
      <c r="N98" s="550" t="s">
        <v>507</v>
      </c>
      <c r="O98" s="550"/>
      <c r="P98" s="550"/>
      <c r="Q98" s="44"/>
      <c r="R98" s="553">
        <f>F98</f>
        <v>0</v>
      </c>
      <c r="S98" s="551" t="s">
        <v>6</v>
      </c>
      <c r="T98" s="439">
        <f>T70</f>
        <v>2.2800000000000001E-4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52.121000000000002</v>
      </c>
      <c r="D104" s="822"/>
      <c r="E104" s="46">
        <f>H8</f>
        <v>1.0355000000000001</v>
      </c>
      <c r="F104" s="302">
        <f>'1461'!F104</f>
        <v>958.42</v>
      </c>
      <c r="G104" s="39" t="s">
        <v>12</v>
      </c>
      <c r="H104" s="101">
        <f>ROUND(C104*E104*F104,2)</f>
        <v>51727.17</v>
      </c>
      <c r="I104" s="104"/>
      <c r="N104" s="28" t="s">
        <v>17</v>
      </c>
      <c r="O104" s="47">
        <f>T14+T15+T20+T23+T26</f>
        <v>9</v>
      </c>
      <c r="P104" s="881">
        <f>T8</f>
        <v>1.0355000000000001</v>
      </c>
      <c r="Q104" s="881"/>
      <c r="R104" s="48">
        <f>F104</f>
        <v>958.42</v>
      </c>
      <c r="S104" s="40" t="s">
        <v>12</v>
      </c>
      <c r="T104" s="497">
        <f>ROUND(O104*P104*R104,2)</f>
        <v>8932</v>
      </c>
      <c r="U104" s="102"/>
    </row>
    <row r="105" spans="1:21" x14ac:dyDescent="0.25">
      <c r="A105" s="49"/>
      <c r="B105" s="49" t="s">
        <v>104</v>
      </c>
      <c r="C105" s="822">
        <f>H16+H17+H21+H24+H27</f>
        <v>49.665999999999997</v>
      </c>
      <c r="D105" s="822"/>
      <c r="E105" s="46">
        <f>H8</f>
        <v>1.0355000000000001</v>
      </c>
      <c r="F105" s="302">
        <f>'1461'!F105</f>
        <v>915.09</v>
      </c>
      <c r="G105" s="39" t="s">
        <v>12</v>
      </c>
      <c r="H105" s="101">
        <f>ROUND(C105*E105*F105,2)</f>
        <v>47062.29</v>
      </c>
      <c r="N105" s="50" t="s">
        <v>13</v>
      </c>
      <c r="O105" s="47">
        <f>T16+T17+T21+T24+T27</f>
        <v>9</v>
      </c>
      <c r="P105" s="881">
        <f>T8</f>
        <v>1.0355000000000001</v>
      </c>
      <c r="Q105" s="881"/>
      <c r="R105" s="48">
        <f>F105</f>
        <v>915.09</v>
      </c>
      <c r="S105" s="40" t="s">
        <v>12</v>
      </c>
      <c r="T105" s="497">
        <f>ROUND(O105*P105*R105,2)</f>
        <v>8528.18</v>
      </c>
      <c r="U105" s="51"/>
    </row>
    <row r="106" spans="1:21" ht="16.5" thickBot="1" x14ac:dyDescent="0.3">
      <c r="A106" s="52"/>
      <c r="B106" s="52" t="s">
        <v>103</v>
      </c>
      <c r="C106" s="822">
        <f>H18+H19+H22+H25+H28+H29</f>
        <v>86.325999999999993</v>
      </c>
      <c r="D106" s="822"/>
      <c r="E106" s="46">
        <f>H8</f>
        <v>1.0355000000000001</v>
      </c>
      <c r="F106" s="302">
        <f>'1461'!F106</f>
        <v>917.3</v>
      </c>
      <c r="G106" s="39" t="s">
        <v>12</v>
      </c>
      <c r="H106" s="94">
        <f>ROUND(C106*E106*F106,2)</f>
        <v>81997.97</v>
      </c>
      <c r="N106" s="53" t="s">
        <v>14</v>
      </c>
      <c r="O106" s="54">
        <f>T18+T19+T22+T25+T28+T29</f>
        <v>31</v>
      </c>
      <c r="P106" s="881">
        <f>T8</f>
        <v>1.0355000000000001</v>
      </c>
      <c r="Q106" s="881"/>
      <c r="R106" s="48">
        <f>F106</f>
        <v>917.3</v>
      </c>
      <c r="S106" s="40" t="s">
        <v>12</v>
      </c>
      <c r="T106" s="497">
        <f>ROUND(O106*P106*R106,2)</f>
        <v>29445.79</v>
      </c>
      <c r="U106" s="51"/>
    </row>
    <row r="107" spans="1:21" ht="16.5" thickBot="1" x14ac:dyDescent="0.3">
      <c r="A107" s="55"/>
      <c r="B107" s="122" t="s">
        <v>102</v>
      </c>
      <c r="C107" s="812">
        <f>SUM(C104:C106)</f>
        <v>188.113</v>
      </c>
      <c r="D107" s="812"/>
      <c r="E107" s="123"/>
      <c r="F107" s="123"/>
      <c r="G107" s="123"/>
      <c r="H107" s="124" t="s">
        <v>100</v>
      </c>
      <c r="I107" s="101">
        <f>IF(A1=75,0,H106+H105+H104)</f>
        <v>180787.43</v>
      </c>
      <c r="N107" s="56" t="s">
        <v>89</v>
      </c>
      <c r="O107" s="57">
        <f>SUM(O104:O106)</f>
        <v>49</v>
      </c>
      <c r="P107" s="887" t="s">
        <v>16</v>
      </c>
      <c r="Q107" s="888"/>
      <c r="R107" s="888"/>
      <c r="S107" s="888"/>
      <c r="T107" s="888"/>
      <c r="U107" s="491">
        <f>IF(N1=75,0,T106+T105+T104)</f>
        <v>46905.97</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24</v>
      </c>
      <c r="D113" s="143">
        <v>23</v>
      </c>
      <c r="E113" s="116">
        <f>(C113+D113)/2</f>
        <v>23.5</v>
      </c>
      <c r="F113" s="126" t="s">
        <v>30</v>
      </c>
      <c r="G113" s="303">
        <f>'1461'!G113</f>
        <v>617</v>
      </c>
      <c r="I113" s="101">
        <f>ROUND(G113*E113,2)</f>
        <v>14499.5</v>
      </c>
      <c r="N113" s="885" t="s">
        <v>52</v>
      </c>
      <c r="O113" s="885"/>
      <c r="P113" s="886">
        <f>IF(H133=1,E113,0)</f>
        <v>23.5</v>
      </c>
      <c r="Q113" s="886"/>
      <c r="R113" s="886"/>
      <c r="S113" s="83" t="s">
        <v>30</v>
      </c>
      <c r="T113" s="58">
        <f>G113</f>
        <v>617</v>
      </c>
      <c r="U113" s="491">
        <f>ROUND(T113*P113,2)</f>
        <v>14499.5</v>
      </c>
    </row>
    <row r="114" spans="1:21" x14ac:dyDescent="0.25">
      <c r="A114" s="783" t="s">
        <v>397</v>
      </c>
      <c r="B114" s="784"/>
      <c r="C114" s="143">
        <v>1</v>
      </c>
      <c r="D114" s="143">
        <v>1</v>
      </c>
      <c r="E114" s="116">
        <f>(C114+D114)/2</f>
        <v>1</v>
      </c>
      <c r="F114" s="126" t="s">
        <v>30</v>
      </c>
      <c r="G114" s="303">
        <f>'1461'!G114</f>
        <v>1870</v>
      </c>
      <c r="I114" s="101">
        <f>ROUND(G114*E114,2)</f>
        <v>1870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541</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1603249.73</v>
      </c>
      <c r="N128" s="471"/>
      <c r="O128" s="470"/>
      <c r="P128" s="470"/>
      <c r="Q128" s="305"/>
      <c r="R128" s="305"/>
      <c r="S128" s="305"/>
      <c r="T128" s="305"/>
      <c r="U128" s="498">
        <f>SUM(U30,U85,U88,U90,U92,U94,U96,U107,U113,U114,U124,U126)</f>
        <v>410414.62</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1527794.6199999999</v>
      </c>
      <c r="N130" s="870" t="s">
        <v>447</v>
      </c>
      <c r="O130" s="851"/>
      <c r="P130" s="851"/>
      <c r="Q130" s="851"/>
      <c r="R130" s="851"/>
      <c r="S130" s="851"/>
      <c r="T130" s="851"/>
      <c r="U130" s="132">
        <f>U128-U53</f>
        <v>390759.94</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514</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390759.94</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390759.94</v>
      </c>
      <c r="I135" s="94">
        <f>ROUND(IF(E30=0,0,IF(E30&gt;250,-(((250/E30)*H135)*IF(G135="H",0.02,0.05)),IF(G135="H",-0.02*H135,-0.05*H135))),2)</f>
        <v>-19538</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1583711.73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Payments'!Q75</f>
        <v>-128465.38</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1455246.35</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132295.12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387</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388</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389</v>
      </c>
      <c r="B155" s="360"/>
      <c r="C155" s="360"/>
      <c r="D155" s="360"/>
      <c r="E155" s="360"/>
      <c r="F155" s="360"/>
      <c r="G155" s="360"/>
      <c r="H155" s="360"/>
      <c r="I155" s="360"/>
      <c r="N155" s="896"/>
      <c r="O155" s="896"/>
      <c r="P155" s="896"/>
      <c r="Q155" s="896"/>
      <c r="R155" s="896"/>
      <c r="S155" s="896"/>
      <c r="T155" s="896"/>
      <c r="U155" s="896"/>
    </row>
    <row r="156" spans="1:21" s="76" customFormat="1" x14ac:dyDescent="0.2">
      <c r="A156" s="358" t="s">
        <v>390</v>
      </c>
      <c r="B156" s="360"/>
      <c r="C156" s="360"/>
      <c r="D156" s="360"/>
      <c r="E156" s="360"/>
      <c r="F156" s="360"/>
      <c r="G156" s="360"/>
      <c r="H156" s="360"/>
      <c r="I156" s="360"/>
      <c r="N156" s="73"/>
      <c r="O156" s="73"/>
      <c r="P156" s="73"/>
      <c r="Q156" s="73"/>
      <c r="R156" s="73"/>
      <c r="S156" s="73"/>
      <c r="T156" s="73"/>
      <c r="U156" s="73"/>
    </row>
    <row r="157" spans="1:21" s="76" customFormat="1" x14ac:dyDescent="0.2">
      <c r="A157" s="358" t="s">
        <v>391</v>
      </c>
      <c r="B157" s="360"/>
      <c r="C157" s="360"/>
      <c r="D157" s="360"/>
      <c r="E157" s="360"/>
      <c r="F157" s="360"/>
      <c r="G157" s="360"/>
      <c r="H157" s="360"/>
      <c r="I157" s="360"/>
      <c r="N157" s="78"/>
      <c r="O157" s="79"/>
      <c r="P157" s="79"/>
      <c r="Q157" s="79"/>
      <c r="R157" s="79"/>
      <c r="S157" s="79"/>
      <c r="T157" s="79"/>
      <c r="U157" s="79"/>
    </row>
    <row r="158" spans="1:21" s="76" customFormat="1" x14ac:dyDescent="0.2">
      <c r="A158" s="358" t="s">
        <v>392</v>
      </c>
      <c r="B158" s="360"/>
      <c r="C158" s="360"/>
      <c r="D158" s="360"/>
      <c r="E158" s="360"/>
      <c r="F158" s="360"/>
      <c r="G158" s="360"/>
      <c r="H158" s="360"/>
      <c r="I158" s="360"/>
      <c r="N158" s="78"/>
    </row>
    <row r="159" spans="1:21" s="76" customFormat="1" x14ac:dyDescent="0.2">
      <c r="A159" s="358" t="s">
        <v>394</v>
      </c>
      <c r="B159" s="360"/>
      <c r="C159" s="360"/>
      <c r="D159" s="360"/>
      <c r="E159" s="360"/>
      <c r="F159" s="360"/>
      <c r="G159" s="360"/>
      <c r="H159" s="360"/>
      <c r="I159" s="360"/>
      <c r="N159" s="78"/>
    </row>
    <row r="160" spans="1:21" s="76" customFormat="1" x14ac:dyDescent="0.2">
      <c r="A160" s="364" t="s">
        <v>393</v>
      </c>
      <c r="B160" s="360"/>
      <c r="C160" s="360"/>
      <c r="D160" s="360"/>
      <c r="E160" s="360"/>
      <c r="F160" s="360"/>
      <c r="G160" s="360"/>
      <c r="H160" s="360"/>
      <c r="I160" s="360"/>
      <c r="N160" s="78"/>
    </row>
    <row r="161" spans="1:14" s="76" customFormat="1" x14ac:dyDescent="0.2">
      <c r="A161" s="358" t="s">
        <v>395</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398</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400</v>
      </c>
      <c r="B165" s="360"/>
      <c r="C165" s="360"/>
      <c r="D165" s="360"/>
      <c r="E165" s="360"/>
      <c r="F165" s="360"/>
      <c r="G165" s="360"/>
      <c r="H165" s="360"/>
      <c r="I165" s="360"/>
      <c r="N165" s="78"/>
    </row>
    <row r="166" spans="1:14" s="76" customFormat="1" ht="15.75" customHeight="1" x14ac:dyDescent="0.2">
      <c r="A166" s="364" t="s">
        <v>399</v>
      </c>
      <c r="B166" s="360"/>
      <c r="C166" s="360"/>
      <c r="D166" s="360"/>
      <c r="E166" s="360"/>
      <c r="F166" s="360"/>
      <c r="G166" s="360"/>
      <c r="H166" s="360"/>
      <c r="I166" s="360"/>
      <c r="N166" s="78"/>
    </row>
    <row r="167" spans="1:14" s="76" customFormat="1" ht="15.75" customHeight="1" x14ac:dyDescent="0.2">
      <c r="A167" s="358" t="s">
        <v>401</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403</v>
      </c>
      <c r="B169" s="360"/>
      <c r="C169" s="360"/>
      <c r="D169" s="360"/>
      <c r="E169" s="360"/>
      <c r="F169" s="360"/>
      <c r="G169" s="360"/>
      <c r="H169" s="360"/>
      <c r="I169" s="360"/>
      <c r="N169" s="78"/>
    </row>
    <row r="170" spans="1:14" s="76" customFormat="1" ht="15.75" customHeight="1" x14ac:dyDescent="0.2">
      <c r="A170" s="364" t="s">
        <v>402</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404</v>
      </c>
      <c r="B175" s="370"/>
      <c r="C175" s="370"/>
      <c r="D175" s="370"/>
      <c r="E175" s="370"/>
      <c r="F175" s="370"/>
      <c r="G175" s="370"/>
      <c r="H175" s="370"/>
      <c r="I175" s="370"/>
      <c r="J175" s="3"/>
      <c r="K175" s="3"/>
      <c r="L175" s="3"/>
      <c r="M175" s="3"/>
      <c r="N175" s="78"/>
    </row>
    <row r="176" spans="1:14" s="76" customFormat="1" ht="15.75" customHeight="1" x14ac:dyDescent="0.2">
      <c r="A176" s="376" t="s">
        <v>405</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5" right="0.1" top="0.5" bottom="0.5" header="0" footer="0.1"/>
  <pageSetup scale="33"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CCCC"/>
  </sheetPr>
  <dimension ref="A1:V221"/>
  <sheetViews>
    <sheetView topLeftCell="A109" workbookViewId="0">
      <selection activeCell="C105" sqref="C105:D10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256</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0.5</v>
      </c>
      <c r="D15" s="143">
        <v>0</v>
      </c>
      <c r="E15" s="116">
        <f t="shared" ref="E15:E29" si="1">IF(D$30=0,C15*2,C15+D15)</f>
        <v>1</v>
      </c>
      <c r="F15" s="850">
        <f>'1461'!F15:G15</f>
        <v>1.1080000000000001</v>
      </c>
      <c r="G15" s="850"/>
      <c r="H15" s="80">
        <f t="shared" ref="H15:H29" si="2">ROUND(E15*F15,4)</f>
        <v>1.1080000000000001</v>
      </c>
      <c r="I15" s="101">
        <f t="shared" ref="I15:I29" si="3">ROUND(ROUND(ROUND(H15*$C$8,4)*($H$8),2)*(MAX($H$9,1)),2)</f>
        <v>6164.17</v>
      </c>
      <c r="J15" s="65" t="str">
        <f>IF(ROUND(E15,2)=ROUND(SUM(E57:E59),2)," ","CHECK PK-3 LINES BELOW")</f>
        <v xml:space="preserve"> </v>
      </c>
      <c r="N15" s="851" t="s">
        <v>21</v>
      </c>
      <c r="O15" s="851"/>
      <c r="P15" s="848">
        <f t="shared" si="0"/>
        <v>1</v>
      </c>
      <c r="Q15" s="848"/>
      <c r="R15" s="852">
        <v>1</v>
      </c>
      <c r="S15" s="852"/>
      <c r="T15" s="95">
        <f t="shared" ref="T15:T29" si="4">ROUND(P15*R15,4)</f>
        <v>1</v>
      </c>
      <c r="U15" s="491">
        <f t="shared" ref="U15:U29" si="5">ROUND(ROUND(ROUND(T15*$C$8,4)*($H$8),2)*(MAX($H$9,1)),2)</f>
        <v>5563.33</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0.5</v>
      </c>
      <c r="D17" s="143">
        <v>0</v>
      </c>
      <c r="E17" s="116">
        <f t="shared" si="1"/>
        <v>1</v>
      </c>
      <c r="F17" s="850">
        <f>'1461'!F17:G17</f>
        <v>1</v>
      </c>
      <c r="G17" s="850"/>
      <c r="H17" s="80">
        <f t="shared" si="2"/>
        <v>1</v>
      </c>
      <c r="I17" s="101">
        <f t="shared" si="3"/>
        <v>5563.33</v>
      </c>
      <c r="J17" s="65" t="str">
        <f>IF(ROUND(E17,2)=ROUND(SUM(E60:E62),2)," ","CHECK 4-8 LINES BELOW")</f>
        <v xml:space="preserve"> </v>
      </c>
      <c r="N17" s="851" t="s">
        <v>23</v>
      </c>
      <c r="O17" s="851"/>
      <c r="P17" s="848">
        <f t="shared" si="0"/>
        <v>1</v>
      </c>
      <c r="Q17" s="848"/>
      <c r="R17" s="852">
        <v>1</v>
      </c>
      <c r="S17" s="852"/>
      <c r="T17" s="95">
        <f t="shared" si="4"/>
        <v>1</v>
      </c>
      <c r="U17" s="491">
        <f t="shared" si="5"/>
        <v>5563.33</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30.5</v>
      </c>
      <c r="D20" s="143">
        <v>0</v>
      </c>
      <c r="E20" s="116">
        <f t="shared" si="1"/>
        <v>61</v>
      </c>
      <c r="F20" s="850">
        <f>'1461'!F20:G20</f>
        <v>3.609</v>
      </c>
      <c r="G20" s="850"/>
      <c r="H20" s="80">
        <f t="shared" si="2"/>
        <v>220.149</v>
      </c>
      <c r="I20" s="101">
        <f t="shared" si="3"/>
        <v>1224760.94</v>
      </c>
      <c r="N20" s="851" t="s">
        <v>79</v>
      </c>
      <c r="O20" s="851"/>
      <c r="P20" s="848">
        <f t="shared" si="0"/>
        <v>61</v>
      </c>
      <c r="Q20" s="848"/>
      <c r="R20" s="852">
        <v>1</v>
      </c>
      <c r="S20" s="852"/>
      <c r="T20" s="95">
        <f t="shared" si="4"/>
        <v>61</v>
      </c>
      <c r="U20" s="491">
        <f t="shared" si="5"/>
        <v>339362.97</v>
      </c>
    </row>
    <row r="21" spans="1:21" x14ac:dyDescent="0.25">
      <c r="A21" s="804" t="s">
        <v>80</v>
      </c>
      <c r="B21" s="804"/>
      <c r="C21" s="143">
        <v>29</v>
      </c>
      <c r="D21" s="143">
        <v>0</v>
      </c>
      <c r="E21" s="116">
        <f t="shared" si="1"/>
        <v>58</v>
      </c>
      <c r="F21" s="850">
        <f>'1461'!F21:G21</f>
        <v>3.609</v>
      </c>
      <c r="G21" s="850"/>
      <c r="H21" s="80">
        <f t="shared" si="2"/>
        <v>209.322</v>
      </c>
      <c r="I21" s="101">
        <f t="shared" si="3"/>
        <v>1164526.8</v>
      </c>
      <c r="N21" s="851" t="s">
        <v>80</v>
      </c>
      <c r="O21" s="851"/>
      <c r="P21" s="848">
        <f t="shared" si="0"/>
        <v>58</v>
      </c>
      <c r="Q21" s="848"/>
      <c r="R21" s="852">
        <v>1</v>
      </c>
      <c r="S21" s="852"/>
      <c r="T21" s="95">
        <f t="shared" si="4"/>
        <v>58</v>
      </c>
      <c r="U21" s="491">
        <f t="shared" si="5"/>
        <v>322672.98</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10.5</v>
      </c>
      <c r="D23" s="143">
        <v>0</v>
      </c>
      <c r="E23" s="116">
        <f t="shared" si="1"/>
        <v>21</v>
      </c>
      <c r="F23" s="850">
        <f>'1461'!F23:G23</f>
        <v>6.0640000000000001</v>
      </c>
      <c r="G23" s="850"/>
      <c r="H23" s="80">
        <f t="shared" si="2"/>
        <v>127.34399999999999</v>
      </c>
      <c r="I23" s="101">
        <f t="shared" si="3"/>
        <v>708456.35</v>
      </c>
      <c r="N23" s="851" t="s">
        <v>82</v>
      </c>
      <c r="O23" s="851"/>
      <c r="P23" s="848">
        <f t="shared" si="0"/>
        <v>21</v>
      </c>
      <c r="Q23" s="848"/>
      <c r="R23" s="852">
        <v>1</v>
      </c>
      <c r="S23" s="852"/>
      <c r="T23" s="95">
        <f t="shared" si="4"/>
        <v>21</v>
      </c>
      <c r="U23" s="491">
        <f t="shared" si="5"/>
        <v>116829.87</v>
      </c>
    </row>
    <row r="24" spans="1:21" x14ac:dyDescent="0.25">
      <c r="A24" s="804" t="s">
        <v>83</v>
      </c>
      <c r="B24" s="804"/>
      <c r="C24" s="143">
        <v>11</v>
      </c>
      <c r="D24" s="143">
        <v>0</v>
      </c>
      <c r="E24" s="116">
        <f t="shared" si="1"/>
        <v>22</v>
      </c>
      <c r="F24" s="850">
        <f>'1461'!F24:G24</f>
        <v>6.0640000000000001</v>
      </c>
      <c r="G24" s="850"/>
      <c r="H24" s="80">
        <f t="shared" si="2"/>
        <v>133.40799999999999</v>
      </c>
      <c r="I24" s="101">
        <f t="shared" si="3"/>
        <v>742192.37</v>
      </c>
      <c r="N24" s="851" t="s">
        <v>83</v>
      </c>
      <c r="O24" s="851"/>
      <c r="P24" s="848">
        <f t="shared" si="0"/>
        <v>22</v>
      </c>
      <c r="Q24" s="848"/>
      <c r="R24" s="852">
        <v>1</v>
      </c>
      <c r="S24" s="852"/>
      <c r="T24" s="95">
        <f t="shared" si="4"/>
        <v>22</v>
      </c>
      <c r="U24" s="491">
        <f t="shared" si="5"/>
        <v>122393.2</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82</v>
      </c>
      <c r="D30" s="94">
        <f>SUM(D14:D29)</f>
        <v>0</v>
      </c>
      <c r="E30" s="94">
        <f>SUM(E14:E29)</f>
        <v>164</v>
      </c>
      <c r="F30" s="808"/>
      <c r="G30" s="808"/>
      <c r="H30" s="99">
        <f>SUM(H14:H29)</f>
        <v>692.33100000000002</v>
      </c>
      <c r="I30" s="94">
        <f>SUM(I14:I29)</f>
        <v>3851663.9600000004</v>
      </c>
      <c r="N30" s="855" t="s">
        <v>5</v>
      </c>
      <c r="O30" s="855"/>
      <c r="P30" s="856">
        <f>SUM(P14:P29)</f>
        <v>164</v>
      </c>
      <c r="Q30" s="856"/>
      <c r="R30" s="857"/>
      <c r="S30" s="857"/>
      <c r="T30" s="100">
        <f>SUM(T14:T29)</f>
        <v>164</v>
      </c>
      <c r="U30" s="491">
        <f>SUM(U14:U29)</f>
        <v>912385.67999999982</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692.33100000000002</v>
      </c>
      <c r="F46" s="34"/>
      <c r="G46" s="106"/>
      <c r="H46" s="107" t="s">
        <v>98</v>
      </c>
      <c r="I46" s="94">
        <f>SUM(I44,I30)</f>
        <v>3851663.9600000004</v>
      </c>
      <c r="N46" s="863" t="s">
        <v>44</v>
      </c>
      <c r="O46" s="863"/>
      <c r="P46" s="863"/>
      <c r="Q46" s="863"/>
      <c r="R46" s="35">
        <f>R44+T30</f>
        <v>164</v>
      </c>
      <c r="S46" s="857" t="s">
        <v>42</v>
      </c>
      <c r="T46" s="857"/>
      <c r="U46" s="108">
        <f>SUM(U44,U30)</f>
        <v>912385.67999999982</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3851663.9600000004</v>
      </c>
      <c r="G51" s="109" t="s">
        <v>6</v>
      </c>
      <c r="H51" s="420">
        <f>'1461'!H51</f>
        <v>6.6699999999999995E-2</v>
      </c>
      <c r="I51" s="101">
        <f>ROUND(F51*H51,2)</f>
        <v>256905.99</v>
      </c>
      <c r="N51" s="425"/>
      <c r="O51" s="426" t="s">
        <v>556</v>
      </c>
      <c r="P51" s="28"/>
      <c r="Q51" s="44" t="s">
        <v>414</v>
      </c>
      <c r="R51" s="427">
        <f>U30</f>
        <v>912385.67999999982</v>
      </c>
      <c r="S51" s="428" t="s">
        <v>6</v>
      </c>
      <c r="T51" s="429">
        <v>6.6699999999999995E-2</v>
      </c>
      <c r="U51" s="421">
        <f>ROUND(R51*T51,2)</f>
        <v>60856.12</v>
      </c>
    </row>
    <row r="52" spans="1:22" x14ac:dyDescent="0.25">
      <c r="A52" s="26"/>
      <c r="B52" s="575" t="str">
        <f>'1461'!B52</f>
        <v>Growth Portion (0.54% of Conference Funding)</v>
      </c>
      <c r="C52" s="26"/>
      <c r="D52" s="26"/>
      <c r="E52" s="43" t="s">
        <v>414</v>
      </c>
      <c r="F52" s="419">
        <v>3851663.9600000004</v>
      </c>
      <c r="G52" s="109" t="s">
        <v>6</v>
      </c>
      <c r="H52" s="420">
        <f>'1461'!H52</f>
        <v>5.4000000000000003E-3</v>
      </c>
      <c r="I52" s="101">
        <f>ROUND(F52*H52,2)</f>
        <v>20798.990000000002</v>
      </c>
      <c r="N52" s="28"/>
      <c r="O52" s="757" t="s">
        <v>560</v>
      </c>
      <c r="P52" s="28"/>
      <c r="Q52" s="44" t="s">
        <v>414</v>
      </c>
      <c r="R52" s="427">
        <f>U30</f>
        <v>912385.67999999982</v>
      </c>
      <c r="S52" s="428" t="s">
        <v>6</v>
      </c>
      <c r="T52" s="429">
        <v>5.4000000000000003E-3</v>
      </c>
      <c r="U52" s="430">
        <f>ROUND(R52*T52,2)</f>
        <v>4926.88</v>
      </c>
    </row>
    <row r="53" spans="1:22" x14ac:dyDescent="0.25">
      <c r="A53" s="26"/>
      <c r="B53" s="81" t="s">
        <v>415</v>
      </c>
      <c r="C53" s="26"/>
      <c r="D53" s="26"/>
      <c r="E53" s="43"/>
      <c r="F53" s="419"/>
      <c r="G53" s="109"/>
      <c r="H53" s="420"/>
      <c r="I53" s="97">
        <f>SUM(I51:I52)</f>
        <v>277704.98</v>
      </c>
      <c r="N53" s="28"/>
      <c r="O53" s="402" t="s">
        <v>415</v>
      </c>
      <c r="P53" s="28"/>
      <c r="Q53" s="44"/>
      <c r="R53" s="427"/>
      <c r="S53" s="428"/>
      <c r="T53" s="429"/>
      <c r="U53" s="421">
        <f>SUM(U51:U52)</f>
        <v>65783</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IF(D$72=0,C57*2,C57+D57)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0.5</v>
      </c>
      <c r="D59" s="143">
        <v>0</v>
      </c>
      <c r="E59" s="116">
        <f>IF(D$66=0,C59*2,C59+D59)</f>
        <v>1</v>
      </c>
      <c r="F59" s="461" t="s">
        <v>451</v>
      </c>
      <c r="G59" s="461">
        <v>253</v>
      </c>
      <c r="H59" s="475">
        <f>'1461'!H59</f>
        <v>6896</v>
      </c>
      <c r="I59" s="101">
        <f t="shared" si="11"/>
        <v>6896</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IF(D$66=0,C60*2,C60+D60)</f>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0.5</v>
      </c>
      <c r="D61" s="143">
        <v>0</v>
      </c>
      <c r="E61" s="116">
        <f>IF(D$66=0,C61*2,C61+D61)</f>
        <v>1</v>
      </c>
      <c r="F61" s="462" t="s">
        <v>13</v>
      </c>
      <c r="G61" s="461">
        <v>252</v>
      </c>
      <c r="H61" s="475">
        <f>'1461'!H61</f>
        <v>3506</v>
      </c>
      <c r="I61" s="101">
        <f t="shared" si="11"/>
        <v>3506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IF(D$66=0,C62*2,C62+D62)</f>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v>
      </c>
      <c r="D66" s="97">
        <f>SUM(D57:D65)</f>
        <v>0</v>
      </c>
      <c r="E66" s="97">
        <f>SUM(E57:E65)</f>
        <v>2</v>
      </c>
      <c r="F66" s="816" t="s">
        <v>460</v>
      </c>
      <c r="G66" s="816"/>
      <c r="H66" s="816"/>
      <c r="I66" s="97">
        <f>SUM(I57:I65)</f>
        <v>10402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164</v>
      </c>
      <c r="D69" s="791" t="s">
        <v>427</v>
      </c>
      <c r="E69" s="791"/>
      <c r="F69" s="791"/>
      <c r="G69" s="791"/>
      <c r="H69" s="299">
        <f>'1461'!H69</f>
        <v>215320.92</v>
      </c>
      <c r="I69" s="113"/>
      <c r="N69" s="870" t="s">
        <v>420</v>
      </c>
      <c r="O69" s="851"/>
      <c r="P69" s="41">
        <f>P30</f>
        <v>164</v>
      </c>
      <c r="Q69" s="871" t="s">
        <v>422</v>
      </c>
      <c r="R69" s="872"/>
      <c r="S69" s="872"/>
      <c r="T69" s="873">
        <f>H69</f>
        <v>215320.92</v>
      </c>
      <c r="U69" s="873"/>
    </row>
    <row r="70" spans="1:22" x14ac:dyDescent="0.25">
      <c r="B70" s="69"/>
      <c r="G70" s="42" t="s">
        <v>12</v>
      </c>
      <c r="H70" s="114">
        <f>ROUND(C69/H69,6)</f>
        <v>7.6199999999999998E-4</v>
      </c>
      <c r="I70" s="115"/>
      <c r="N70" s="851"/>
      <c r="O70" s="851"/>
      <c r="P70" s="851"/>
      <c r="Q70" s="851"/>
      <c r="R70" s="851"/>
      <c r="S70" s="851"/>
      <c r="T70" s="869">
        <f>ROUND(P69/T69,6)</f>
        <v>7.6199999999999998E-4</v>
      </c>
      <c r="U70" s="869"/>
    </row>
    <row r="71" spans="1:22" x14ac:dyDescent="0.25">
      <c r="A71" s="460" t="s">
        <v>463</v>
      </c>
      <c r="N71" s="471" t="s">
        <v>471</v>
      </c>
      <c r="O71" s="51"/>
      <c r="P71" s="51"/>
      <c r="Q71" s="51"/>
      <c r="R71" s="51"/>
      <c r="S71" s="51"/>
      <c r="T71" s="51"/>
      <c r="U71" s="51"/>
    </row>
    <row r="72" spans="1:22" x14ac:dyDescent="0.25">
      <c r="A72" s="810" t="s">
        <v>417</v>
      </c>
      <c r="B72" s="804"/>
      <c r="C72" s="112">
        <f>H30</f>
        <v>692.33100000000002</v>
      </c>
      <c r="D72" s="791" t="s">
        <v>428</v>
      </c>
      <c r="E72" s="791"/>
      <c r="F72" s="791"/>
      <c r="G72" s="791"/>
      <c r="H72" s="300">
        <f>'1461'!H72</f>
        <v>229051.25000000003</v>
      </c>
      <c r="I72" s="116"/>
      <c r="N72" s="870" t="s">
        <v>421</v>
      </c>
      <c r="O72" s="851"/>
      <c r="P72" s="41">
        <f>T30</f>
        <v>164</v>
      </c>
      <c r="Q72" s="871" t="s">
        <v>423</v>
      </c>
      <c r="R72" s="872"/>
      <c r="S72" s="872"/>
      <c r="T72" s="873">
        <f>H72</f>
        <v>229051.25000000003</v>
      </c>
      <c r="U72" s="873"/>
    </row>
    <row r="73" spans="1:22" x14ac:dyDescent="0.25">
      <c r="G73" s="42" t="s">
        <v>12</v>
      </c>
      <c r="H73" s="114">
        <f>ROUND(C72/H72,6)</f>
        <v>3.0230000000000001E-3</v>
      </c>
      <c r="I73" s="114"/>
      <c r="N73" s="851"/>
      <c r="O73" s="851"/>
      <c r="P73" s="851"/>
      <c r="Q73" s="851"/>
      <c r="R73" s="851"/>
      <c r="S73" s="851"/>
      <c r="T73" s="869">
        <f>ROUND(P72/T72,6)</f>
        <v>7.1599999999999995E-4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164</v>
      </c>
      <c r="D75" s="783" t="s">
        <v>429</v>
      </c>
      <c r="E75" s="783"/>
      <c r="F75" s="783"/>
      <c r="G75" s="783"/>
      <c r="H75" s="299">
        <f>'1461'!H75</f>
        <v>186156.17</v>
      </c>
      <c r="I75" s="113"/>
      <c r="N75" s="870" t="s">
        <v>419</v>
      </c>
      <c r="O75" s="851"/>
      <c r="P75" s="41">
        <f>P30</f>
        <v>164</v>
      </c>
      <c r="Q75" s="878" t="s">
        <v>424</v>
      </c>
      <c r="R75" s="879"/>
      <c r="S75" s="879"/>
      <c r="T75" s="873">
        <f>H75</f>
        <v>186156.17</v>
      </c>
      <c r="U75" s="873"/>
    </row>
    <row r="76" spans="1:22" x14ac:dyDescent="0.25">
      <c r="B76" s="69"/>
      <c r="G76" s="42" t="s">
        <v>12</v>
      </c>
      <c r="H76" s="114">
        <f>ROUND(C75/H75,6)</f>
        <v>8.8099999999999995E-4</v>
      </c>
      <c r="I76" s="115"/>
      <c r="N76" s="851"/>
      <c r="O76" s="851"/>
      <c r="P76" s="851"/>
      <c r="Q76" s="851"/>
      <c r="R76" s="851"/>
      <c r="S76" s="851"/>
      <c r="T76" s="869">
        <f>ROUND(P75/T75,6)</f>
        <v>8.8099999999999995E-4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164</v>
      </c>
      <c r="D78" s="811" t="s">
        <v>430</v>
      </c>
      <c r="E78" s="811"/>
      <c r="F78" s="811"/>
      <c r="G78" s="811"/>
      <c r="H78" s="299">
        <f>'1461'!H78</f>
        <v>215016.58000000002</v>
      </c>
      <c r="I78" s="113"/>
      <c r="N78" s="870" t="s">
        <v>419</v>
      </c>
      <c r="O78" s="851"/>
      <c r="P78" s="41">
        <f>P30</f>
        <v>164</v>
      </c>
      <c r="Q78" s="876" t="s">
        <v>425</v>
      </c>
      <c r="R78" s="877"/>
      <c r="S78" s="877"/>
      <c r="T78" s="873">
        <f>H78</f>
        <v>215016.58000000002</v>
      </c>
      <c r="U78" s="873"/>
    </row>
    <row r="79" spans="1:22" x14ac:dyDescent="0.25">
      <c r="B79" s="69"/>
      <c r="G79" s="42" t="s">
        <v>12</v>
      </c>
      <c r="H79" s="114">
        <f>ROUND(C78/H78,6)</f>
        <v>7.6300000000000001E-4</v>
      </c>
      <c r="I79" s="115"/>
      <c r="N79" s="851"/>
      <c r="O79" s="851"/>
      <c r="P79" s="851"/>
      <c r="Q79" s="851"/>
      <c r="R79" s="851"/>
      <c r="S79" s="851"/>
      <c r="T79" s="869">
        <f>ROUND(P78/T78,6)</f>
        <v>7.6300000000000001E-4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164</v>
      </c>
      <c r="D81" s="783" t="s">
        <v>431</v>
      </c>
      <c r="E81" s="783"/>
      <c r="F81" s="783"/>
      <c r="G81" s="783"/>
      <c r="H81" s="299">
        <f>'1461'!H81</f>
        <v>185851.83000000002</v>
      </c>
      <c r="I81" s="113"/>
      <c r="N81" s="870" t="s">
        <v>432</v>
      </c>
      <c r="O81" s="851"/>
      <c r="P81" s="41">
        <f>P30</f>
        <v>164</v>
      </c>
      <c r="Q81" s="878" t="s">
        <v>433</v>
      </c>
      <c r="R81" s="879"/>
      <c r="S81" s="879"/>
      <c r="T81" s="873">
        <f>H81</f>
        <v>185851.83000000002</v>
      </c>
      <c r="U81" s="873"/>
    </row>
    <row r="82" spans="1:21" x14ac:dyDescent="0.25">
      <c r="B82" s="69"/>
      <c r="G82" s="42" t="s">
        <v>12</v>
      </c>
      <c r="H82" s="114">
        <f>ROUND(C81/H81,6)</f>
        <v>8.8199999999999997E-4</v>
      </c>
      <c r="I82" s="115"/>
      <c r="N82" s="851"/>
      <c r="O82" s="851"/>
      <c r="P82" s="851"/>
      <c r="Q82" s="851"/>
      <c r="R82" s="851"/>
      <c r="S82" s="851"/>
      <c r="T82" s="869">
        <f>ROUND(P81/T81,6)</f>
        <v>8.8199999999999997E-4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7.6300000000000001E-4</v>
      </c>
      <c r="I85" s="101">
        <f>ROUND(F85*H85,2)</f>
        <v>36082.839999999997</v>
      </c>
      <c r="N85" s="471" t="s">
        <v>467</v>
      </c>
      <c r="O85" s="51"/>
      <c r="P85" s="51"/>
      <c r="Q85" s="44"/>
      <c r="R85" s="437">
        <f>F85</f>
        <v>47290747</v>
      </c>
      <c r="S85" s="38" t="s">
        <v>6</v>
      </c>
      <c r="T85" s="439">
        <f>T79</f>
        <v>7.6300000000000001E-4</v>
      </c>
      <c r="U85" s="491">
        <f>ROUND(R85*T85,2)</f>
        <v>36082.839999999997</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7.6199999999999998E-4</v>
      </c>
      <c r="I88" s="101">
        <f>ROUND(F88*H88,2)</f>
        <v>0</v>
      </c>
      <c r="N88" s="880" t="s">
        <v>99</v>
      </c>
      <c r="O88" s="851"/>
      <c r="P88" s="851"/>
      <c r="Q88" s="44"/>
      <c r="R88" s="437">
        <f>F88</f>
        <v>0</v>
      </c>
      <c r="S88" s="38" t="s">
        <v>6</v>
      </c>
      <c r="T88" s="439">
        <f>T70</f>
        <v>7.6199999999999998E-4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8.8199999999999997E-4</v>
      </c>
      <c r="I90" s="101">
        <f>ROUND(F90*H90,2)</f>
        <v>16906.07</v>
      </c>
      <c r="N90" s="471" t="s">
        <v>468</v>
      </c>
      <c r="O90" s="51"/>
      <c r="P90" s="51"/>
      <c r="Q90" s="44"/>
      <c r="R90" s="437">
        <f>F90</f>
        <v>19167881</v>
      </c>
      <c r="S90" s="38" t="s">
        <v>6</v>
      </c>
      <c r="T90" s="439">
        <f>T82</f>
        <v>8.8199999999999997E-4</v>
      </c>
      <c r="U90" s="491">
        <f>ROUND(R90*T90,2)</f>
        <v>16906.07</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8.8099999999999995E-4</v>
      </c>
      <c r="I92" s="101">
        <f t="shared" ref="I92:I96" si="14">ROUND(F92*H92,2)</f>
        <v>10172.81</v>
      </c>
      <c r="N92" s="471" t="s">
        <v>469</v>
      </c>
      <c r="O92" s="51"/>
      <c r="P92" s="51"/>
      <c r="Q92" s="44"/>
      <c r="R92" s="437">
        <f t="shared" ref="R92:R96" si="15">F92</f>
        <v>11546889</v>
      </c>
      <c r="S92" s="38" t="s">
        <v>6</v>
      </c>
      <c r="T92" s="439">
        <f>T76</f>
        <v>8.8099999999999995E-4</v>
      </c>
      <c r="U92" s="491">
        <f>ROUND(R92*T92,2)</f>
        <v>10172.81</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3.0230000000000001E-3</v>
      </c>
      <c r="I94" s="101">
        <f t="shared" si="14"/>
        <v>812631.61</v>
      </c>
      <c r="N94" s="851" t="s">
        <v>435</v>
      </c>
      <c r="O94" s="851"/>
      <c r="P94" s="851"/>
      <c r="Q94" s="44"/>
      <c r="R94" s="437">
        <f t="shared" si="15"/>
        <v>268816278</v>
      </c>
      <c r="S94" s="38" t="s">
        <v>6</v>
      </c>
      <c r="T94" s="439">
        <f>T73</f>
        <v>7.1599999999999995E-4</v>
      </c>
      <c r="U94" s="491">
        <f>ROUND(R94*T94,2)</f>
        <v>192472.46</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3.0230000000000001E-3</v>
      </c>
      <c r="I96" s="101">
        <f t="shared" si="14"/>
        <v>0</v>
      </c>
      <c r="N96" s="870" t="s">
        <v>436</v>
      </c>
      <c r="O96" s="851"/>
      <c r="P96" s="851"/>
      <c r="Q96" s="44"/>
      <c r="R96" s="437">
        <f t="shared" si="15"/>
        <v>0</v>
      </c>
      <c r="S96" s="38" t="s">
        <v>6</v>
      </c>
      <c r="T96" s="439">
        <f>T73</f>
        <v>7.1599999999999995E-4</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7.6199999999999998E-4</v>
      </c>
      <c r="I98" s="101">
        <f t="shared" ref="I98" si="16">ROUND(F98*H98,2)</f>
        <v>0</v>
      </c>
      <c r="N98" s="550" t="s">
        <v>507</v>
      </c>
      <c r="O98" s="550"/>
      <c r="P98" s="550"/>
      <c r="Q98" s="44"/>
      <c r="R98" s="553">
        <f>F98</f>
        <v>0</v>
      </c>
      <c r="S98" s="551" t="s">
        <v>6</v>
      </c>
      <c r="T98" s="439">
        <f>T70</f>
        <v>7.6199999999999998E-4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348.601</v>
      </c>
      <c r="D104" s="822"/>
      <c r="E104" s="46">
        <f>H8</f>
        <v>1.0355000000000001</v>
      </c>
      <c r="F104" s="302">
        <f>'1461'!F104</f>
        <v>958.42</v>
      </c>
      <c r="G104" s="39" t="s">
        <v>12</v>
      </c>
      <c r="H104" s="101">
        <f>ROUND(C104*E104*F104,2)</f>
        <v>345966.94</v>
      </c>
      <c r="I104" s="104"/>
      <c r="N104" s="28" t="s">
        <v>17</v>
      </c>
      <c r="O104" s="47">
        <f>T14+T15+T20+T23+T26</f>
        <v>83</v>
      </c>
      <c r="P104" s="881">
        <f>T8</f>
        <v>1.0355000000000001</v>
      </c>
      <c r="Q104" s="881"/>
      <c r="R104" s="48">
        <f>F104</f>
        <v>958.42</v>
      </c>
      <c r="S104" s="40" t="s">
        <v>12</v>
      </c>
      <c r="T104" s="497">
        <f>ROUND(O104*P104*R104,2)</f>
        <v>82372.84</v>
      </c>
      <c r="U104" s="102"/>
    </row>
    <row r="105" spans="1:21" x14ac:dyDescent="0.25">
      <c r="A105" s="49"/>
      <c r="B105" s="49" t="s">
        <v>104</v>
      </c>
      <c r="C105" s="822">
        <f>H16+H17+H21+H24+H27</f>
        <v>343.73</v>
      </c>
      <c r="D105" s="822"/>
      <c r="E105" s="46">
        <f>H8</f>
        <v>1.0355000000000001</v>
      </c>
      <c r="F105" s="302">
        <f>'1461'!F105</f>
        <v>915.09</v>
      </c>
      <c r="G105" s="39" t="s">
        <v>12</v>
      </c>
      <c r="H105" s="101">
        <f>ROUND(C105*E105*F105,2)</f>
        <v>325710.19</v>
      </c>
      <c r="N105" s="50" t="s">
        <v>13</v>
      </c>
      <c r="O105" s="47">
        <f>T16+T17+T21+T24+T27</f>
        <v>81</v>
      </c>
      <c r="P105" s="881">
        <f>T8</f>
        <v>1.0355000000000001</v>
      </c>
      <c r="Q105" s="881"/>
      <c r="R105" s="48">
        <f>F105</f>
        <v>915.09</v>
      </c>
      <c r="S105" s="40" t="s">
        <v>12</v>
      </c>
      <c r="T105" s="497">
        <f>ROUND(O105*P105*R105,2)</f>
        <v>76753.63</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692.33100000000002</v>
      </c>
      <c r="D107" s="812"/>
      <c r="E107" s="123"/>
      <c r="F107" s="123"/>
      <c r="G107" s="123"/>
      <c r="H107" s="124" t="s">
        <v>100</v>
      </c>
      <c r="I107" s="101">
        <f>IF(A1=75,0,H106+H105+H104)</f>
        <v>671677.13</v>
      </c>
      <c r="N107" s="56" t="s">
        <v>89</v>
      </c>
      <c r="O107" s="57">
        <f>SUM(O104:O106)</f>
        <v>164</v>
      </c>
      <c r="P107" s="887" t="s">
        <v>16</v>
      </c>
      <c r="Q107" s="888"/>
      <c r="R107" s="888"/>
      <c r="S107" s="888"/>
      <c r="T107" s="888"/>
      <c r="U107" s="491">
        <f>IF(N1=75,0,T106+T105+T104)</f>
        <v>159126.47</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5409536.4199999999</v>
      </c>
      <c r="N128" s="471"/>
      <c r="O128" s="470"/>
      <c r="P128" s="470"/>
      <c r="Q128" s="305"/>
      <c r="R128" s="305"/>
      <c r="S128" s="305"/>
      <c r="T128" s="305"/>
      <c r="U128" s="498">
        <f>SUM(U30,U85,U88,U90,U92,U94,U96,U107,U113,U114,U124,U126)</f>
        <v>1327146.3299999998</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5131831.4399999995</v>
      </c>
      <c r="N130" s="870" t="s">
        <v>447</v>
      </c>
      <c r="O130" s="851"/>
      <c r="P130" s="851"/>
      <c r="Q130" s="851"/>
      <c r="R130" s="851"/>
      <c r="S130" s="851"/>
      <c r="T130" s="851"/>
      <c r="U130" s="132">
        <f>U128-U53</f>
        <v>1261363.3299999998</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1261363.3299999998</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1261363.3299999998</v>
      </c>
      <c r="I135" s="94">
        <f>ROUND(IF(E30=0,0,IF(E30&gt;250,-(((250/E30)*H135)*IF(G135="H",0.02,0.05)),IF(G135="H",-0.02*H135,-0.05*H135))),2)</f>
        <v>-63068.17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5346468.25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Payments'!Q76</f>
        <v>-440248.86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4906219.3899999997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446019.94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58" t="str">
        <f>'1461'!A152</f>
        <v>(a) Additional FTE includes FTE earned through Advanced Placement, International Baccalaureate, Advanced International Certificate of Education, Industry Certified Career</v>
      </c>
      <c r="B152" s="359"/>
      <c r="C152" s="359"/>
      <c r="D152" s="359"/>
      <c r="E152" s="359"/>
      <c r="F152" s="359"/>
      <c r="G152" s="359"/>
      <c r="H152" s="359"/>
      <c r="I152" s="359"/>
      <c r="J152" s="77"/>
      <c r="K152" s="76"/>
      <c r="L152" s="76"/>
      <c r="M152" s="76"/>
      <c r="N152" s="73"/>
      <c r="O152" s="73"/>
      <c r="P152" s="73"/>
      <c r="Q152" s="73"/>
      <c r="R152" s="73"/>
      <c r="S152" s="73"/>
      <c r="T152" s="73"/>
      <c r="U152" s="73"/>
    </row>
    <row r="153" spans="1:21" ht="15.75" customHeight="1" x14ac:dyDescent="0.25">
      <c r="A153" s="364" t="s">
        <v>387</v>
      </c>
      <c r="B153" s="359"/>
      <c r="C153" s="359"/>
      <c r="D153" s="359"/>
      <c r="E153" s="359"/>
      <c r="F153" s="359"/>
      <c r="G153" s="359"/>
      <c r="H153" s="359"/>
      <c r="I153" s="359"/>
      <c r="J153" s="77"/>
      <c r="K153" s="76"/>
      <c r="L153" s="76"/>
      <c r="M153" s="76"/>
      <c r="N153" s="73"/>
      <c r="O153" s="73"/>
      <c r="P153" s="73"/>
      <c r="Q153" s="73"/>
      <c r="R153" s="73"/>
      <c r="S153" s="73"/>
      <c r="T153" s="73"/>
      <c r="U153" s="73"/>
    </row>
    <row r="154" spans="1:21" x14ac:dyDescent="0.25">
      <c r="A154" s="358" t="s">
        <v>388</v>
      </c>
      <c r="B154" s="360"/>
      <c r="C154" s="360"/>
      <c r="D154" s="360"/>
      <c r="E154" s="360"/>
      <c r="F154" s="360"/>
      <c r="G154" s="360"/>
      <c r="H154" s="360"/>
      <c r="I154" s="360"/>
      <c r="J154" s="76"/>
      <c r="K154" s="76"/>
      <c r="L154" s="76"/>
      <c r="M154" s="76"/>
      <c r="N154" s="73"/>
      <c r="O154" s="73"/>
      <c r="P154" s="73"/>
      <c r="Q154" s="73"/>
      <c r="R154" s="73"/>
      <c r="S154" s="73"/>
      <c r="T154" s="73"/>
      <c r="U154" s="73"/>
    </row>
    <row r="155" spans="1:21" s="76" customFormat="1" x14ac:dyDescent="0.2">
      <c r="A155" s="358" t="s">
        <v>389</v>
      </c>
      <c r="B155" s="360"/>
      <c r="C155" s="360"/>
      <c r="D155" s="360"/>
      <c r="E155" s="360"/>
      <c r="F155" s="360"/>
      <c r="G155" s="360"/>
      <c r="H155" s="360"/>
      <c r="I155" s="360"/>
      <c r="N155" s="896"/>
      <c r="O155" s="896"/>
      <c r="P155" s="896"/>
      <c r="Q155" s="896"/>
      <c r="R155" s="896"/>
      <c r="S155" s="896"/>
      <c r="T155" s="896"/>
      <c r="U155" s="896"/>
    </row>
    <row r="156" spans="1:21" s="76" customFormat="1" x14ac:dyDescent="0.2">
      <c r="A156" s="358" t="s">
        <v>390</v>
      </c>
      <c r="B156" s="360"/>
      <c r="C156" s="360"/>
      <c r="D156" s="360"/>
      <c r="E156" s="360"/>
      <c r="F156" s="360"/>
      <c r="G156" s="360"/>
      <c r="H156" s="360"/>
      <c r="I156" s="360"/>
      <c r="N156" s="73"/>
      <c r="O156" s="73"/>
      <c r="P156" s="73"/>
      <c r="Q156" s="73"/>
      <c r="R156" s="73"/>
      <c r="S156" s="73"/>
      <c r="T156" s="73"/>
      <c r="U156" s="73"/>
    </row>
    <row r="157" spans="1:21" s="76" customFormat="1" x14ac:dyDescent="0.2">
      <c r="A157" s="358" t="s">
        <v>391</v>
      </c>
      <c r="B157" s="360"/>
      <c r="C157" s="360"/>
      <c r="D157" s="360"/>
      <c r="E157" s="360"/>
      <c r="F157" s="360"/>
      <c r="G157" s="360"/>
      <c r="H157" s="360"/>
      <c r="I157" s="360"/>
      <c r="N157" s="78"/>
      <c r="O157" s="79"/>
      <c r="P157" s="79"/>
      <c r="Q157" s="79"/>
      <c r="R157" s="79"/>
      <c r="S157" s="79"/>
      <c r="T157" s="79"/>
      <c r="U157" s="79"/>
    </row>
    <row r="158" spans="1:21" s="76" customFormat="1" x14ac:dyDescent="0.2">
      <c r="A158" s="358" t="s">
        <v>392</v>
      </c>
      <c r="B158" s="360"/>
      <c r="C158" s="360"/>
      <c r="D158" s="360"/>
      <c r="E158" s="360"/>
      <c r="F158" s="360"/>
      <c r="G158" s="360"/>
      <c r="H158" s="360"/>
      <c r="I158" s="360"/>
      <c r="N158" s="78"/>
    </row>
    <row r="159" spans="1:21" s="76" customFormat="1" x14ac:dyDescent="0.2">
      <c r="A159" s="358" t="s">
        <v>394</v>
      </c>
      <c r="B159" s="360"/>
      <c r="C159" s="360"/>
      <c r="D159" s="360"/>
      <c r="E159" s="360"/>
      <c r="F159" s="360"/>
      <c r="G159" s="360"/>
      <c r="H159" s="360"/>
      <c r="I159" s="360"/>
      <c r="N159" s="78"/>
    </row>
    <row r="160" spans="1:21" s="76" customFormat="1" x14ac:dyDescent="0.2">
      <c r="A160" s="364" t="s">
        <v>393</v>
      </c>
      <c r="B160" s="360"/>
      <c r="C160" s="360"/>
      <c r="D160" s="360"/>
      <c r="E160" s="360"/>
      <c r="F160" s="360"/>
      <c r="G160" s="360"/>
      <c r="H160" s="360"/>
      <c r="I160" s="360"/>
      <c r="N160" s="78"/>
    </row>
    <row r="161" spans="1:14" s="76" customFormat="1" x14ac:dyDescent="0.2">
      <c r="A161" s="358" t="s">
        <v>395</v>
      </c>
      <c r="B161" s="360"/>
      <c r="C161" s="360"/>
      <c r="D161" s="360"/>
      <c r="E161" s="360"/>
      <c r="F161" s="360"/>
      <c r="G161" s="360"/>
      <c r="H161" s="360"/>
      <c r="I161" s="360"/>
      <c r="N161" s="78"/>
    </row>
    <row r="162" spans="1:14" s="76" customFormat="1" x14ac:dyDescent="0.2">
      <c r="A162" s="364" t="str">
        <f>'1461'!A162</f>
        <v>"All Adjusted ESE Riders" should include only ESE Riders.</v>
      </c>
      <c r="B162" s="360"/>
      <c r="C162" s="360"/>
      <c r="D162" s="360"/>
      <c r="E162" s="360"/>
      <c r="F162" s="360"/>
      <c r="G162" s="360"/>
      <c r="H162" s="360"/>
      <c r="I162" s="360"/>
      <c r="N162" s="78"/>
    </row>
    <row r="163" spans="1:14" s="76" customFormat="1" x14ac:dyDescent="0.2">
      <c r="A163" s="358" t="s">
        <v>398</v>
      </c>
      <c r="B163" s="360"/>
      <c r="C163" s="360"/>
      <c r="D163" s="360"/>
      <c r="E163" s="360"/>
      <c r="F163" s="360"/>
      <c r="G163" s="360"/>
      <c r="H163" s="360"/>
      <c r="I163" s="360"/>
      <c r="N163" s="78"/>
    </row>
    <row r="164" spans="1:14" s="76" customFormat="1" ht="15.75" customHeight="1" x14ac:dyDescent="0.2">
      <c r="A164" s="358" t="str">
        <f>'1461'!A164</f>
        <v xml:space="preserve">(j) Funding based on student eligibility and meals provided, if participating in the National School Lunch Program. </v>
      </c>
      <c r="B164" s="360"/>
      <c r="C164" s="360"/>
      <c r="D164" s="360"/>
      <c r="E164" s="360"/>
      <c r="F164" s="360"/>
      <c r="G164" s="360"/>
      <c r="H164" s="360"/>
      <c r="I164" s="360"/>
      <c r="N164" s="78"/>
    </row>
    <row r="165" spans="1:14" s="76" customFormat="1" ht="15.75" customHeight="1" x14ac:dyDescent="0.2">
      <c r="A165" s="358" t="s">
        <v>400</v>
      </c>
      <c r="B165" s="360"/>
      <c r="C165" s="360"/>
      <c r="D165" s="360"/>
      <c r="E165" s="360"/>
      <c r="F165" s="360"/>
      <c r="G165" s="360"/>
      <c r="H165" s="360"/>
      <c r="I165" s="360"/>
      <c r="N165" s="78"/>
    </row>
    <row r="166" spans="1:14" s="76" customFormat="1" ht="15.75" customHeight="1" x14ac:dyDescent="0.2">
      <c r="A166" s="364" t="s">
        <v>399</v>
      </c>
      <c r="B166" s="360"/>
      <c r="C166" s="360"/>
      <c r="D166" s="360"/>
      <c r="E166" s="360"/>
      <c r="F166" s="360"/>
      <c r="G166" s="360"/>
      <c r="H166" s="360"/>
      <c r="I166" s="360"/>
      <c r="N166" s="78"/>
    </row>
    <row r="167" spans="1:14" s="76" customFormat="1" ht="15.75" customHeight="1" x14ac:dyDescent="0.2">
      <c r="A167" s="358" t="s">
        <v>401</v>
      </c>
      <c r="B167" s="360"/>
      <c r="C167" s="360"/>
      <c r="D167" s="360"/>
      <c r="E167" s="360"/>
      <c r="F167" s="360"/>
      <c r="G167" s="360"/>
      <c r="H167" s="360"/>
      <c r="I167" s="360"/>
      <c r="N167" s="78"/>
    </row>
    <row r="168" spans="1:14" s="76" customFormat="1" ht="15.75" customHeight="1" x14ac:dyDescent="0.2">
      <c r="A168" s="364" t="str">
        <f>'1461'!A168</f>
        <v xml:space="preserve">unweighted full-time equivalent students. </v>
      </c>
      <c r="B168" s="360"/>
      <c r="C168" s="360"/>
      <c r="D168" s="360"/>
      <c r="E168" s="360"/>
      <c r="F168" s="360"/>
      <c r="G168" s="360"/>
      <c r="H168" s="360"/>
      <c r="I168" s="360"/>
      <c r="N168" s="78"/>
    </row>
    <row r="169" spans="1:14" s="76" customFormat="1" ht="15.75" customHeight="1" x14ac:dyDescent="0.2">
      <c r="A169" s="358" t="s">
        <v>403</v>
      </c>
      <c r="B169" s="360"/>
      <c r="C169" s="360"/>
      <c r="D169" s="360"/>
      <c r="E169" s="360"/>
      <c r="F169" s="360"/>
      <c r="G169" s="360"/>
      <c r="H169" s="360"/>
      <c r="I169" s="360"/>
      <c r="N169" s="78"/>
    </row>
    <row r="170" spans="1:14" s="76" customFormat="1" ht="15.75" customHeight="1" x14ac:dyDescent="0.2">
      <c r="A170" s="364" t="s">
        <v>402</v>
      </c>
      <c r="B170" s="360"/>
      <c r="C170" s="360"/>
      <c r="D170" s="360"/>
      <c r="E170" s="360"/>
      <c r="F170" s="360"/>
      <c r="G170" s="360"/>
      <c r="H170" s="360"/>
      <c r="I170" s="360"/>
      <c r="N170" s="78"/>
    </row>
    <row r="171" spans="1:14" s="76" customFormat="1" ht="15.75" customHeight="1" x14ac:dyDescent="0.2">
      <c r="A171" s="358"/>
      <c r="B171" s="360"/>
      <c r="C171" s="360"/>
      <c r="D171" s="360"/>
      <c r="E171" s="360"/>
      <c r="F171" s="360"/>
      <c r="G171" s="360"/>
      <c r="H171" s="360"/>
      <c r="I171" s="360"/>
      <c r="N171" s="78"/>
    </row>
    <row r="172" spans="1:14" s="76" customFormat="1" ht="15.75" customHeight="1" x14ac:dyDescent="0.25">
      <c r="A172" s="371" t="str">
        <f>'1461'!A172</f>
        <v>Administrative fees:</v>
      </c>
      <c r="B172" s="360"/>
      <c r="C172" s="360"/>
      <c r="D172" s="360"/>
      <c r="E172" s="360"/>
      <c r="F172" s="360"/>
      <c r="G172" s="360"/>
      <c r="H172" s="360"/>
      <c r="I172" s="360"/>
      <c r="J172" s="3"/>
      <c r="K172" s="3"/>
      <c r="L172" s="3"/>
      <c r="M172" s="3"/>
      <c r="N172" s="78"/>
    </row>
    <row r="173" spans="1:14" s="76" customFormat="1" ht="15.75" customHeight="1" x14ac:dyDescent="0.25">
      <c r="A173" s="375" t="str">
        <f>'1461'!A173</f>
        <v xml:space="preserve">Administrative fees charged by the school district pursuant to s. 1002.33(20)(a), F.S., shall be calculated based upon 5% of available funds from the FEFP and categorical </v>
      </c>
      <c r="B173" s="363"/>
      <c r="C173" s="363"/>
      <c r="D173" s="363"/>
      <c r="E173" s="363"/>
      <c r="F173" s="363"/>
      <c r="G173" s="363"/>
      <c r="H173" s="363"/>
      <c r="I173" s="363"/>
      <c r="J173" s="3"/>
      <c r="K173" s="3"/>
      <c r="L173" s="3"/>
      <c r="M173" s="3"/>
      <c r="N173" s="78"/>
    </row>
    <row r="174" spans="1:14" s="76" customFormat="1" ht="15.75" customHeight="1" x14ac:dyDescent="0.25">
      <c r="A174" s="376" t="str">
        <f>'1461'!A174</f>
        <v>funding for which charter students may be eligible.  To calculate the administrative fee to be withheld for schools with more than 250 students, divide the school</v>
      </c>
      <c r="B174" s="370"/>
      <c r="C174" s="370"/>
      <c r="D174" s="370"/>
      <c r="E174" s="370"/>
      <c r="F174" s="370"/>
      <c r="G174" s="370"/>
      <c r="H174" s="370"/>
      <c r="I174" s="370"/>
      <c r="J174" s="3"/>
      <c r="K174" s="3"/>
      <c r="L174" s="3"/>
      <c r="M174" s="3"/>
      <c r="N174" s="78"/>
    </row>
    <row r="175" spans="1:14" s="76" customFormat="1" ht="15.75" customHeight="1" x14ac:dyDescent="0.25">
      <c r="A175" s="376" t="s">
        <v>404</v>
      </c>
      <c r="B175" s="370"/>
      <c r="C175" s="370"/>
      <c r="D175" s="370"/>
      <c r="E175" s="370"/>
      <c r="F175" s="370"/>
      <c r="G175" s="370"/>
      <c r="H175" s="370"/>
      <c r="I175" s="370"/>
      <c r="J175" s="3"/>
      <c r="K175" s="3"/>
      <c r="L175" s="3"/>
      <c r="M175" s="3"/>
      <c r="N175" s="78"/>
    </row>
    <row r="176" spans="1:14" s="76" customFormat="1" ht="15.75" customHeight="1" x14ac:dyDescent="0.2">
      <c r="A176" s="376" t="s">
        <v>405</v>
      </c>
      <c r="B176" s="370"/>
      <c r="C176" s="370"/>
      <c r="D176" s="370"/>
      <c r="E176" s="370"/>
      <c r="F176" s="370"/>
      <c r="G176" s="370"/>
      <c r="H176" s="370"/>
      <c r="I176" s="370"/>
      <c r="N176" s="78"/>
    </row>
    <row r="177" spans="1:21" s="76" customFormat="1" ht="15.75" customHeight="1" x14ac:dyDescent="0.2">
      <c r="A177" s="375"/>
      <c r="B177" s="370"/>
      <c r="C177" s="370"/>
      <c r="D177" s="370"/>
      <c r="E177" s="370"/>
      <c r="F177" s="370"/>
      <c r="G177" s="370"/>
      <c r="H177" s="370"/>
      <c r="I177" s="370"/>
      <c r="N177" s="78"/>
    </row>
    <row r="178" spans="1:21" ht="15.75" customHeight="1" x14ac:dyDescent="0.25">
      <c r="A178" s="375" t="str">
        <f>'1461'!A178</f>
        <v xml:space="preserve">For high performing charter schools, administrative fees charged by the school district shall be calculated based upon 2% of available funds from the FEFP and categorical </v>
      </c>
      <c r="B178" s="363"/>
      <c r="C178" s="363"/>
      <c r="D178" s="363"/>
      <c r="E178" s="363"/>
      <c r="F178" s="363"/>
      <c r="G178" s="363"/>
      <c r="H178" s="363"/>
      <c r="I178" s="363"/>
      <c r="J178" s="76"/>
      <c r="K178" s="76"/>
      <c r="L178" s="76"/>
      <c r="M178" s="76"/>
      <c r="N178" s="78"/>
      <c r="O178" s="76"/>
      <c r="P178" s="76"/>
      <c r="Q178" s="76"/>
      <c r="R178" s="76"/>
      <c r="S178" s="76"/>
      <c r="T178" s="76"/>
      <c r="U178" s="76"/>
    </row>
    <row r="179" spans="1:21" ht="15.75" customHeight="1" x14ac:dyDescent="0.25">
      <c r="A179" s="376" t="str">
        <f>'1461'!A179</f>
        <v>funding for which charter students may be eligible.  To calculate the administrative fee to be withheld for schools with more than 250 students, divide the school</v>
      </c>
      <c r="B179" s="363"/>
      <c r="C179" s="363"/>
      <c r="D179" s="363"/>
      <c r="E179" s="363"/>
      <c r="F179" s="363"/>
      <c r="G179" s="363"/>
      <c r="H179" s="363"/>
      <c r="I179" s="363"/>
      <c r="J179" s="76"/>
      <c r="K179" s="76"/>
      <c r="L179" s="76"/>
      <c r="M179" s="76"/>
      <c r="N179" s="74"/>
    </row>
    <row r="180" spans="1:21" s="76" customFormat="1" ht="15.75" customHeight="1" x14ac:dyDescent="0.25">
      <c r="A180" s="376" t="str">
        <f>'1461'!A180</f>
        <v xml:space="preserve">population into 250. Multiply that fraction times the funds available, then times 2%.  </v>
      </c>
      <c r="B180" s="363"/>
      <c r="C180" s="363"/>
      <c r="D180" s="363"/>
      <c r="E180" s="363"/>
      <c r="F180" s="363"/>
      <c r="G180" s="363"/>
      <c r="H180" s="363"/>
      <c r="I180" s="363"/>
      <c r="N180" s="74"/>
      <c r="O180" s="3"/>
      <c r="P180" s="3"/>
      <c r="Q180" s="3"/>
      <c r="R180" s="3"/>
      <c r="S180" s="3"/>
      <c r="T180" s="3"/>
      <c r="U180" s="3"/>
    </row>
    <row r="181" spans="1:21" x14ac:dyDescent="0.25">
      <c r="A181" s="358"/>
      <c r="B181" s="363"/>
      <c r="C181" s="363"/>
      <c r="D181" s="363"/>
      <c r="E181" s="363"/>
      <c r="F181" s="363"/>
      <c r="G181" s="363"/>
      <c r="H181" s="363"/>
      <c r="I181" s="363"/>
      <c r="N181" s="78"/>
      <c r="O181" s="76"/>
      <c r="P181" s="76"/>
      <c r="Q181" s="76"/>
      <c r="R181" s="76"/>
      <c r="S181" s="76"/>
      <c r="T181" s="76"/>
      <c r="U181" s="76"/>
    </row>
    <row r="182" spans="1:21" x14ac:dyDescent="0.25">
      <c r="A182" s="371" t="str">
        <f>'1461'!A182</f>
        <v>Other:</v>
      </c>
      <c r="B182" s="369"/>
      <c r="C182" s="369"/>
      <c r="D182" s="369"/>
      <c r="E182" s="369"/>
      <c r="F182" s="369"/>
      <c r="G182" s="369"/>
      <c r="H182" s="369"/>
      <c r="I182" s="369"/>
      <c r="N182" s="78"/>
      <c r="O182" s="76"/>
      <c r="P182" s="76"/>
      <c r="Q182" s="76"/>
      <c r="R182" s="76"/>
      <c r="S182" s="76"/>
      <c r="T182" s="76"/>
      <c r="U182" s="76"/>
    </row>
    <row r="183" spans="1:21" x14ac:dyDescent="0.25">
      <c r="A183" s="375" t="str">
        <f>'1461'!A183</f>
        <v>FEFP and categorical funding are recalculated during the year to reflect the revised number of full-time equivalent students reported during the survey periods designated</v>
      </c>
      <c r="B183" s="363"/>
      <c r="C183" s="363"/>
      <c r="D183" s="363"/>
      <c r="E183" s="363"/>
      <c r="F183" s="363"/>
      <c r="G183" s="363"/>
      <c r="H183" s="363"/>
      <c r="I183" s="363"/>
      <c r="N183" s="78"/>
      <c r="O183" s="76"/>
      <c r="P183" s="76"/>
      <c r="Q183" s="76"/>
      <c r="R183" s="76"/>
      <c r="S183" s="76"/>
      <c r="T183" s="76"/>
      <c r="U183" s="76"/>
    </row>
    <row r="184" spans="1:21" x14ac:dyDescent="0.25">
      <c r="A184" s="376" t="str">
        <f>'1461'!A184</f>
        <v>by the Commissioner of Education.</v>
      </c>
      <c r="B184" s="370"/>
      <c r="C184" s="370"/>
      <c r="D184" s="370"/>
      <c r="E184" s="370"/>
      <c r="F184" s="370"/>
      <c r="G184" s="370"/>
      <c r="H184" s="370"/>
      <c r="I184" s="370"/>
      <c r="N184" s="74"/>
    </row>
    <row r="185" spans="1:21" x14ac:dyDescent="0.25">
      <c r="A185" s="375" t="str">
        <f>'1461'!A185</f>
        <v>Revenues flow to districts from state sources and from county tax collectors on various distribution schedules.</v>
      </c>
      <c r="B185" s="363"/>
      <c r="C185" s="363"/>
      <c r="D185" s="363"/>
      <c r="E185" s="363"/>
      <c r="F185" s="363"/>
      <c r="G185" s="363"/>
      <c r="H185" s="363"/>
      <c r="I185" s="363"/>
      <c r="N185" s="74"/>
    </row>
    <row r="186" spans="1:21" x14ac:dyDescent="0.25">
      <c r="A186" s="292"/>
      <c r="B186" s="292"/>
      <c r="C186" s="292"/>
      <c r="D186" s="292"/>
      <c r="E186" s="292"/>
      <c r="F186" s="292"/>
      <c r="G186" s="292"/>
      <c r="H186" s="292"/>
      <c r="I186" s="292"/>
      <c r="N186" s="74"/>
    </row>
    <row r="187" spans="1:21" x14ac:dyDescent="0.25">
      <c r="A187" s="74"/>
      <c r="N187" s="74"/>
    </row>
    <row r="188" spans="1:21" x14ac:dyDescent="0.25">
      <c r="A188" s="74"/>
      <c r="N188" s="74"/>
    </row>
    <row r="189" spans="1:21" x14ac:dyDescent="0.25">
      <c r="A189" s="74"/>
      <c r="N189" s="74"/>
    </row>
    <row r="190" spans="1:21" x14ac:dyDescent="0.25">
      <c r="A190" s="74"/>
      <c r="B190" s="135"/>
      <c r="C190" s="135"/>
      <c r="D190" s="135"/>
      <c r="E190" s="135"/>
      <c r="F190" s="135"/>
      <c r="G190" s="135"/>
      <c r="H190" s="135"/>
      <c r="I190" s="135"/>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4:B124"/>
    <mergeCell ref="R121:S121"/>
    <mergeCell ref="A122:B122"/>
    <mergeCell ref="F122:G122"/>
    <mergeCell ref="N122:O122"/>
    <mergeCell ref="P122:Q122"/>
    <mergeCell ref="N155:U155"/>
    <mergeCell ref="N135:U135"/>
    <mergeCell ref="N126:P126"/>
    <mergeCell ref="A126:C126"/>
    <mergeCell ref="F126:H126"/>
    <mergeCell ref="N130:T130"/>
    <mergeCell ref="A128:H128"/>
    <mergeCell ref="A132:G132"/>
    <mergeCell ref="A133:G133"/>
    <mergeCell ref="N136:U136"/>
    <mergeCell ref="A123:B123"/>
    <mergeCell ref="F123:G123"/>
    <mergeCell ref="N123:O123"/>
    <mergeCell ref="P123:Q123"/>
    <mergeCell ref="R123:S123"/>
    <mergeCell ref="R122:S122"/>
    <mergeCell ref="A121:B121"/>
    <mergeCell ref="F121:G121"/>
    <mergeCell ref="F110:I110"/>
    <mergeCell ref="N110:P110"/>
    <mergeCell ref="Q110:T110"/>
    <mergeCell ref="R120:S120"/>
    <mergeCell ref="A113:B113"/>
    <mergeCell ref="N113:O113"/>
    <mergeCell ref="P113:R113"/>
    <mergeCell ref="A114:B114"/>
    <mergeCell ref="N114:O114"/>
    <mergeCell ref="P114:R114"/>
    <mergeCell ref="A117:C117"/>
    <mergeCell ref="F117:I117"/>
    <mergeCell ref="N117:U117"/>
    <mergeCell ref="C118:E118"/>
    <mergeCell ref="F119:G119"/>
    <mergeCell ref="A120:B120"/>
    <mergeCell ref="F120:G120"/>
    <mergeCell ref="N120:O120"/>
    <mergeCell ref="P120:Q120"/>
    <mergeCell ref="C104:D104"/>
    <mergeCell ref="P104:Q104"/>
    <mergeCell ref="C105:D105"/>
    <mergeCell ref="P105:Q105"/>
    <mergeCell ref="C106:D106"/>
    <mergeCell ref="P106:Q106"/>
    <mergeCell ref="C107:D107"/>
    <mergeCell ref="P107:T107"/>
    <mergeCell ref="A108:I108"/>
    <mergeCell ref="N108:U108"/>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A78:B78"/>
    <mergeCell ref="D78:G78"/>
    <mergeCell ref="N78:O78"/>
    <mergeCell ref="Q78:S78"/>
    <mergeCell ref="T78:U78"/>
    <mergeCell ref="N79:S79"/>
    <mergeCell ref="T79:U79"/>
    <mergeCell ref="A57:B65"/>
    <mergeCell ref="F66:H66"/>
    <mergeCell ref="P65:Q65"/>
    <mergeCell ref="P66:Q66"/>
    <mergeCell ref="R66:T66"/>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N132:T132"/>
    <mergeCell ref="N133:T133"/>
    <mergeCell ref="P56:Q56"/>
    <mergeCell ref="P57:Q57"/>
    <mergeCell ref="P58:Q58"/>
    <mergeCell ref="P59:Q59"/>
    <mergeCell ref="P60:Q60"/>
    <mergeCell ref="P61:Q61"/>
    <mergeCell ref="P62:Q62"/>
    <mergeCell ref="P63:Q63"/>
    <mergeCell ref="P64:Q64"/>
    <mergeCell ref="N88:P88"/>
    <mergeCell ref="N76:S76"/>
    <mergeCell ref="T76:U76"/>
    <mergeCell ref="N124:O124"/>
    <mergeCell ref="N121:O121"/>
    <mergeCell ref="P121:Q121"/>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CCCC"/>
  </sheetPr>
  <dimension ref="A1:V221"/>
  <sheetViews>
    <sheetView topLeftCell="A111" workbookViewId="0">
      <selection activeCell="K129" sqref="K129"/>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382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120.12</v>
      </c>
      <c r="D14" s="141">
        <v>0</v>
      </c>
      <c r="E14" s="187">
        <f>IF(D$30=0,C14*2,C14+D14)</f>
        <v>240.24</v>
      </c>
      <c r="F14" s="846">
        <f>'1461'!F14:G14</f>
        <v>1.1080000000000001</v>
      </c>
      <c r="G14" s="846"/>
      <c r="H14" s="145">
        <f>ROUND(E14*F14,4)</f>
        <v>266.1859</v>
      </c>
      <c r="I14" s="111">
        <f>ROUND(ROUND(ROUND(H14*$C$8,4)*($H$8),2)*(MAX($H$9,1)),2)</f>
        <v>1480879.28</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27</v>
      </c>
      <c r="D15" s="143">
        <v>0</v>
      </c>
      <c r="E15" s="116">
        <f t="shared" ref="E15:E29" si="1">IF(D$30=0,C15*2,C15+D15)</f>
        <v>54</v>
      </c>
      <c r="F15" s="850">
        <f>'1461'!F15:G15</f>
        <v>1.1080000000000001</v>
      </c>
      <c r="G15" s="850"/>
      <c r="H15" s="80">
        <f t="shared" ref="H15:H29" si="2">ROUND(E15*F15,4)</f>
        <v>59.832000000000001</v>
      </c>
      <c r="I15" s="101">
        <f t="shared" ref="I15:I29" si="3">ROUND(ROUND(ROUND(H15*$C$8,4)*($H$8),2)*(MAX($H$9,1)),2)</f>
        <v>332865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54.89</v>
      </c>
      <c r="D16" s="143">
        <v>0</v>
      </c>
      <c r="E16" s="116">
        <f t="shared" si="1"/>
        <v>109.78</v>
      </c>
      <c r="F16" s="850">
        <f>'1461'!F16:G16</f>
        <v>1</v>
      </c>
      <c r="G16" s="850"/>
      <c r="H16" s="80">
        <f t="shared" si="2"/>
        <v>109.78</v>
      </c>
      <c r="I16" s="101">
        <f t="shared" si="3"/>
        <v>610742.06999999995</v>
      </c>
      <c r="N16" s="851" t="s">
        <v>22</v>
      </c>
      <c r="O16" s="851"/>
      <c r="P16" s="848">
        <f t="shared" si="0"/>
        <v>0</v>
      </c>
      <c r="Q16" s="848"/>
      <c r="R16" s="852">
        <v>1</v>
      </c>
      <c r="S16" s="852"/>
      <c r="T16" s="95">
        <f t="shared" si="4"/>
        <v>0</v>
      </c>
      <c r="U16" s="491">
        <f t="shared" si="5"/>
        <v>0</v>
      </c>
    </row>
    <row r="17" spans="1:21" x14ac:dyDescent="0.25">
      <c r="A17" s="804" t="s">
        <v>23</v>
      </c>
      <c r="B17" s="804"/>
      <c r="C17" s="143">
        <v>16.5</v>
      </c>
      <c r="D17" s="143">
        <v>0</v>
      </c>
      <c r="E17" s="116">
        <f t="shared" si="1"/>
        <v>33</v>
      </c>
      <c r="F17" s="850">
        <f>'1461'!F17:G17</f>
        <v>1</v>
      </c>
      <c r="G17" s="850"/>
      <c r="H17" s="80">
        <f t="shared" si="2"/>
        <v>33</v>
      </c>
      <c r="I17" s="101">
        <f t="shared" si="3"/>
        <v>183589.8</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58.879999999999995</v>
      </c>
      <c r="D26" s="143">
        <v>0</v>
      </c>
      <c r="E26" s="116">
        <f t="shared" si="1"/>
        <v>117.75999999999999</v>
      </c>
      <c r="F26" s="850">
        <f>'1461'!F26:G26</f>
        <v>1.165</v>
      </c>
      <c r="G26" s="850"/>
      <c r="H26" s="80">
        <f t="shared" si="2"/>
        <v>137.19040000000001</v>
      </c>
      <c r="I26" s="101">
        <f t="shared" si="3"/>
        <v>763235.1</v>
      </c>
      <c r="N26" s="851" t="s">
        <v>85</v>
      </c>
      <c r="O26" s="851"/>
      <c r="P26" s="848">
        <f t="shared" si="0"/>
        <v>0</v>
      </c>
      <c r="Q26" s="848"/>
      <c r="R26" s="852">
        <v>1</v>
      </c>
      <c r="S26" s="852"/>
      <c r="T26" s="95">
        <f t="shared" si="4"/>
        <v>0</v>
      </c>
      <c r="U26" s="491">
        <f t="shared" si="5"/>
        <v>0</v>
      </c>
    </row>
    <row r="27" spans="1:21" x14ac:dyDescent="0.25">
      <c r="A27" s="804" t="s">
        <v>86</v>
      </c>
      <c r="B27" s="804"/>
      <c r="C27" s="143">
        <v>12.11</v>
      </c>
      <c r="D27" s="143">
        <v>0</v>
      </c>
      <c r="E27" s="116">
        <f t="shared" si="1"/>
        <v>24.22</v>
      </c>
      <c r="F27" s="850">
        <f>'1461'!F27:G27</f>
        <v>1.165</v>
      </c>
      <c r="G27" s="850"/>
      <c r="H27" s="80">
        <f t="shared" si="2"/>
        <v>28.2163</v>
      </c>
      <c r="I27" s="101">
        <f t="shared" si="3"/>
        <v>156976.51</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289.5</v>
      </c>
      <c r="D30" s="94">
        <f>SUM(D14:D29)</f>
        <v>0</v>
      </c>
      <c r="E30" s="94">
        <f>SUM(E14:E29)</f>
        <v>579</v>
      </c>
      <c r="F30" s="808"/>
      <c r="G30" s="808"/>
      <c r="H30" s="99">
        <f>SUM(H14:H29)</f>
        <v>634.20460000000003</v>
      </c>
      <c r="I30" s="94">
        <f>SUM(I14:I29)</f>
        <v>3528287.76</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634.20460000000003</v>
      </c>
      <c r="F46" s="34"/>
      <c r="G46" s="106"/>
      <c r="H46" s="107" t="s">
        <v>98</v>
      </c>
      <c r="I46" s="94">
        <f>SUM(I44,I30)</f>
        <v>3528287.76</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3528287.76</v>
      </c>
      <c r="G51" s="109" t="s">
        <v>6</v>
      </c>
      <c r="H51" s="420">
        <f>'1461'!H51</f>
        <v>6.6699999999999995E-2</v>
      </c>
      <c r="I51" s="101">
        <f>ROUND(F51*H51,2)</f>
        <v>235336.79</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3528287.76</v>
      </c>
      <c r="G52" s="109" t="s">
        <v>6</v>
      </c>
      <c r="H52" s="420">
        <f>'1461'!H52</f>
        <v>5.4000000000000003E-3</v>
      </c>
      <c r="I52" s="101">
        <f>ROUND(F52*H52,2)</f>
        <v>19052.75</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254389.54</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23.5</v>
      </c>
      <c r="D57" s="143">
        <v>0</v>
      </c>
      <c r="E57" s="116">
        <f>IF(D$66=0,C57*2,C57+D57)</f>
        <v>47</v>
      </c>
      <c r="F57" s="461" t="s">
        <v>451</v>
      </c>
      <c r="G57" s="461">
        <v>251</v>
      </c>
      <c r="H57" s="475">
        <f>'1461'!H57</f>
        <v>1047</v>
      </c>
      <c r="I57" s="101">
        <f>ROUND(E57*H57,2)</f>
        <v>49209</v>
      </c>
      <c r="N57" s="865" t="s">
        <v>459</v>
      </c>
      <c r="O57" s="865"/>
      <c r="P57" s="867"/>
      <c r="Q57" s="867"/>
      <c r="R57" s="467" t="s">
        <v>451</v>
      </c>
      <c r="S57" s="467">
        <v>251</v>
      </c>
      <c r="T57" s="478">
        <f>H57</f>
        <v>1047</v>
      </c>
      <c r="U57" s="492">
        <f>ROUND(P57*T57,2)</f>
        <v>0</v>
      </c>
      <c r="V57" s="442"/>
    </row>
    <row r="58" spans="1:22" x14ac:dyDescent="0.25">
      <c r="A58" s="815"/>
      <c r="B58" s="815"/>
      <c r="C58" s="143">
        <v>3</v>
      </c>
      <c r="D58" s="143">
        <v>0</v>
      </c>
      <c r="E58" s="116">
        <f>IF(D$66=0,C58*2,C58+D58)</f>
        <v>6</v>
      </c>
      <c r="F58" s="461" t="s">
        <v>451</v>
      </c>
      <c r="G58" s="461">
        <v>252</v>
      </c>
      <c r="H58" s="475">
        <f>'1461'!H58</f>
        <v>3380</v>
      </c>
      <c r="I58" s="101">
        <f t="shared" ref="I58:I65" si="10">ROUND(E58*H58,2)</f>
        <v>20280</v>
      </c>
      <c r="N58" s="866"/>
      <c r="O58" s="866"/>
      <c r="P58" s="868"/>
      <c r="Q58" s="868"/>
      <c r="R58" s="467" t="s">
        <v>451</v>
      </c>
      <c r="S58" s="467">
        <v>252</v>
      </c>
      <c r="T58" s="478">
        <f t="shared" ref="T58:T65" si="11">H58</f>
        <v>3380</v>
      </c>
      <c r="U58" s="492">
        <f t="shared" ref="U58:U65" si="12">ROUND(P58*T58,2)</f>
        <v>0</v>
      </c>
      <c r="V58" s="442"/>
    </row>
    <row r="59" spans="1:22" x14ac:dyDescent="0.25">
      <c r="A59" s="815"/>
      <c r="B59" s="815"/>
      <c r="C59" s="143">
        <v>0.5</v>
      </c>
      <c r="D59" s="143">
        <v>0</v>
      </c>
      <c r="E59" s="116">
        <f>IF(D$66=0,C59*2,C59+D59)</f>
        <v>1</v>
      </c>
      <c r="F59" s="461" t="s">
        <v>451</v>
      </c>
      <c r="G59" s="461">
        <v>253</v>
      </c>
      <c r="H59" s="475">
        <f>'1461'!H59</f>
        <v>6896</v>
      </c>
      <c r="I59" s="101">
        <f t="shared" si="10"/>
        <v>6896</v>
      </c>
      <c r="N59" s="866"/>
      <c r="O59" s="866"/>
      <c r="P59" s="868"/>
      <c r="Q59" s="868"/>
      <c r="R59" s="467" t="s">
        <v>451</v>
      </c>
      <c r="S59" s="467">
        <v>253</v>
      </c>
      <c r="T59" s="478">
        <f t="shared" si="11"/>
        <v>6896</v>
      </c>
      <c r="U59" s="492">
        <f t="shared" si="12"/>
        <v>0</v>
      </c>
      <c r="V59" s="442"/>
    </row>
    <row r="60" spans="1:22" x14ac:dyDescent="0.25">
      <c r="A60" s="815"/>
      <c r="B60" s="815"/>
      <c r="C60" s="143">
        <v>16.5</v>
      </c>
      <c r="D60" s="143">
        <v>0</v>
      </c>
      <c r="E60" s="116">
        <f>IF(D$66=0,C60*2,C60+D60)</f>
        <v>33</v>
      </c>
      <c r="F60" s="462" t="s">
        <v>13</v>
      </c>
      <c r="G60" s="461">
        <v>251</v>
      </c>
      <c r="H60" s="475">
        <f>'1461'!H60</f>
        <v>1173</v>
      </c>
      <c r="I60" s="101">
        <f t="shared" si="10"/>
        <v>38709</v>
      </c>
      <c r="N60" s="866"/>
      <c r="O60" s="866"/>
      <c r="P60" s="868"/>
      <c r="Q60" s="868"/>
      <c r="R60" s="40" t="s">
        <v>13</v>
      </c>
      <c r="S60" s="467">
        <v>251</v>
      </c>
      <c r="T60" s="478">
        <f t="shared" si="11"/>
        <v>1173</v>
      </c>
      <c r="U60" s="492">
        <f t="shared" si="12"/>
        <v>0</v>
      </c>
      <c r="V60" s="442"/>
    </row>
    <row r="61" spans="1:22" x14ac:dyDescent="0.25">
      <c r="A61" s="815"/>
      <c r="B61" s="815"/>
      <c r="C61" s="143">
        <v>0</v>
      </c>
      <c r="D61" s="143">
        <v>0</v>
      </c>
      <c r="E61" s="116">
        <f>IF(D$66=0,C61*2,C61+D61)</f>
        <v>0</v>
      </c>
      <c r="F61" s="462" t="s">
        <v>13</v>
      </c>
      <c r="G61" s="461">
        <v>252</v>
      </c>
      <c r="H61" s="475">
        <f>'1461'!H61</f>
        <v>3506</v>
      </c>
      <c r="I61" s="101">
        <f t="shared" si="10"/>
        <v>0</v>
      </c>
      <c r="N61" s="866"/>
      <c r="O61" s="866"/>
      <c r="P61" s="868"/>
      <c r="Q61" s="868"/>
      <c r="R61" s="40" t="s">
        <v>13</v>
      </c>
      <c r="S61" s="467">
        <v>252</v>
      </c>
      <c r="T61" s="478">
        <f t="shared" si="11"/>
        <v>3506</v>
      </c>
      <c r="U61" s="492">
        <f t="shared" si="12"/>
        <v>0</v>
      </c>
      <c r="V61" s="442"/>
    </row>
    <row r="62" spans="1:22" x14ac:dyDescent="0.25">
      <c r="A62" s="815"/>
      <c r="B62" s="815"/>
      <c r="C62" s="143">
        <v>0</v>
      </c>
      <c r="D62" s="143">
        <v>0</v>
      </c>
      <c r="E62" s="116">
        <f t="shared" ref="E62:E65" si="13">IF(D$72=0,C62*2,C62+D62)</f>
        <v>0</v>
      </c>
      <c r="F62" s="462" t="s">
        <v>13</v>
      </c>
      <c r="G62" s="461">
        <v>253</v>
      </c>
      <c r="H62" s="475">
        <f>'1461'!H62</f>
        <v>7023</v>
      </c>
      <c r="I62" s="101">
        <f t="shared" si="10"/>
        <v>0</v>
      </c>
      <c r="N62" s="866"/>
      <c r="O62" s="866"/>
      <c r="P62" s="868"/>
      <c r="Q62" s="868"/>
      <c r="R62" s="40" t="s">
        <v>13</v>
      </c>
      <c r="S62" s="467">
        <v>253</v>
      </c>
      <c r="T62" s="478">
        <f t="shared" si="11"/>
        <v>7023</v>
      </c>
      <c r="U62" s="492">
        <f t="shared" si="12"/>
        <v>0</v>
      </c>
      <c r="V62" s="442"/>
    </row>
    <row r="63" spans="1:22" x14ac:dyDescent="0.25">
      <c r="A63" s="815"/>
      <c r="B63" s="815"/>
      <c r="C63" s="143">
        <v>0</v>
      </c>
      <c r="D63" s="143">
        <v>0</v>
      </c>
      <c r="E63" s="116">
        <f t="shared" si="13"/>
        <v>0</v>
      </c>
      <c r="F63" s="462" t="s">
        <v>14</v>
      </c>
      <c r="G63" s="461">
        <v>251</v>
      </c>
      <c r="H63" s="475">
        <f>'1461'!H63</f>
        <v>835</v>
      </c>
      <c r="I63" s="101">
        <f t="shared" si="10"/>
        <v>0</v>
      </c>
      <c r="N63" s="866"/>
      <c r="O63" s="866"/>
      <c r="P63" s="868"/>
      <c r="Q63" s="868"/>
      <c r="R63" s="40" t="s">
        <v>14</v>
      </c>
      <c r="S63" s="467">
        <v>251</v>
      </c>
      <c r="T63" s="478">
        <f t="shared" si="11"/>
        <v>835</v>
      </c>
      <c r="U63" s="492">
        <f t="shared" si="12"/>
        <v>0</v>
      </c>
      <c r="V63" s="442"/>
    </row>
    <row r="64" spans="1:22" x14ac:dyDescent="0.25">
      <c r="A64" s="815"/>
      <c r="B64" s="815"/>
      <c r="C64" s="143">
        <v>0</v>
      </c>
      <c r="D64" s="143">
        <v>0</v>
      </c>
      <c r="E64" s="116">
        <f t="shared" si="13"/>
        <v>0</v>
      </c>
      <c r="F64" s="462" t="s">
        <v>14</v>
      </c>
      <c r="G64" s="461">
        <v>252</v>
      </c>
      <c r="H64" s="475">
        <f>'1461'!H64</f>
        <v>3168</v>
      </c>
      <c r="I64" s="101">
        <f t="shared" si="10"/>
        <v>0</v>
      </c>
      <c r="N64" s="866"/>
      <c r="O64" s="866"/>
      <c r="P64" s="868"/>
      <c r="Q64" s="868"/>
      <c r="R64" s="40" t="s">
        <v>14</v>
      </c>
      <c r="S64" s="467">
        <v>252</v>
      </c>
      <c r="T64" s="478">
        <f t="shared" si="11"/>
        <v>3168</v>
      </c>
      <c r="U64" s="492">
        <f t="shared" si="12"/>
        <v>0</v>
      </c>
      <c r="V64" s="442"/>
    </row>
    <row r="65" spans="1:22" ht="16.5" thickBot="1" x14ac:dyDescent="0.3">
      <c r="A65" s="815"/>
      <c r="B65" s="815"/>
      <c r="C65" s="143">
        <v>0</v>
      </c>
      <c r="D65" s="143">
        <v>0</v>
      </c>
      <c r="E65" s="116">
        <f t="shared" si="13"/>
        <v>0</v>
      </c>
      <c r="F65" s="462" t="s">
        <v>14</v>
      </c>
      <c r="G65" s="461">
        <v>253</v>
      </c>
      <c r="H65" s="475">
        <f>'1461'!H65</f>
        <v>6685</v>
      </c>
      <c r="I65" s="101">
        <f t="shared" si="10"/>
        <v>0</v>
      </c>
      <c r="N65" s="866"/>
      <c r="O65" s="866"/>
      <c r="P65" s="874"/>
      <c r="Q65" s="874"/>
      <c r="R65" s="40" t="s">
        <v>14</v>
      </c>
      <c r="S65" s="467">
        <v>253</v>
      </c>
      <c r="T65" s="478">
        <f t="shared" si="11"/>
        <v>6685</v>
      </c>
      <c r="U65" s="493">
        <f t="shared" si="12"/>
        <v>0</v>
      </c>
      <c r="V65" s="442"/>
    </row>
    <row r="66" spans="1:22" ht="16.5" thickBot="1" x14ac:dyDescent="0.3">
      <c r="A66" s="458"/>
      <c r="C66" s="97">
        <f>SUM(C57:C65)</f>
        <v>43.5</v>
      </c>
      <c r="D66" s="97">
        <f>SUM(D57:D65)</f>
        <v>0</v>
      </c>
      <c r="E66" s="97">
        <f>SUM(E57:E65)</f>
        <v>87</v>
      </c>
      <c r="F66" s="816" t="s">
        <v>460</v>
      </c>
      <c r="G66" s="816"/>
      <c r="H66" s="816"/>
      <c r="I66" s="97">
        <f>SUM(I57:I65)</f>
        <v>115094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579</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2.689E-3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634.20460000000003</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2.7690000000000002E-3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579</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3.1099999999999999E-3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579</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2.6930000000000001E-3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579</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3.1150000000000001E-3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2.6930000000000001E-3</v>
      </c>
      <c r="I85" s="101">
        <f>ROUND(F85*H85,2)</f>
        <v>127353.98</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2.689E-3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3.1150000000000001E-3</v>
      </c>
      <c r="I90" s="101">
        <f>ROUND(F90*H90,2)</f>
        <v>59707.95</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3.1099999999999999E-3</v>
      </c>
      <c r="I92" s="101">
        <f t="shared" ref="I92:I96" si="14">ROUND(F92*H92,2)</f>
        <v>35910.82</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2.7690000000000002E-3</v>
      </c>
      <c r="I94" s="101">
        <f t="shared" si="14"/>
        <v>744352.27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2.7690000000000002E-3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2.689E-3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463.20830000000001</v>
      </c>
      <c r="D104" s="822"/>
      <c r="E104" s="46">
        <f>H8</f>
        <v>1.0355000000000001</v>
      </c>
      <c r="F104" s="302">
        <f>'1461'!F104</f>
        <v>958.42</v>
      </c>
      <c r="G104" s="39" t="s">
        <v>12</v>
      </c>
      <c r="H104" s="101">
        <f>ROUND(C104*E104*F104,2)</f>
        <v>459708.26</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170.99629999999999</v>
      </c>
      <c r="D105" s="822"/>
      <c r="E105" s="46">
        <f>H8</f>
        <v>1.0355000000000001</v>
      </c>
      <c r="F105" s="302">
        <f>'1461'!F105</f>
        <v>915.09</v>
      </c>
      <c r="G105" s="39" t="s">
        <v>12</v>
      </c>
      <c r="H105" s="101">
        <f>ROUND(C105*E105*F105,2)</f>
        <v>162031.94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634.20460000000003</v>
      </c>
      <c r="D107" s="812"/>
      <c r="E107" s="123"/>
      <c r="F107" s="123"/>
      <c r="G107" s="123"/>
      <c r="H107" s="124" t="s">
        <v>100</v>
      </c>
      <c r="I107" s="101">
        <f>IF(A1=75,0,H106+H105+H104)</f>
        <v>621740.19999999995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215</v>
      </c>
      <c r="D113" s="143">
        <v>217</v>
      </c>
      <c r="E113" s="116">
        <f>(C113+D113)/2</f>
        <v>216</v>
      </c>
      <c r="F113" s="126" t="s">
        <v>30</v>
      </c>
      <c r="G113" s="303">
        <f>'1461'!G113</f>
        <v>617</v>
      </c>
      <c r="I113" s="101">
        <f>ROUND(G113*E113,2)</f>
        <v>133272</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5365718.9799999995</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5111329.4399999995</v>
      </c>
      <c r="N130" s="870"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5111329.4399999995</v>
      </c>
      <c r="I135" s="94">
        <f>ROUND(IF(E30=0,0,IF(E30&gt;250,-(((250/E30)*H135)*IF(G135="H",0.02,0.05)),IF(G135="H",-0.02*H135,-0.05*H135))),2)</f>
        <v>-110348.22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5255370.76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Payments'!Q77</f>
        <v>-433777.9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4821592.8599999994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438326.62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145218.25199999998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CCCC"/>
  </sheetPr>
  <dimension ref="A1:V221"/>
  <sheetViews>
    <sheetView topLeftCell="A108"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119.8</v>
      </c>
      <c r="D14" s="143">
        <v>0</v>
      </c>
      <c r="E14" s="187">
        <f>IF(D$30=0,C14*2,C14+D14)</f>
        <v>239.6</v>
      </c>
      <c r="F14" s="846">
        <f>'1461'!F14:G14</f>
        <v>1.1080000000000001</v>
      </c>
      <c r="G14" s="846"/>
      <c r="H14" s="145">
        <f>ROUND(E14*F14,4)</f>
        <v>265.47680000000003</v>
      </c>
      <c r="I14" s="111">
        <f>ROUND(ROUND(ROUND(H14*$C$8,4)*($H$8),2)*(MAX($H$9,1)),2)</f>
        <v>1476934.33</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23</v>
      </c>
      <c r="D15" s="143">
        <v>0</v>
      </c>
      <c r="E15" s="116">
        <f t="shared" ref="E15:E29" si="1">IF(D$30=0,C15*2,C15+D15)</f>
        <v>46</v>
      </c>
      <c r="F15" s="850">
        <f>'1461'!F15:G15</f>
        <v>1.1080000000000001</v>
      </c>
      <c r="G15" s="850"/>
      <c r="H15" s="80">
        <f t="shared" ref="H15:H29" si="2">ROUND(E15*F15,4)</f>
        <v>50.968000000000004</v>
      </c>
      <c r="I15" s="101">
        <f t="shared" ref="I15:I29" si="3">ROUND(ROUND(ROUND(H15*$C$8,4)*($H$8),2)*(MAX($H$9,1)),2)</f>
        <v>283551.67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159.5</v>
      </c>
      <c r="D16" s="143">
        <v>0</v>
      </c>
      <c r="E16" s="116">
        <f t="shared" si="1"/>
        <v>319</v>
      </c>
      <c r="F16" s="850">
        <f>'1461'!F16:G16</f>
        <v>1</v>
      </c>
      <c r="G16" s="850"/>
      <c r="H16" s="80">
        <f t="shared" si="2"/>
        <v>319</v>
      </c>
      <c r="I16" s="101">
        <f t="shared" si="3"/>
        <v>1774701.41</v>
      </c>
      <c r="N16" s="851" t="s">
        <v>22</v>
      </c>
      <c r="O16" s="851"/>
      <c r="P16" s="848">
        <f t="shared" si="0"/>
        <v>0</v>
      </c>
      <c r="Q16" s="848"/>
      <c r="R16" s="852">
        <v>1</v>
      </c>
      <c r="S16" s="852"/>
      <c r="T16" s="95">
        <f t="shared" si="4"/>
        <v>0</v>
      </c>
      <c r="U16" s="491">
        <f t="shared" si="5"/>
        <v>0</v>
      </c>
    </row>
    <row r="17" spans="1:21" x14ac:dyDescent="0.25">
      <c r="A17" s="804" t="s">
        <v>23</v>
      </c>
      <c r="B17" s="804"/>
      <c r="C17" s="143">
        <v>43.46</v>
      </c>
      <c r="D17" s="143">
        <v>0</v>
      </c>
      <c r="E17" s="116">
        <f t="shared" si="1"/>
        <v>86.92</v>
      </c>
      <c r="F17" s="850">
        <f>'1461'!F17:G17</f>
        <v>1</v>
      </c>
      <c r="G17" s="850"/>
      <c r="H17" s="80">
        <f t="shared" si="2"/>
        <v>86.92</v>
      </c>
      <c r="I17" s="101">
        <f t="shared" si="3"/>
        <v>483564.41</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7.1999999999999993</v>
      </c>
      <c r="D26" s="143">
        <v>0</v>
      </c>
      <c r="E26" s="116">
        <f t="shared" si="1"/>
        <v>14.399999999999999</v>
      </c>
      <c r="F26" s="850">
        <f>'1461'!F26:G26</f>
        <v>1.165</v>
      </c>
      <c r="G26" s="850"/>
      <c r="H26" s="80">
        <f t="shared" si="2"/>
        <v>16.776</v>
      </c>
      <c r="I26" s="101">
        <f t="shared" si="3"/>
        <v>93330.38</v>
      </c>
      <c r="N26" s="851" t="s">
        <v>85</v>
      </c>
      <c r="O26" s="851"/>
      <c r="P26" s="848">
        <f t="shared" si="0"/>
        <v>0</v>
      </c>
      <c r="Q26" s="848"/>
      <c r="R26" s="852">
        <v>1</v>
      </c>
      <c r="S26" s="852"/>
      <c r="T26" s="95">
        <f t="shared" si="4"/>
        <v>0</v>
      </c>
      <c r="U26" s="491">
        <f t="shared" si="5"/>
        <v>0</v>
      </c>
    </row>
    <row r="27" spans="1:21" x14ac:dyDescent="0.25">
      <c r="A27" s="804" t="s">
        <v>86</v>
      </c>
      <c r="B27" s="804"/>
      <c r="C27" s="143">
        <v>1.4100000000000001</v>
      </c>
      <c r="D27" s="143">
        <v>0</v>
      </c>
      <c r="E27" s="116">
        <f t="shared" si="1"/>
        <v>2.8200000000000003</v>
      </c>
      <c r="F27" s="850">
        <f>'1461'!F27:G27</f>
        <v>1.165</v>
      </c>
      <c r="G27" s="850"/>
      <c r="H27" s="80">
        <f t="shared" si="2"/>
        <v>3.2852999999999999</v>
      </c>
      <c r="I27" s="101">
        <f t="shared" si="3"/>
        <v>18277.2</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354.37</v>
      </c>
      <c r="D30" s="94">
        <f>SUM(D14:D29)</f>
        <v>0</v>
      </c>
      <c r="E30" s="94">
        <f>SUM(E14:E29)</f>
        <v>708.74</v>
      </c>
      <c r="F30" s="808"/>
      <c r="G30" s="808"/>
      <c r="H30" s="99">
        <f>SUM(H14:H29)</f>
        <v>742.42609999999991</v>
      </c>
      <c r="I30" s="94">
        <f>SUM(I14:I29)</f>
        <v>4130359.4000000004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742.42609999999991</v>
      </c>
      <c r="F46" s="34"/>
      <c r="G46" s="106"/>
      <c r="H46" s="107" t="s">
        <v>98</v>
      </c>
      <c r="I46" s="94">
        <f>SUM(I44,I30)</f>
        <v>4130359.4000000004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4130359.4000000004</v>
      </c>
      <c r="G51" s="109" t="s">
        <v>6</v>
      </c>
      <c r="H51" s="420">
        <f>'1461'!H51</f>
        <v>6.6699999999999995E-2</v>
      </c>
      <c r="I51" s="101">
        <f>ROUND(F51*H51,2)</f>
        <v>275494.96999999997</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4130359.4000000004</v>
      </c>
      <c r="G52" s="109" t="s">
        <v>6</v>
      </c>
      <c r="H52" s="420">
        <f>'1461'!H52</f>
        <v>5.4000000000000003E-3</v>
      </c>
      <c r="I52" s="101">
        <f>ROUND(F52*H52,2)</f>
        <v>22303.94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297798.90999999997</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19</v>
      </c>
      <c r="D57" s="143">
        <v>0</v>
      </c>
      <c r="E57" s="116">
        <f t="shared" ref="E57:E65" si="10">IF(D$66=0,C57*2,C57+D57)</f>
        <v>38</v>
      </c>
      <c r="F57" s="461" t="s">
        <v>451</v>
      </c>
      <c r="G57" s="461">
        <v>251</v>
      </c>
      <c r="H57" s="475">
        <f>'1461'!H57</f>
        <v>1047</v>
      </c>
      <c r="I57" s="101">
        <f>ROUND(E57*H57,2)</f>
        <v>39786</v>
      </c>
      <c r="N57" s="865" t="s">
        <v>459</v>
      </c>
      <c r="O57" s="865"/>
      <c r="P57" s="867"/>
      <c r="Q57" s="867"/>
      <c r="R57" s="467" t="s">
        <v>451</v>
      </c>
      <c r="S57" s="467">
        <v>251</v>
      </c>
      <c r="T57" s="478">
        <f>H57</f>
        <v>1047</v>
      </c>
      <c r="U57" s="492">
        <f>ROUND(P57*T57,2)</f>
        <v>0</v>
      </c>
      <c r="V57" s="442"/>
    </row>
    <row r="58" spans="1:22" x14ac:dyDescent="0.25">
      <c r="A58" s="815"/>
      <c r="B58" s="815"/>
      <c r="C58" s="143">
        <v>4</v>
      </c>
      <c r="D58" s="143">
        <v>0</v>
      </c>
      <c r="E58" s="116">
        <f t="shared" si="10"/>
        <v>8</v>
      </c>
      <c r="F58" s="461" t="s">
        <v>451</v>
      </c>
      <c r="G58" s="461">
        <v>252</v>
      </c>
      <c r="H58" s="475">
        <f>'1461'!H58</f>
        <v>3380</v>
      </c>
      <c r="I58" s="101">
        <f t="shared" ref="I58:I65" si="11">ROUND(E58*H58,2)</f>
        <v>27040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36.43</v>
      </c>
      <c r="D60" s="143">
        <v>0</v>
      </c>
      <c r="E60" s="116">
        <f t="shared" si="10"/>
        <v>72.86</v>
      </c>
      <c r="F60" s="462" t="s">
        <v>13</v>
      </c>
      <c r="G60" s="461">
        <v>251</v>
      </c>
      <c r="H60" s="475">
        <f>'1461'!H60</f>
        <v>1173</v>
      </c>
      <c r="I60" s="101">
        <f t="shared" si="11"/>
        <v>85464.78</v>
      </c>
      <c r="N60" s="866"/>
      <c r="O60" s="866"/>
      <c r="P60" s="868"/>
      <c r="Q60" s="868"/>
      <c r="R60" s="40" t="s">
        <v>13</v>
      </c>
      <c r="S60" s="467">
        <v>251</v>
      </c>
      <c r="T60" s="478">
        <f t="shared" si="12"/>
        <v>1173</v>
      </c>
      <c r="U60" s="492">
        <f t="shared" si="13"/>
        <v>0</v>
      </c>
      <c r="V60" s="442"/>
    </row>
    <row r="61" spans="1:22" x14ac:dyDescent="0.25">
      <c r="A61" s="815"/>
      <c r="B61" s="815"/>
      <c r="C61" s="143">
        <v>7.03</v>
      </c>
      <c r="D61" s="143">
        <v>0</v>
      </c>
      <c r="E61" s="116">
        <f t="shared" si="10"/>
        <v>14.06</v>
      </c>
      <c r="F61" s="462" t="s">
        <v>13</v>
      </c>
      <c r="G61" s="461">
        <v>252</v>
      </c>
      <c r="H61" s="475">
        <f>'1461'!H61</f>
        <v>3506</v>
      </c>
      <c r="I61" s="101">
        <f t="shared" si="11"/>
        <v>49294.36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66.459999999999994</v>
      </c>
      <c r="D66" s="97">
        <f>SUM(D57:D65)</f>
        <v>0</v>
      </c>
      <c r="E66" s="97">
        <f>SUM(E57:E65)</f>
        <v>132.91999999999999</v>
      </c>
      <c r="F66" s="816" t="s">
        <v>460</v>
      </c>
      <c r="G66" s="816"/>
      <c r="H66" s="816"/>
      <c r="I66" s="97">
        <f>SUM(I57:I65)</f>
        <v>201585.14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708.74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3.2919999999999998E-3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742.42609999999991</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3.241E-3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708.74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3.8070000000000001E-3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708.74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3.2959999999999999E-3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708.74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3.813E-3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3.2959999999999999E-3</v>
      </c>
      <c r="I85" s="101">
        <f>ROUND(F85*H85,2)</f>
        <v>155870.29999999999</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3.2919999999999998E-3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3.813E-3</v>
      </c>
      <c r="I90" s="101">
        <f>ROUND(F90*H90,2)</f>
        <v>73087.13</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3.8070000000000001E-3</v>
      </c>
      <c r="I92" s="101">
        <f t="shared" ref="I92:I96" si="14">ROUND(F92*H92,2)</f>
        <v>43959.01</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3.241E-3</v>
      </c>
      <c r="I94" s="101">
        <f t="shared" si="14"/>
        <v>871233.56</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3.241E-3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3.2919999999999998E-3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333.22080000000005</v>
      </c>
      <c r="D104" s="822"/>
      <c r="E104" s="46">
        <f>H8</f>
        <v>1.0355000000000001</v>
      </c>
      <c r="F104" s="302">
        <f>'1461'!F104</f>
        <v>958.42</v>
      </c>
      <c r="G104" s="39" t="s">
        <v>12</v>
      </c>
      <c r="H104" s="101">
        <f>ROUND(C104*E104*F104,2)</f>
        <v>330702.95</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409.20530000000002</v>
      </c>
      <c r="D105" s="822"/>
      <c r="E105" s="46">
        <f>H8</f>
        <v>1.0355000000000001</v>
      </c>
      <c r="F105" s="302">
        <f>'1461'!F105</f>
        <v>915.09</v>
      </c>
      <c r="G105" s="39" t="s">
        <v>12</v>
      </c>
      <c r="H105" s="101">
        <f>ROUND(C105*E105*F105,2)</f>
        <v>387753</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742.42610000000013</v>
      </c>
      <c r="D107" s="812"/>
      <c r="E107" s="123"/>
      <c r="F107" s="123"/>
      <c r="G107" s="123"/>
      <c r="H107" s="124" t="s">
        <v>100</v>
      </c>
      <c r="I107" s="101">
        <f>IF(A1=75,0,H106+H105+H104)</f>
        <v>718455.95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6194550.4899999993</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5896751.5799999991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5896751.5799999991</v>
      </c>
      <c r="I135" s="94">
        <f>ROUND(IF(E30=0,0,IF(E30&gt;250,-(((250/E30)*H135)*IF(G135="H",0.02,0.05)),IF(G135="H",-0.02*H135,-0.05*H135))),2)</f>
        <v>-41600.25</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6152950.2399999993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Payments'!Q78</f>
        <v>-505265.93</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5647684.3099999996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513425.85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76334.781599999988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FFCCCC"/>
  </sheetPr>
  <dimension ref="A1:V221"/>
  <sheetViews>
    <sheetView topLeftCell="A33" workbookViewId="0">
      <selection activeCell="L115" sqref="L115"/>
    </sheetView>
    <sheetView topLeftCell="A102" workbookViewId="1">
      <selection activeCell="I128" sqref="I128"/>
    </sheetView>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114</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0.5</v>
      </c>
      <c r="D14" s="143">
        <v>0</v>
      </c>
      <c r="E14" s="187">
        <f>IF(D$30=0,C14*2,C14+D14)</f>
        <v>1</v>
      </c>
      <c r="F14" s="846">
        <f>'1461'!F14:G14</f>
        <v>1.1080000000000001</v>
      </c>
      <c r="G14" s="846"/>
      <c r="H14" s="145">
        <f>ROUND(E14*F14,4)</f>
        <v>1.1080000000000001</v>
      </c>
      <c r="I14" s="111">
        <f>ROUND(ROUND(ROUND(H14*$C$8,4)*($H$8),2)*(MAX($H$9,1)),2)</f>
        <v>6164.17</v>
      </c>
      <c r="N14" s="847" t="s">
        <v>20</v>
      </c>
      <c r="O14" s="847"/>
      <c r="P14" s="848">
        <f t="shared" ref="P14:P29" si="0">IF($H$133=1,E14,0)</f>
        <v>1</v>
      </c>
      <c r="Q14" s="848"/>
      <c r="R14" s="849">
        <v>1</v>
      </c>
      <c r="S14" s="849"/>
      <c r="T14" s="95">
        <f>ROUND(P14*R14,4)</f>
        <v>1</v>
      </c>
      <c r="U14" s="491">
        <f>ROUND(ROUND(ROUND(T14*$C$8,4)*($H$8),2)*(MAX($H$9,1)),2)</f>
        <v>5563.33</v>
      </c>
    </row>
    <row r="15" spans="1:21" x14ac:dyDescent="0.25">
      <c r="A15" s="804" t="s">
        <v>21</v>
      </c>
      <c r="B15" s="804"/>
      <c r="C15" s="143">
        <v>10.5</v>
      </c>
      <c r="D15" s="143">
        <v>0</v>
      </c>
      <c r="E15" s="116">
        <f t="shared" ref="E15:E29" si="1">IF(D$30=0,C15*2,C15+D15)</f>
        <v>21</v>
      </c>
      <c r="F15" s="850">
        <f>'1461'!F15:G15</f>
        <v>1.1080000000000001</v>
      </c>
      <c r="G15" s="850"/>
      <c r="H15" s="80">
        <f t="shared" ref="H15:H29" si="2">ROUND(E15*F15,4)</f>
        <v>23.268000000000001</v>
      </c>
      <c r="I15" s="101">
        <f t="shared" ref="I15:I29" si="3">ROUND(ROUND(ROUND(H15*$C$8,4)*($H$8),2)*(MAX($H$9,1)),2)</f>
        <v>129447.5</v>
      </c>
      <c r="J15" s="65" t="str">
        <f>IF(ROUND(E15,2)=ROUND(SUM(E57:E59),2)," ","CHECK PK-3 LINES BELOW")</f>
        <v xml:space="preserve"> </v>
      </c>
      <c r="N15" s="851" t="s">
        <v>21</v>
      </c>
      <c r="O15" s="851"/>
      <c r="P15" s="848">
        <f t="shared" si="0"/>
        <v>21</v>
      </c>
      <c r="Q15" s="848"/>
      <c r="R15" s="852">
        <v>1</v>
      </c>
      <c r="S15" s="852"/>
      <c r="T15" s="95">
        <f t="shared" ref="T15:T29" si="4">ROUND(P15*R15,4)</f>
        <v>21</v>
      </c>
      <c r="U15" s="491">
        <f t="shared" ref="U15:U29" si="5">ROUND(ROUND(ROUND(T15*$C$8,4)*($H$8),2)*(MAX($H$9,1)),2)</f>
        <v>116829.87</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13</v>
      </c>
      <c r="D17" s="143">
        <v>0</v>
      </c>
      <c r="E17" s="116">
        <f t="shared" si="1"/>
        <v>26</v>
      </c>
      <c r="F17" s="850">
        <f>'1461'!F17:G17</f>
        <v>1</v>
      </c>
      <c r="G17" s="850"/>
      <c r="H17" s="80">
        <f t="shared" si="2"/>
        <v>26</v>
      </c>
      <c r="I17" s="101">
        <f t="shared" si="3"/>
        <v>144646.51</v>
      </c>
      <c r="J17" s="65" t="str">
        <f>IF(ROUND(E17,2)=ROUND(SUM(E60:E62),2)," ","CHECK 4-8 LINES BELOW")</f>
        <v xml:space="preserve"> </v>
      </c>
      <c r="N17" s="851" t="s">
        <v>23</v>
      </c>
      <c r="O17" s="851"/>
      <c r="P17" s="848">
        <f t="shared" si="0"/>
        <v>26</v>
      </c>
      <c r="Q17" s="848"/>
      <c r="R17" s="852">
        <v>1</v>
      </c>
      <c r="S17" s="852"/>
      <c r="T17" s="95">
        <f t="shared" si="4"/>
        <v>26</v>
      </c>
      <c r="U17" s="491">
        <f t="shared" si="5"/>
        <v>144646.51</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33.5</v>
      </c>
      <c r="D19" s="143">
        <v>0</v>
      </c>
      <c r="E19" s="116">
        <f t="shared" si="1"/>
        <v>67</v>
      </c>
      <c r="F19" s="850">
        <f>'1461'!F19:G19</f>
        <v>0.97199999999999998</v>
      </c>
      <c r="G19" s="850"/>
      <c r="H19" s="80">
        <f t="shared" si="2"/>
        <v>65.123999999999995</v>
      </c>
      <c r="I19" s="101">
        <f t="shared" si="3"/>
        <v>362306.13</v>
      </c>
      <c r="J19" s="65" t="str">
        <f>IF(ROUND(E19,2)=ROUND(SUM(E63:E65),2)," ","CHECK 4-8 LINES BELOW")</f>
        <v xml:space="preserve"> </v>
      </c>
      <c r="N19" s="851" t="s">
        <v>25</v>
      </c>
      <c r="O19" s="851"/>
      <c r="P19" s="848">
        <f t="shared" si="0"/>
        <v>67</v>
      </c>
      <c r="Q19" s="848"/>
      <c r="R19" s="852">
        <v>1</v>
      </c>
      <c r="S19" s="852"/>
      <c r="T19" s="95">
        <f t="shared" si="4"/>
        <v>67</v>
      </c>
      <c r="U19" s="490">
        <f t="shared" si="5"/>
        <v>372742.93</v>
      </c>
    </row>
    <row r="20" spans="1:21" x14ac:dyDescent="0.25">
      <c r="A20" s="804" t="s">
        <v>79</v>
      </c>
      <c r="B20" s="804"/>
      <c r="C20" s="143">
        <v>41.5</v>
      </c>
      <c r="D20" s="143">
        <v>0</v>
      </c>
      <c r="E20" s="116">
        <f t="shared" si="1"/>
        <v>83</v>
      </c>
      <c r="F20" s="850">
        <f>'1461'!F20:G20</f>
        <v>3.609</v>
      </c>
      <c r="G20" s="850"/>
      <c r="H20" s="80">
        <f t="shared" si="2"/>
        <v>299.54700000000003</v>
      </c>
      <c r="I20" s="101">
        <f t="shared" si="3"/>
        <v>1666478</v>
      </c>
      <c r="N20" s="851" t="s">
        <v>79</v>
      </c>
      <c r="O20" s="851"/>
      <c r="P20" s="848">
        <f t="shared" si="0"/>
        <v>83</v>
      </c>
      <c r="Q20" s="848"/>
      <c r="R20" s="852">
        <v>1</v>
      </c>
      <c r="S20" s="852"/>
      <c r="T20" s="95">
        <f t="shared" si="4"/>
        <v>83</v>
      </c>
      <c r="U20" s="491">
        <f t="shared" si="5"/>
        <v>461756.17</v>
      </c>
    </row>
    <row r="21" spans="1:21" x14ac:dyDescent="0.25">
      <c r="A21" s="804" t="s">
        <v>80</v>
      </c>
      <c r="B21" s="804"/>
      <c r="C21" s="143">
        <v>32.5</v>
      </c>
      <c r="D21" s="143">
        <v>0</v>
      </c>
      <c r="E21" s="116">
        <f t="shared" si="1"/>
        <v>65</v>
      </c>
      <c r="F21" s="850">
        <f>'1461'!F21:G21</f>
        <v>3.609</v>
      </c>
      <c r="G21" s="850"/>
      <c r="H21" s="80">
        <f t="shared" si="2"/>
        <v>234.58500000000001</v>
      </c>
      <c r="I21" s="101">
        <f t="shared" si="3"/>
        <v>1305073.1299999999</v>
      </c>
      <c r="N21" s="851" t="s">
        <v>80</v>
      </c>
      <c r="O21" s="851"/>
      <c r="P21" s="848">
        <f t="shared" si="0"/>
        <v>65</v>
      </c>
      <c r="Q21" s="848"/>
      <c r="R21" s="852">
        <v>1</v>
      </c>
      <c r="S21" s="852"/>
      <c r="T21" s="95">
        <f t="shared" si="4"/>
        <v>65</v>
      </c>
      <c r="U21" s="491">
        <f t="shared" si="5"/>
        <v>361616.27</v>
      </c>
    </row>
    <row r="22" spans="1:21" x14ac:dyDescent="0.25">
      <c r="A22" s="804" t="s">
        <v>81</v>
      </c>
      <c r="B22" s="804"/>
      <c r="C22" s="143">
        <v>23.5</v>
      </c>
      <c r="D22" s="143">
        <v>0</v>
      </c>
      <c r="E22" s="116">
        <f t="shared" si="1"/>
        <v>47</v>
      </c>
      <c r="F22" s="850">
        <f>'1461'!F22:G22</f>
        <v>3.609</v>
      </c>
      <c r="G22" s="850"/>
      <c r="H22" s="80">
        <f t="shared" si="2"/>
        <v>169.62299999999999</v>
      </c>
      <c r="I22" s="101">
        <f t="shared" si="3"/>
        <v>943668.27</v>
      </c>
      <c r="N22" s="851" t="s">
        <v>81</v>
      </c>
      <c r="O22" s="851"/>
      <c r="P22" s="848">
        <f t="shared" si="0"/>
        <v>47</v>
      </c>
      <c r="Q22" s="848"/>
      <c r="R22" s="852">
        <v>1</v>
      </c>
      <c r="S22" s="852"/>
      <c r="T22" s="95">
        <f t="shared" si="4"/>
        <v>47</v>
      </c>
      <c r="U22" s="491">
        <f t="shared" si="5"/>
        <v>261476.38</v>
      </c>
    </row>
    <row r="23" spans="1:21" x14ac:dyDescent="0.25">
      <c r="A23" s="804" t="s">
        <v>82</v>
      </c>
      <c r="B23" s="804"/>
      <c r="C23" s="143">
        <f>0.5+4+5+4</f>
        <v>13.5</v>
      </c>
      <c r="D23" s="143">
        <v>0</v>
      </c>
      <c r="E23" s="116">
        <f t="shared" si="1"/>
        <v>27</v>
      </c>
      <c r="F23" s="850">
        <f>'1461'!F23:G23</f>
        <v>6.0640000000000001</v>
      </c>
      <c r="G23" s="850"/>
      <c r="H23" s="80">
        <f t="shared" si="2"/>
        <v>163.72800000000001</v>
      </c>
      <c r="I23" s="101">
        <f t="shared" si="3"/>
        <v>910872.45</v>
      </c>
      <c r="N23" s="851" t="s">
        <v>82</v>
      </c>
      <c r="O23" s="851"/>
      <c r="P23" s="848">
        <f t="shared" si="0"/>
        <v>27</v>
      </c>
      <c r="Q23" s="848"/>
      <c r="R23" s="852">
        <v>1</v>
      </c>
      <c r="S23" s="852"/>
      <c r="T23" s="95">
        <f t="shared" si="4"/>
        <v>27</v>
      </c>
      <c r="U23" s="491">
        <f t="shared" si="5"/>
        <v>150209.84</v>
      </c>
    </row>
    <row r="24" spans="1:21" x14ac:dyDescent="0.25">
      <c r="A24" s="804" t="s">
        <v>83</v>
      </c>
      <c r="B24" s="804"/>
      <c r="C24" s="143">
        <f>0.5+4+3.5+2+2.5</f>
        <v>12.5</v>
      </c>
      <c r="D24" s="143">
        <v>0</v>
      </c>
      <c r="E24" s="116">
        <f t="shared" si="1"/>
        <v>25</v>
      </c>
      <c r="F24" s="850">
        <f>'1461'!F24:G24</f>
        <v>6.0640000000000001</v>
      </c>
      <c r="G24" s="850"/>
      <c r="H24" s="80">
        <f t="shared" si="2"/>
        <v>151.6</v>
      </c>
      <c r="I24" s="101">
        <f t="shared" si="3"/>
        <v>843400.42</v>
      </c>
      <c r="N24" s="851" t="s">
        <v>83</v>
      </c>
      <c r="O24" s="851"/>
      <c r="P24" s="848">
        <f t="shared" si="0"/>
        <v>25</v>
      </c>
      <c r="Q24" s="848"/>
      <c r="R24" s="852">
        <v>1</v>
      </c>
      <c r="S24" s="852"/>
      <c r="T24" s="95">
        <f t="shared" si="4"/>
        <v>25</v>
      </c>
      <c r="U24" s="491">
        <f t="shared" si="5"/>
        <v>139083.18</v>
      </c>
    </row>
    <row r="25" spans="1:21" x14ac:dyDescent="0.25">
      <c r="A25" s="804" t="s">
        <v>84</v>
      </c>
      <c r="B25" s="804"/>
      <c r="C25" s="143">
        <f>2+1+2+4.5</f>
        <v>9.5</v>
      </c>
      <c r="D25" s="143">
        <v>0</v>
      </c>
      <c r="E25" s="116">
        <f t="shared" si="1"/>
        <v>19</v>
      </c>
      <c r="F25" s="850">
        <f>'1461'!F25:G25</f>
        <v>6.0640000000000001</v>
      </c>
      <c r="G25" s="850"/>
      <c r="H25" s="80">
        <f t="shared" si="2"/>
        <v>115.21599999999999</v>
      </c>
      <c r="I25" s="101">
        <f t="shared" si="3"/>
        <v>640984.31999999995</v>
      </c>
      <c r="N25" s="851" t="s">
        <v>84</v>
      </c>
      <c r="O25" s="851"/>
      <c r="P25" s="848">
        <f t="shared" si="0"/>
        <v>19</v>
      </c>
      <c r="Q25" s="848"/>
      <c r="R25" s="852">
        <v>1</v>
      </c>
      <c r="S25" s="852"/>
      <c r="T25" s="95">
        <f t="shared" si="4"/>
        <v>19</v>
      </c>
      <c r="U25" s="491">
        <f t="shared" si="5"/>
        <v>105703.22</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190.5</v>
      </c>
      <c r="D30" s="94">
        <f>SUM(D14:D29)</f>
        <v>0</v>
      </c>
      <c r="E30" s="94">
        <f>SUM(E14:E29)</f>
        <v>381</v>
      </c>
      <c r="F30" s="808"/>
      <c r="G30" s="808"/>
      <c r="H30" s="99">
        <f>SUM(H14:H29)</f>
        <v>1249.799</v>
      </c>
      <c r="I30" s="94">
        <f>SUM(I14:I29)</f>
        <v>6953040.9000000004</v>
      </c>
      <c r="N30" s="855" t="s">
        <v>5</v>
      </c>
      <c r="O30" s="855"/>
      <c r="P30" s="856">
        <f>SUM(P14:P29)</f>
        <v>381</v>
      </c>
      <c r="Q30" s="856"/>
      <c r="R30" s="857"/>
      <c r="S30" s="857"/>
      <c r="T30" s="100">
        <f>SUM(T14:T29)</f>
        <v>381</v>
      </c>
      <c r="U30" s="491">
        <f>SUM(U14:U29)</f>
        <v>2119627.7000000002</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1249.799</v>
      </c>
      <c r="F46" s="34"/>
      <c r="G46" s="106"/>
      <c r="H46" s="107" t="s">
        <v>98</v>
      </c>
      <c r="I46" s="94">
        <f>SUM(I44,I30)</f>
        <v>6953040.9000000004</v>
      </c>
      <c r="N46" s="863" t="s">
        <v>44</v>
      </c>
      <c r="O46" s="863"/>
      <c r="P46" s="863"/>
      <c r="Q46" s="863"/>
      <c r="R46" s="35">
        <f>R44+T30</f>
        <v>381</v>
      </c>
      <c r="S46" s="857" t="s">
        <v>42</v>
      </c>
      <c r="T46" s="857"/>
      <c r="U46" s="108">
        <f>SUM(U44,U30)</f>
        <v>2119627.7000000002</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6953040.9000000004</v>
      </c>
      <c r="G51" s="109" t="s">
        <v>6</v>
      </c>
      <c r="H51" s="420">
        <f>'1461'!H51</f>
        <v>6.6699999999999995E-2</v>
      </c>
      <c r="I51" s="101">
        <f>ROUND(F51*H51,2)</f>
        <v>463767.83</v>
      </c>
      <c r="N51" s="425"/>
      <c r="O51" s="426" t="s">
        <v>556</v>
      </c>
      <c r="P51" s="28"/>
      <c r="Q51" s="44" t="s">
        <v>414</v>
      </c>
      <c r="R51" s="427">
        <f>U30</f>
        <v>2119627.7000000002</v>
      </c>
      <c r="S51" s="428" t="s">
        <v>6</v>
      </c>
      <c r="T51" s="429">
        <v>6.6699999999999995E-2</v>
      </c>
      <c r="U51" s="421">
        <f>ROUND(R51*T51,2)</f>
        <v>141379.17000000001</v>
      </c>
    </row>
    <row r="52" spans="1:22" x14ac:dyDescent="0.25">
      <c r="A52" s="26"/>
      <c r="B52" s="575" t="str">
        <f>'1461'!B52</f>
        <v>Growth Portion (0.54% of Conference Funding)</v>
      </c>
      <c r="C52" s="26"/>
      <c r="D52" s="26"/>
      <c r="E52" s="43" t="s">
        <v>414</v>
      </c>
      <c r="F52" s="419">
        <v>6953040.9000000004</v>
      </c>
      <c r="G52" s="109" t="s">
        <v>6</v>
      </c>
      <c r="H52" s="420">
        <f>'1461'!H52</f>
        <v>5.4000000000000003E-3</v>
      </c>
      <c r="I52" s="101">
        <f>ROUND(F52*H52,2)</f>
        <v>37546.42</v>
      </c>
      <c r="N52" s="28"/>
      <c r="O52" s="757" t="s">
        <v>560</v>
      </c>
      <c r="P52" s="28"/>
      <c r="Q52" s="44" t="s">
        <v>414</v>
      </c>
      <c r="R52" s="427">
        <f>U30</f>
        <v>2119627.7000000002</v>
      </c>
      <c r="S52" s="428" t="s">
        <v>6</v>
      </c>
      <c r="T52" s="429">
        <v>5.4000000000000003E-3</v>
      </c>
      <c r="U52" s="430">
        <f>ROUND(R52*T52,2)</f>
        <v>11445.99</v>
      </c>
    </row>
    <row r="53" spans="1:22" x14ac:dyDescent="0.25">
      <c r="A53" s="26"/>
      <c r="B53" s="81" t="s">
        <v>415</v>
      </c>
      <c r="C53" s="26"/>
      <c r="D53" s="26"/>
      <c r="E53" s="43"/>
      <c r="F53" s="419"/>
      <c r="G53" s="109"/>
      <c r="H53" s="420"/>
      <c r="I53" s="97">
        <f>SUM(I51:I52)</f>
        <v>501314.25</v>
      </c>
      <c r="N53" s="28"/>
      <c r="O53" s="402" t="s">
        <v>415</v>
      </c>
      <c r="P53" s="28"/>
      <c r="Q53" s="44"/>
      <c r="R53" s="427"/>
      <c r="S53" s="428"/>
      <c r="T53" s="429"/>
      <c r="U53" s="421">
        <f>SUM(U51:U52)</f>
        <v>152825.16</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0.5</v>
      </c>
      <c r="D57" s="143">
        <v>0</v>
      </c>
      <c r="E57" s="116">
        <f t="shared" ref="E57:E65" si="10">IF(D$66=0,C57*2,C57+D57)</f>
        <v>1</v>
      </c>
      <c r="F57" s="461" t="s">
        <v>451</v>
      </c>
      <c r="G57" s="461">
        <v>251</v>
      </c>
      <c r="H57" s="475">
        <f>'1461'!H57</f>
        <v>1047</v>
      </c>
      <c r="I57" s="101">
        <f>ROUND(E57*H57,2)</f>
        <v>1047</v>
      </c>
      <c r="N57" s="865" t="s">
        <v>459</v>
      </c>
      <c r="O57" s="865"/>
      <c r="P57" s="867"/>
      <c r="Q57" s="867"/>
      <c r="R57" s="467" t="s">
        <v>451</v>
      </c>
      <c r="S57" s="467">
        <v>251</v>
      </c>
      <c r="T57" s="478">
        <f>H57</f>
        <v>1047</v>
      </c>
      <c r="U57" s="492">
        <f>ROUND(P57*T57,2)</f>
        <v>0</v>
      </c>
      <c r="V57" s="442"/>
    </row>
    <row r="58" spans="1:22" x14ac:dyDescent="0.25">
      <c r="A58" s="815"/>
      <c r="B58" s="815"/>
      <c r="C58" s="143">
        <v>0.5</v>
      </c>
      <c r="D58" s="143">
        <v>0</v>
      </c>
      <c r="E58" s="116">
        <f t="shared" si="10"/>
        <v>1</v>
      </c>
      <c r="F58" s="461" t="s">
        <v>451</v>
      </c>
      <c r="G58" s="461">
        <v>252</v>
      </c>
      <c r="H58" s="475">
        <f>'1461'!H58</f>
        <v>3380</v>
      </c>
      <c r="I58" s="101">
        <f t="shared" ref="I58:I65" si="11">ROUND(E58*H58,2)</f>
        <v>3380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9.5</v>
      </c>
      <c r="D59" s="143">
        <v>0</v>
      </c>
      <c r="E59" s="116">
        <f t="shared" si="10"/>
        <v>19</v>
      </c>
      <c r="F59" s="461" t="s">
        <v>451</v>
      </c>
      <c r="G59" s="461">
        <v>253</v>
      </c>
      <c r="H59" s="475">
        <f>'1461'!H59</f>
        <v>6896</v>
      </c>
      <c r="I59" s="101">
        <f t="shared" si="11"/>
        <v>131024</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12</v>
      </c>
      <c r="D62" s="143">
        <v>0</v>
      </c>
      <c r="E62" s="116">
        <f>IF(D$66=0,C62*2,C62+D62)</f>
        <v>24</v>
      </c>
      <c r="F62" s="462" t="s">
        <v>13</v>
      </c>
      <c r="G62" s="461">
        <v>253</v>
      </c>
      <c r="H62" s="475">
        <f>'1461'!H62</f>
        <v>7023</v>
      </c>
      <c r="I62" s="101">
        <f t="shared" si="11"/>
        <v>168552</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2</v>
      </c>
      <c r="D64" s="143">
        <v>0</v>
      </c>
      <c r="E64" s="116">
        <f t="shared" si="10"/>
        <v>4</v>
      </c>
      <c r="F64" s="462" t="s">
        <v>14</v>
      </c>
      <c r="G64" s="461">
        <v>252</v>
      </c>
      <c r="H64" s="475">
        <f>'1461'!H64</f>
        <v>3168</v>
      </c>
      <c r="I64" s="101">
        <f t="shared" si="11"/>
        <v>12672</v>
      </c>
      <c r="N64" s="866"/>
      <c r="O64" s="866"/>
      <c r="P64" s="868"/>
      <c r="Q64" s="868"/>
      <c r="R64" s="40" t="s">
        <v>14</v>
      </c>
      <c r="S64" s="467">
        <v>252</v>
      </c>
      <c r="T64" s="478">
        <f t="shared" si="12"/>
        <v>3168</v>
      </c>
      <c r="U64" s="492">
        <f t="shared" si="13"/>
        <v>0</v>
      </c>
      <c r="V64" s="442"/>
    </row>
    <row r="65" spans="1:22" ht="16.5" thickBot="1" x14ac:dyDescent="0.3">
      <c r="A65" s="815"/>
      <c r="B65" s="815"/>
      <c r="C65" s="143">
        <v>31.5</v>
      </c>
      <c r="D65" s="143">
        <v>0</v>
      </c>
      <c r="E65" s="116">
        <f t="shared" si="10"/>
        <v>63</v>
      </c>
      <c r="F65" s="462" t="s">
        <v>14</v>
      </c>
      <c r="G65" s="461">
        <v>253</v>
      </c>
      <c r="H65" s="475">
        <f>'1461'!H65</f>
        <v>6685</v>
      </c>
      <c r="I65" s="101">
        <f t="shared" si="11"/>
        <v>421155</v>
      </c>
      <c r="N65" s="866"/>
      <c r="O65" s="866"/>
      <c r="P65" s="874"/>
      <c r="Q65" s="874"/>
      <c r="R65" s="40" t="s">
        <v>14</v>
      </c>
      <c r="S65" s="467">
        <v>253</v>
      </c>
      <c r="T65" s="478">
        <f t="shared" si="12"/>
        <v>6685</v>
      </c>
      <c r="U65" s="493">
        <f t="shared" si="13"/>
        <v>0</v>
      </c>
      <c r="V65" s="442"/>
    </row>
    <row r="66" spans="1:22" ht="16.5" thickBot="1" x14ac:dyDescent="0.3">
      <c r="A66" s="458"/>
      <c r="C66" s="97">
        <f>SUM(C57:C65)</f>
        <v>57</v>
      </c>
      <c r="D66" s="97">
        <f>SUM(D57:D65)</f>
        <v>0</v>
      </c>
      <c r="E66" s="97">
        <f>SUM(E57:E65)</f>
        <v>114</v>
      </c>
      <c r="F66" s="816" t="s">
        <v>460</v>
      </c>
      <c r="G66" s="816"/>
      <c r="H66" s="816"/>
      <c r="I66" s="97">
        <f>SUM(I57:I65)</f>
        <v>744842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381</v>
      </c>
      <c r="D69" s="791" t="s">
        <v>427</v>
      </c>
      <c r="E69" s="791"/>
      <c r="F69" s="791"/>
      <c r="G69" s="791"/>
      <c r="H69" s="299">
        <f>'1461'!H69</f>
        <v>215320.92</v>
      </c>
      <c r="I69" s="113"/>
      <c r="N69" s="870" t="s">
        <v>420</v>
      </c>
      <c r="O69" s="851"/>
      <c r="P69" s="41">
        <f>P30</f>
        <v>381</v>
      </c>
      <c r="Q69" s="871" t="s">
        <v>422</v>
      </c>
      <c r="R69" s="872"/>
      <c r="S69" s="872"/>
      <c r="T69" s="873">
        <f>H69</f>
        <v>215320.92</v>
      </c>
      <c r="U69" s="873"/>
    </row>
    <row r="70" spans="1:22" x14ac:dyDescent="0.25">
      <c r="B70" s="69"/>
      <c r="G70" s="42" t="s">
        <v>12</v>
      </c>
      <c r="H70" s="114">
        <f>ROUND(C69/H69,6)</f>
        <v>1.769E-3</v>
      </c>
      <c r="I70" s="115"/>
      <c r="N70" s="851"/>
      <c r="O70" s="851"/>
      <c r="P70" s="851"/>
      <c r="Q70" s="851"/>
      <c r="R70" s="851"/>
      <c r="S70" s="851"/>
      <c r="T70" s="869">
        <f>ROUND(P69/T69,6)</f>
        <v>1.769E-3</v>
      </c>
      <c r="U70" s="869"/>
    </row>
    <row r="71" spans="1:22" x14ac:dyDescent="0.25">
      <c r="A71" s="460" t="s">
        <v>463</v>
      </c>
      <c r="N71" s="471" t="s">
        <v>471</v>
      </c>
      <c r="O71" s="51"/>
      <c r="P71" s="51"/>
      <c r="Q71" s="51"/>
      <c r="R71" s="51"/>
      <c r="S71" s="51"/>
      <c r="T71" s="51"/>
      <c r="U71" s="51"/>
    </row>
    <row r="72" spans="1:22" x14ac:dyDescent="0.25">
      <c r="A72" s="810" t="s">
        <v>417</v>
      </c>
      <c r="B72" s="804"/>
      <c r="C72" s="112">
        <f>H30</f>
        <v>1249.799</v>
      </c>
      <c r="D72" s="791" t="s">
        <v>428</v>
      </c>
      <c r="E72" s="791"/>
      <c r="F72" s="791"/>
      <c r="G72" s="791"/>
      <c r="H72" s="300">
        <f>'1461'!H72</f>
        <v>229051.25000000003</v>
      </c>
      <c r="I72" s="116"/>
      <c r="N72" s="870" t="s">
        <v>421</v>
      </c>
      <c r="O72" s="851"/>
      <c r="P72" s="41">
        <f>T30</f>
        <v>381</v>
      </c>
      <c r="Q72" s="871" t="s">
        <v>423</v>
      </c>
      <c r="R72" s="872"/>
      <c r="S72" s="872"/>
      <c r="T72" s="873">
        <f>H72</f>
        <v>229051.25000000003</v>
      </c>
      <c r="U72" s="873"/>
    </row>
    <row r="73" spans="1:22" x14ac:dyDescent="0.25">
      <c r="G73" s="42" t="s">
        <v>12</v>
      </c>
      <c r="H73" s="114">
        <f>ROUND(C72/H72,6)</f>
        <v>5.4559999999999999E-3</v>
      </c>
      <c r="I73" s="114"/>
      <c r="N73" s="851"/>
      <c r="O73" s="851"/>
      <c r="P73" s="851"/>
      <c r="Q73" s="851"/>
      <c r="R73" s="851"/>
      <c r="S73" s="851"/>
      <c r="T73" s="869">
        <f>ROUND(P72/T72,6)</f>
        <v>1.663E-3</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381</v>
      </c>
      <c r="D75" s="783" t="s">
        <v>429</v>
      </c>
      <c r="E75" s="783"/>
      <c r="F75" s="783"/>
      <c r="G75" s="783"/>
      <c r="H75" s="299">
        <f>'1461'!H75</f>
        <v>186156.17</v>
      </c>
      <c r="I75" s="113"/>
      <c r="N75" s="870" t="s">
        <v>419</v>
      </c>
      <c r="O75" s="851"/>
      <c r="P75" s="41">
        <f>P30</f>
        <v>381</v>
      </c>
      <c r="Q75" s="878" t="s">
        <v>424</v>
      </c>
      <c r="R75" s="879"/>
      <c r="S75" s="879"/>
      <c r="T75" s="873">
        <f>H75</f>
        <v>186156.17</v>
      </c>
      <c r="U75" s="873"/>
    </row>
    <row r="76" spans="1:22" x14ac:dyDescent="0.25">
      <c r="B76" s="69"/>
      <c r="G76" s="42" t="s">
        <v>12</v>
      </c>
      <c r="H76" s="114">
        <f>ROUND(C75/H75,6)</f>
        <v>2.0470000000000002E-3</v>
      </c>
      <c r="I76" s="115"/>
      <c r="N76" s="851"/>
      <c r="O76" s="851"/>
      <c r="P76" s="851"/>
      <c r="Q76" s="851"/>
      <c r="R76" s="851"/>
      <c r="S76" s="851"/>
      <c r="T76" s="869">
        <f>ROUND(P75/T75,6)</f>
        <v>2.0470000000000002E-3</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381</v>
      </c>
      <c r="D78" s="811" t="s">
        <v>430</v>
      </c>
      <c r="E78" s="811"/>
      <c r="F78" s="811"/>
      <c r="G78" s="811"/>
      <c r="H78" s="299">
        <f>'1461'!H78</f>
        <v>215016.58000000002</v>
      </c>
      <c r="I78" s="113"/>
      <c r="N78" s="870" t="s">
        <v>419</v>
      </c>
      <c r="O78" s="851"/>
      <c r="P78" s="41">
        <f>P30</f>
        <v>381</v>
      </c>
      <c r="Q78" s="876" t="s">
        <v>425</v>
      </c>
      <c r="R78" s="877"/>
      <c r="S78" s="877"/>
      <c r="T78" s="873">
        <f>H78</f>
        <v>215016.58000000002</v>
      </c>
      <c r="U78" s="873"/>
    </row>
    <row r="79" spans="1:22" x14ac:dyDescent="0.25">
      <c r="B79" s="69"/>
      <c r="G79" s="42" t="s">
        <v>12</v>
      </c>
      <c r="H79" s="114">
        <f>ROUND(C78/H78,6)</f>
        <v>1.7719999999999999E-3</v>
      </c>
      <c r="I79" s="115"/>
      <c r="N79" s="851"/>
      <c r="O79" s="851"/>
      <c r="P79" s="851"/>
      <c r="Q79" s="851"/>
      <c r="R79" s="851"/>
      <c r="S79" s="851"/>
      <c r="T79" s="869">
        <f>ROUND(P78/T78,6)</f>
        <v>1.7719999999999999E-3</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381</v>
      </c>
      <c r="D81" s="783" t="s">
        <v>431</v>
      </c>
      <c r="E81" s="783"/>
      <c r="F81" s="783"/>
      <c r="G81" s="783"/>
      <c r="H81" s="299">
        <f>'1461'!H81</f>
        <v>185851.83000000002</v>
      </c>
      <c r="I81" s="113"/>
      <c r="N81" s="870" t="s">
        <v>432</v>
      </c>
      <c r="O81" s="851"/>
      <c r="P81" s="41">
        <f>P30</f>
        <v>381</v>
      </c>
      <c r="Q81" s="878" t="s">
        <v>433</v>
      </c>
      <c r="R81" s="879"/>
      <c r="S81" s="879"/>
      <c r="T81" s="873">
        <f>H81</f>
        <v>185851.83000000002</v>
      </c>
      <c r="U81" s="873"/>
    </row>
    <row r="82" spans="1:21" x14ac:dyDescent="0.25">
      <c r="B82" s="69"/>
      <c r="G82" s="42" t="s">
        <v>12</v>
      </c>
      <c r="H82" s="114">
        <f>ROUND(C81/H81,6)</f>
        <v>2.0500000000000002E-3</v>
      </c>
      <c r="I82" s="115"/>
      <c r="N82" s="851"/>
      <c r="O82" s="851"/>
      <c r="P82" s="851"/>
      <c r="Q82" s="851"/>
      <c r="R82" s="851"/>
      <c r="S82" s="851"/>
      <c r="T82" s="869">
        <f>ROUND(P81/T81,6)</f>
        <v>2.0500000000000002E-3</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1.7719999999999999E-3</v>
      </c>
      <c r="I85" s="101">
        <f>ROUND(F85*H85,2)</f>
        <v>83799.199999999997</v>
      </c>
      <c r="N85" s="471" t="s">
        <v>467</v>
      </c>
      <c r="O85" s="51"/>
      <c r="P85" s="51"/>
      <c r="Q85" s="44"/>
      <c r="R85" s="437">
        <f>F85</f>
        <v>47290747</v>
      </c>
      <c r="S85" s="38" t="s">
        <v>6</v>
      </c>
      <c r="T85" s="439">
        <f>T79</f>
        <v>1.7719999999999999E-3</v>
      </c>
      <c r="U85" s="491">
        <f>ROUND(R85*T85,2)</f>
        <v>83799.199999999997</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1.769E-3</v>
      </c>
      <c r="I88" s="101">
        <f>ROUND(F88*H88,2)</f>
        <v>0</v>
      </c>
      <c r="N88" s="880" t="s">
        <v>99</v>
      </c>
      <c r="O88" s="851"/>
      <c r="P88" s="851"/>
      <c r="Q88" s="44"/>
      <c r="R88" s="437">
        <f>F88</f>
        <v>0</v>
      </c>
      <c r="S88" s="38" t="s">
        <v>6</v>
      </c>
      <c r="T88" s="439">
        <f>T70</f>
        <v>1.769E-3</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2.0500000000000002E-3</v>
      </c>
      <c r="I90" s="101">
        <f>ROUND(F90*H90,2)</f>
        <v>39294.160000000003</v>
      </c>
      <c r="N90" s="471" t="s">
        <v>468</v>
      </c>
      <c r="O90" s="51"/>
      <c r="P90" s="51"/>
      <c r="Q90" s="44"/>
      <c r="R90" s="437">
        <f>F90</f>
        <v>19167881</v>
      </c>
      <c r="S90" s="38" t="s">
        <v>6</v>
      </c>
      <c r="T90" s="439">
        <f>T82</f>
        <v>2.0500000000000002E-3</v>
      </c>
      <c r="U90" s="491">
        <f>ROUND(R90*T90,2)</f>
        <v>39294.160000000003</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2.0470000000000002E-3</v>
      </c>
      <c r="I92" s="101">
        <f t="shared" ref="I92:I96" si="14">ROUND(F92*H92,2)</f>
        <v>23636.48</v>
      </c>
      <c r="N92" s="471" t="s">
        <v>469</v>
      </c>
      <c r="O92" s="51"/>
      <c r="P92" s="51"/>
      <c r="Q92" s="44"/>
      <c r="R92" s="437">
        <f t="shared" ref="R92:R96" si="15">F92</f>
        <v>11546889</v>
      </c>
      <c r="S92" s="38" t="s">
        <v>6</v>
      </c>
      <c r="T92" s="439">
        <f>T76</f>
        <v>2.0470000000000002E-3</v>
      </c>
      <c r="U92" s="491">
        <f>ROUND(R92*T92,2)</f>
        <v>23636.48</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5.4559999999999999E-3</v>
      </c>
      <c r="I94" s="101">
        <f t="shared" si="14"/>
        <v>1466661.61</v>
      </c>
      <c r="N94" s="851" t="s">
        <v>435</v>
      </c>
      <c r="O94" s="851"/>
      <c r="P94" s="851"/>
      <c r="Q94" s="44"/>
      <c r="R94" s="437">
        <f t="shared" si="15"/>
        <v>268816278</v>
      </c>
      <c r="S94" s="38" t="s">
        <v>6</v>
      </c>
      <c r="T94" s="439">
        <f>T73</f>
        <v>1.663E-3</v>
      </c>
      <c r="U94" s="491">
        <f>ROUND(R94*T94,2)</f>
        <v>447041.47</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5.4559999999999999E-3</v>
      </c>
      <c r="I96" s="101">
        <f t="shared" si="14"/>
        <v>0</v>
      </c>
      <c r="N96" s="870" t="s">
        <v>436</v>
      </c>
      <c r="O96" s="851"/>
      <c r="P96" s="851"/>
      <c r="Q96" s="44"/>
      <c r="R96" s="437">
        <f t="shared" si="15"/>
        <v>0</v>
      </c>
      <c r="S96" s="38" t="s">
        <v>6</v>
      </c>
      <c r="T96" s="439">
        <f>T73</f>
        <v>1.663E-3</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1.769E-3</v>
      </c>
      <c r="I98" s="101">
        <f t="shared" ref="I98" si="16">ROUND(F98*H98,2)</f>
        <v>0</v>
      </c>
      <c r="N98" s="550" t="s">
        <v>507</v>
      </c>
      <c r="O98" s="550"/>
      <c r="P98" s="550"/>
      <c r="Q98" s="44"/>
      <c r="R98" s="553">
        <f>F98</f>
        <v>0</v>
      </c>
      <c r="S98" s="551" t="s">
        <v>6</v>
      </c>
      <c r="T98" s="439">
        <f>T70</f>
        <v>1.769E-3</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487.65100000000001</v>
      </c>
      <c r="D104" s="822"/>
      <c r="E104" s="46">
        <f>H8</f>
        <v>1.0355000000000001</v>
      </c>
      <c r="F104" s="302">
        <f>'1461'!F104</f>
        <v>958.42</v>
      </c>
      <c r="G104" s="39" t="s">
        <v>12</v>
      </c>
      <c r="H104" s="101">
        <f>ROUND(C104*E104*F104,2)</f>
        <v>483966.27</v>
      </c>
      <c r="I104" s="104"/>
      <c r="N104" s="28" t="s">
        <v>17</v>
      </c>
      <c r="O104" s="47">
        <f>T14+T15+T20+T23+T26</f>
        <v>132</v>
      </c>
      <c r="P104" s="881">
        <f>T8</f>
        <v>1.0355000000000001</v>
      </c>
      <c r="Q104" s="881"/>
      <c r="R104" s="48">
        <f>F104</f>
        <v>958.42</v>
      </c>
      <c r="S104" s="40" t="s">
        <v>12</v>
      </c>
      <c r="T104" s="497">
        <f>ROUND(O104*P104*R104,2)</f>
        <v>131002.6</v>
      </c>
      <c r="U104" s="102"/>
    </row>
    <row r="105" spans="1:21" x14ac:dyDescent="0.25">
      <c r="A105" s="49"/>
      <c r="B105" s="49" t="s">
        <v>104</v>
      </c>
      <c r="C105" s="822">
        <f>H16+H17+H21+H24+H27</f>
        <v>412.18500000000006</v>
      </c>
      <c r="D105" s="822"/>
      <c r="E105" s="46">
        <f>H8</f>
        <v>1.0355000000000001</v>
      </c>
      <c r="F105" s="302">
        <f>'1461'!F105</f>
        <v>915.09</v>
      </c>
      <c r="G105" s="39" t="s">
        <v>12</v>
      </c>
      <c r="H105" s="101">
        <f>ROUND(C105*E105*F105,2)</f>
        <v>390576.49</v>
      </c>
      <c r="N105" s="50" t="s">
        <v>13</v>
      </c>
      <c r="O105" s="47">
        <f>T16+T17+T21+T24+T27</f>
        <v>116</v>
      </c>
      <c r="P105" s="881">
        <f>T8</f>
        <v>1.0355000000000001</v>
      </c>
      <c r="Q105" s="881"/>
      <c r="R105" s="48">
        <f>F105</f>
        <v>915.09</v>
      </c>
      <c r="S105" s="40" t="s">
        <v>12</v>
      </c>
      <c r="T105" s="497">
        <f>ROUND(O105*P105*R105,2)</f>
        <v>109918.78</v>
      </c>
      <c r="U105" s="51"/>
    </row>
    <row r="106" spans="1:21" ht="16.5" thickBot="1" x14ac:dyDescent="0.3">
      <c r="A106" s="52"/>
      <c r="B106" s="52" t="s">
        <v>103</v>
      </c>
      <c r="C106" s="822">
        <f>H18+H19+H22+H25+H28+H29</f>
        <v>349.96299999999997</v>
      </c>
      <c r="D106" s="822"/>
      <c r="E106" s="46">
        <f>H8</f>
        <v>1.0355000000000001</v>
      </c>
      <c r="F106" s="302">
        <f>'1461'!F106</f>
        <v>917.3</v>
      </c>
      <c r="G106" s="39" t="s">
        <v>12</v>
      </c>
      <c r="H106" s="94">
        <f>ROUND(C106*E106*F106,2)</f>
        <v>332417.31</v>
      </c>
      <c r="N106" s="53" t="s">
        <v>14</v>
      </c>
      <c r="O106" s="54">
        <f>T18+T19+T22+T25+T28+T29</f>
        <v>133</v>
      </c>
      <c r="P106" s="881">
        <f>T8</f>
        <v>1.0355000000000001</v>
      </c>
      <c r="Q106" s="881"/>
      <c r="R106" s="48">
        <f>F106</f>
        <v>917.3</v>
      </c>
      <c r="S106" s="40" t="s">
        <v>12</v>
      </c>
      <c r="T106" s="497">
        <f>ROUND(O106*P106*R106,2)</f>
        <v>126331.93</v>
      </c>
      <c r="U106" s="51"/>
    </row>
    <row r="107" spans="1:21" ht="16.5" thickBot="1" x14ac:dyDescent="0.3">
      <c r="A107" s="55"/>
      <c r="B107" s="122" t="s">
        <v>102</v>
      </c>
      <c r="C107" s="812">
        <f>SUM(C104:C106)</f>
        <v>1249.799</v>
      </c>
      <c r="D107" s="812"/>
      <c r="E107" s="123"/>
      <c r="F107" s="123"/>
      <c r="G107" s="123"/>
      <c r="H107" s="124" t="s">
        <v>100</v>
      </c>
      <c r="I107" s="101">
        <f>IF(A1=75,0,H106+H105+H104)</f>
        <v>1206960.07</v>
      </c>
      <c r="N107" s="56" t="s">
        <v>89</v>
      </c>
      <c r="O107" s="57">
        <f>SUM(O104:O106)</f>
        <v>381</v>
      </c>
      <c r="P107" s="887" t="s">
        <v>16</v>
      </c>
      <c r="Q107" s="888"/>
      <c r="R107" s="888"/>
      <c r="S107" s="888"/>
      <c r="T107" s="888"/>
      <c r="U107" s="491">
        <f>IF(N1=75,0,T106+T105+T104)</f>
        <v>367253.31</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1</v>
      </c>
      <c r="D113" s="143">
        <v>0</v>
      </c>
      <c r="E113" s="116">
        <f>(C113+D113)/2</f>
        <v>0.5</v>
      </c>
      <c r="F113" s="126" t="s">
        <v>30</v>
      </c>
      <c r="G113" s="303">
        <f>'1461'!G113</f>
        <v>617</v>
      </c>
      <c r="I113" s="101">
        <f>ROUND(G113*E113,2)</f>
        <v>308.5</v>
      </c>
      <c r="N113" s="885" t="s">
        <v>52</v>
      </c>
      <c r="O113" s="885"/>
      <c r="P113" s="886">
        <f>IF(H133=1,E113,0)</f>
        <v>0.5</v>
      </c>
      <c r="Q113" s="886"/>
      <c r="R113" s="886"/>
      <c r="S113" s="83" t="s">
        <v>30</v>
      </c>
      <c r="T113" s="58">
        <f>G113</f>
        <v>617</v>
      </c>
      <c r="U113" s="491">
        <f>ROUND(T113*P113,2)</f>
        <v>308.5</v>
      </c>
    </row>
    <row r="114" spans="1:21" x14ac:dyDescent="0.25">
      <c r="A114" s="783" t="s">
        <v>397</v>
      </c>
      <c r="B114" s="784"/>
      <c r="C114" s="143">
        <v>1</v>
      </c>
      <c r="D114" s="143">
        <v>0</v>
      </c>
      <c r="E114" s="116">
        <f>(C114+D114)/2</f>
        <v>0.5</v>
      </c>
      <c r="F114" s="126" t="s">
        <v>30</v>
      </c>
      <c r="G114" s="303">
        <f>'1461'!G114</f>
        <v>1870</v>
      </c>
      <c r="I114" s="101">
        <f>ROUND(G114*E114,2)</f>
        <v>935</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10519477.920000002</v>
      </c>
      <c r="N128" s="471"/>
      <c r="O128" s="470"/>
      <c r="P128" s="470"/>
      <c r="Q128" s="305"/>
      <c r="R128" s="305"/>
      <c r="S128" s="305"/>
      <c r="T128" s="305"/>
      <c r="U128" s="498">
        <f>SUM(U30,U85,U88,U90,U92,U94,U96,U107,U113,U114,U124,U126)</f>
        <v>3080960.8200000008</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10018163.670000002</v>
      </c>
      <c r="N130" s="851" t="s">
        <v>447</v>
      </c>
      <c r="O130" s="851"/>
      <c r="P130" s="851"/>
      <c r="Q130" s="851"/>
      <c r="R130" s="851"/>
      <c r="S130" s="851"/>
      <c r="T130" s="851"/>
      <c r="U130" s="489">
        <f>U128-U53</f>
        <v>2928135.6600000006</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2928135.6600000006</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2928135.6600000006</v>
      </c>
      <c r="I135" s="94">
        <f>ROUND(IF(E30=0,0,IF(E30&gt;250,-(((250/E30)*H135)*IF(G135="H",0.02,0.05)),IF(G135="H",-0.02*H135,-0.05*H135))),2)</f>
        <v>-96067.44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10423410.480000002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Payments'!Q79</f>
        <v>-858865.25</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9564545.2300000023</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869504.11</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IF(G135="H",(H135*0.02)+I135,(H135*0.05)+I135)</f>
        <v>50339.343000000023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FFCCCC"/>
  </sheetPr>
  <dimension ref="A1:V221"/>
  <sheetViews>
    <sheetView topLeftCell="A108"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346</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4.5</v>
      </c>
      <c r="D19" s="143">
        <v>0</v>
      </c>
      <c r="E19" s="116">
        <f t="shared" si="1"/>
        <v>9</v>
      </c>
      <c r="F19" s="850">
        <f>'1461'!F19:G19</f>
        <v>0.97199999999999998</v>
      </c>
      <c r="G19" s="850"/>
      <c r="H19" s="80">
        <f t="shared" si="2"/>
        <v>8.7479999999999993</v>
      </c>
      <c r="I19" s="101">
        <f t="shared" si="3"/>
        <v>48667.99</v>
      </c>
      <c r="J19" s="65" t="str">
        <f>IF(ROUND(E19,2)=ROUND(SUM(E63:E65),2)," ","CHECK 4-8 LINES BELOW")</f>
        <v xml:space="preserve"> </v>
      </c>
      <c r="N19" s="851" t="s">
        <v>25</v>
      </c>
      <c r="O19" s="851"/>
      <c r="P19" s="848">
        <f t="shared" si="0"/>
        <v>9</v>
      </c>
      <c r="Q19" s="848"/>
      <c r="R19" s="852">
        <v>1</v>
      </c>
      <c r="S19" s="852"/>
      <c r="T19" s="95">
        <f t="shared" si="4"/>
        <v>9</v>
      </c>
      <c r="U19" s="490">
        <f t="shared" si="5"/>
        <v>50069.95</v>
      </c>
    </row>
    <row r="20" spans="1:21" x14ac:dyDescent="0.25">
      <c r="A20" s="804" t="s">
        <v>79</v>
      </c>
      <c r="B20" s="804"/>
      <c r="C20" s="143">
        <v>3</v>
      </c>
      <c r="D20" s="143">
        <v>0</v>
      </c>
      <c r="E20" s="116">
        <f t="shared" si="1"/>
        <v>6</v>
      </c>
      <c r="F20" s="850">
        <f>'1461'!F20:G20</f>
        <v>3.609</v>
      </c>
      <c r="G20" s="850"/>
      <c r="H20" s="80">
        <f t="shared" si="2"/>
        <v>21.654</v>
      </c>
      <c r="I20" s="101">
        <f t="shared" si="3"/>
        <v>120468.29</v>
      </c>
      <c r="N20" s="851" t="s">
        <v>79</v>
      </c>
      <c r="O20" s="851"/>
      <c r="P20" s="848">
        <f t="shared" si="0"/>
        <v>6</v>
      </c>
      <c r="Q20" s="848"/>
      <c r="R20" s="852">
        <v>1</v>
      </c>
      <c r="S20" s="852"/>
      <c r="T20" s="95">
        <f t="shared" si="4"/>
        <v>6</v>
      </c>
      <c r="U20" s="491">
        <f t="shared" si="5"/>
        <v>33379.96</v>
      </c>
    </row>
    <row r="21" spans="1:21" x14ac:dyDescent="0.25">
      <c r="A21" s="804" t="s">
        <v>80</v>
      </c>
      <c r="B21" s="804"/>
      <c r="C21" s="143">
        <v>8.5</v>
      </c>
      <c r="D21" s="143">
        <v>0</v>
      </c>
      <c r="E21" s="116">
        <f t="shared" si="1"/>
        <v>17</v>
      </c>
      <c r="F21" s="850">
        <f>'1461'!F21:G21</f>
        <v>3.609</v>
      </c>
      <c r="G21" s="850"/>
      <c r="H21" s="80">
        <f t="shared" si="2"/>
        <v>61.353000000000002</v>
      </c>
      <c r="I21" s="101">
        <f t="shared" si="3"/>
        <v>341326.82</v>
      </c>
      <c r="N21" s="851" t="s">
        <v>80</v>
      </c>
      <c r="O21" s="851"/>
      <c r="P21" s="848">
        <f t="shared" si="0"/>
        <v>17</v>
      </c>
      <c r="Q21" s="848"/>
      <c r="R21" s="852">
        <v>1</v>
      </c>
      <c r="S21" s="852"/>
      <c r="T21" s="95">
        <f t="shared" si="4"/>
        <v>17</v>
      </c>
      <c r="U21" s="491">
        <f t="shared" si="5"/>
        <v>94576.56</v>
      </c>
    </row>
    <row r="22" spans="1:21" x14ac:dyDescent="0.25">
      <c r="A22" s="804" t="s">
        <v>81</v>
      </c>
      <c r="B22" s="804"/>
      <c r="C22" s="143">
        <v>22</v>
      </c>
      <c r="D22" s="143">
        <v>0</v>
      </c>
      <c r="E22" s="116">
        <f t="shared" si="1"/>
        <v>44</v>
      </c>
      <c r="F22" s="850">
        <f>'1461'!F22:G22</f>
        <v>3.609</v>
      </c>
      <c r="G22" s="850"/>
      <c r="H22" s="80">
        <f t="shared" si="2"/>
        <v>158.79599999999999</v>
      </c>
      <c r="I22" s="101">
        <f t="shared" si="3"/>
        <v>883434.12</v>
      </c>
      <c r="N22" s="851" t="s">
        <v>81</v>
      </c>
      <c r="O22" s="851"/>
      <c r="P22" s="848">
        <f t="shared" si="0"/>
        <v>44</v>
      </c>
      <c r="Q22" s="848"/>
      <c r="R22" s="852">
        <v>1</v>
      </c>
      <c r="S22" s="852"/>
      <c r="T22" s="95">
        <f t="shared" si="4"/>
        <v>44</v>
      </c>
      <c r="U22" s="491">
        <f t="shared" si="5"/>
        <v>244786.4</v>
      </c>
    </row>
    <row r="23" spans="1:21" x14ac:dyDescent="0.25">
      <c r="A23" s="804" t="s">
        <v>82</v>
      </c>
      <c r="B23" s="804"/>
      <c r="C23" s="143">
        <v>6</v>
      </c>
      <c r="D23" s="143">
        <v>0</v>
      </c>
      <c r="E23" s="116">
        <f t="shared" si="1"/>
        <v>12</v>
      </c>
      <c r="F23" s="850">
        <f>'1461'!F23:G23</f>
        <v>6.0640000000000001</v>
      </c>
      <c r="G23" s="850"/>
      <c r="H23" s="80">
        <f t="shared" si="2"/>
        <v>72.768000000000001</v>
      </c>
      <c r="I23" s="101">
        <f t="shared" si="3"/>
        <v>404832.2</v>
      </c>
      <c r="N23" s="851" t="s">
        <v>82</v>
      </c>
      <c r="O23" s="851"/>
      <c r="P23" s="848">
        <f t="shared" si="0"/>
        <v>12</v>
      </c>
      <c r="Q23" s="848"/>
      <c r="R23" s="852">
        <v>1</v>
      </c>
      <c r="S23" s="852"/>
      <c r="T23" s="95">
        <f t="shared" si="4"/>
        <v>12</v>
      </c>
      <c r="U23" s="491">
        <f t="shared" si="5"/>
        <v>66759.929999999993</v>
      </c>
    </row>
    <row r="24" spans="1:21" x14ac:dyDescent="0.25">
      <c r="A24" s="804" t="s">
        <v>83</v>
      </c>
      <c r="B24" s="804"/>
      <c r="C24" s="143">
        <v>11</v>
      </c>
      <c r="D24" s="143">
        <v>0</v>
      </c>
      <c r="E24" s="116">
        <f t="shared" si="1"/>
        <v>22</v>
      </c>
      <c r="F24" s="850">
        <f>'1461'!F24:G24</f>
        <v>6.0640000000000001</v>
      </c>
      <c r="G24" s="850"/>
      <c r="H24" s="80">
        <f t="shared" si="2"/>
        <v>133.40799999999999</v>
      </c>
      <c r="I24" s="101">
        <f t="shared" si="3"/>
        <v>742192.37</v>
      </c>
      <c r="N24" s="851" t="s">
        <v>83</v>
      </c>
      <c r="O24" s="851"/>
      <c r="P24" s="848">
        <f t="shared" si="0"/>
        <v>22</v>
      </c>
      <c r="Q24" s="848"/>
      <c r="R24" s="852">
        <v>1</v>
      </c>
      <c r="S24" s="852"/>
      <c r="T24" s="95">
        <f t="shared" si="4"/>
        <v>22</v>
      </c>
      <c r="U24" s="491">
        <f t="shared" si="5"/>
        <v>122393.2</v>
      </c>
    </row>
    <row r="25" spans="1:21" x14ac:dyDescent="0.25">
      <c r="A25" s="804" t="s">
        <v>84</v>
      </c>
      <c r="B25" s="804"/>
      <c r="C25" s="143">
        <v>25.5</v>
      </c>
      <c r="D25" s="143">
        <v>0</v>
      </c>
      <c r="E25" s="116">
        <f t="shared" si="1"/>
        <v>51</v>
      </c>
      <c r="F25" s="850">
        <f>'1461'!F25:G25</f>
        <v>6.0640000000000001</v>
      </c>
      <c r="G25" s="850"/>
      <c r="H25" s="80">
        <f t="shared" si="2"/>
        <v>309.26400000000001</v>
      </c>
      <c r="I25" s="101">
        <f t="shared" si="3"/>
        <v>1720536.85</v>
      </c>
      <c r="N25" s="851" t="s">
        <v>84</v>
      </c>
      <c r="O25" s="851"/>
      <c r="P25" s="848">
        <f t="shared" si="0"/>
        <v>51</v>
      </c>
      <c r="Q25" s="848"/>
      <c r="R25" s="852">
        <v>1</v>
      </c>
      <c r="S25" s="852"/>
      <c r="T25" s="95">
        <f t="shared" si="4"/>
        <v>51</v>
      </c>
      <c r="U25" s="491">
        <f t="shared" si="5"/>
        <v>283729.69</v>
      </c>
    </row>
    <row r="26" spans="1:21" x14ac:dyDescent="0.25">
      <c r="A26" s="804" t="s">
        <v>85</v>
      </c>
      <c r="B26" s="804"/>
      <c r="C26" s="143"/>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80.5</v>
      </c>
      <c r="D30" s="94">
        <f>SUM(D14:D29)</f>
        <v>0</v>
      </c>
      <c r="E30" s="94">
        <f>SUM(E14:E29)</f>
        <v>161</v>
      </c>
      <c r="F30" s="808"/>
      <c r="G30" s="808"/>
      <c r="H30" s="99">
        <f>SUM(H14:H29)</f>
        <v>765.99099999999999</v>
      </c>
      <c r="I30" s="94">
        <f>SUM(I14:I29)</f>
        <v>4261458.6400000006</v>
      </c>
      <c r="N30" s="855" t="s">
        <v>5</v>
      </c>
      <c r="O30" s="855"/>
      <c r="P30" s="856">
        <f>SUM(P14:P29)</f>
        <v>161</v>
      </c>
      <c r="Q30" s="856"/>
      <c r="R30" s="857"/>
      <c r="S30" s="857"/>
      <c r="T30" s="100">
        <f>SUM(T14:T29)</f>
        <v>161</v>
      </c>
      <c r="U30" s="491">
        <f>SUM(U14:U29)</f>
        <v>895695.69</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765.99099999999999</v>
      </c>
      <c r="F46" s="34"/>
      <c r="G46" s="106"/>
      <c r="H46" s="107" t="s">
        <v>98</v>
      </c>
      <c r="I46" s="94">
        <f>SUM(I44,I30)</f>
        <v>4261458.6400000006</v>
      </c>
      <c r="N46" s="863" t="s">
        <v>44</v>
      </c>
      <c r="O46" s="863"/>
      <c r="P46" s="863"/>
      <c r="Q46" s="863"/>
      <c r="R46" s="35">
        <f>R44+T30</f>
        <v>161</v>
      </c>
      <c r="S46" s="857" t="s">
        <v>42</v>
      </c>
      <c r="T46" s="857"/>
      <c r="U46" s="108">
        <f>SUM(U44,U30)</f>
        <v>895695.69</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4261458.6400000006</v>
      </c>
      <c r="G51" s="109" t="s">
        <v>6</v>
      </c>
      <c r="H51" s="420">
        <f>'1461'!H51</f>
        <v>6.6699999999999995E-2</v>
      </c>
      <c r="I51" s="101">
        <f>ROUND(F51*H51,2)</f>
        <v>284239.28999999998</v>
      </c>
      <c r="N51" s="425"/>
      <c r="O51" s="426" t="s">
        <v>556</v>
      </c>
      <c r="P51" s="28"/>
      <c r="Q51" s="44" t="s">
        <v>414</v>
      </c>
      <c r="R51" s="427">
        <f>U30</f>
        <v>895695.69</v>
      </c>
      <c r="S51" s="428" t="s">
        <v>6</v>
      </c>
      <c r="T51" s="429">
        <v>6.6699999999999995E-2</v>
      </c>
      <c r="U51" s="421">
        <f>ROUND(R51*T51,2)</f>
        <v>59742.9</v>
      </c>
    </row>
    <row r="52" spans="1:22" x14ac:dyDescent="0.25">
      <c r="A52" s="26"/>
      <c r="B52" s="575" t="str">
        <f>'1461'!B52</f>
        <v>Growth Portion (0.54% of Conference Funding)</v>
      </c>
      <c r="C52" s="26"/>
      <c r="D52" s="26"/>
      <c r="E52" s="43" t="s">
        <v>414</v>
      </c>
      <c r="F52" s="419">
        <v>4261458.6400000006</v>
      </c>
      <c r="G52" s="109" t="s">
        <v>6</v>
      </c>
      <c r="H52" s="420">
        <f>'1461'!H52</f>
        <v>5.4000000000000003E-3</v>
      </c>
      <c r="I52" s="101">
        <f>ROUND(F52*H52,2)</f>
        <v>23011.88</v>
      </c>
      <c r="N52" s="28"/>
      <c r="O52" s="757" t="s">
        <v>560</v>
      </c>
      <c r="P52" s="28"/>
      <c r="Q52" s="44" t="s">
        <v>414</v>
      </c>
      <c r="R52" s="427">
        <f>U30</f>
        <v>895695.69</v>
      </c>
      <c r="S52" s="428" t="s">
        <v>6</v>
      </c>
      <c r="T52" s="429">
        <v>5.4000000000000003E-3</v>
      </c>
      <c r="U52" s="430">
        <f>ROUND(R52*T52,2)</f>
        <v>4836.76</v>
      </c>
    </row>
    <row r="53" spans="1:22" x14ac:dyDescent="0.25">
      <c r="A53" s="26"/>
      <c r="B53" s="81" t="s">
        <v>415</v>
      </c>
      <c r="C53" s="26"/>
      <c r="D53" s="26"/>
      <c r="E53" s="43"/>
      <c r="F53" s="419"/>
      <c r="G53" s="109"/>
      <c r="H53" s="420"/>
      <c r="I53" s="97">
        <f>SUM(I51:I52)</f>
        <v>307251.17</v>
      </c>
      <c r="N53" s="28"/>
      <c r="O53" s="402" t="s">
        <v>415</v>
      </c>
      <c r="P53" s="28"/>
      <c r="Q53" s="44"/>
      <c r="R53" s="427"/>
      <c r="S53" s="428"/>
      <c r="T53" s="429"/>
      <c r="U53" s="421">
        <f>SUM(U51:U52)</f>
        <v>64579.66</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4.5</v>
      </c>
      <c r="D65" s="143">
        <v>0</v>
      </c>
      <c r="E65" s="116">
        <f t="shared" si="10"/>
        <v>9</v>
      </c>
      <c r="F65" s="462" t="s">
        <v>14</v>
      </c>
      <c r="G65" s="461">
        <v>253</v>
      </c>
      <c r="H65" s="475">
        <f>'1461'!H65</f>
        <v>6685</v>
      </c>
      <c r="I65" s="101">
        <f t="shared" si="11"/>
        <v>60165</v>
      </c>
      <c r="N65" s="866"/>
      <c r="O65" s="866"/>
      <c r="P65" s="874"/>
      <c r="Q65" s="874"/>
      <c r="R65" s="40" t="s">
        <v>14</v>
      </c>
      <c r="S65" s="467">
        <v>253</v>
      </c>
      <c r="T65" s="478">
        <f t="shared" si="12"/>
        <v>6685</v>
      </c>
      <c r="U65" s="493">
        <f t="shared" si="13"/>
        <v>0</v>
      </c>
      <c r="V65" s="442"/>
    </row>
    <row r="66" spans="1:22" ht="16.5" thickBot="1" x14ac:dyDescent="0.3">
      <c r="A66" s="458"/>
      <c r="C66" s="97">
        <f>SUM(C57:C65)</f>
        <v>4.5</v>
      </c>
      <c r="D66" s="97">
        <f>SUM(D57:D65)</f>
        <v>0</v>
      </c>
      <c r="E66" s="97">
        <f>SUM(E57:E65)</f>
        <v>9</v>
      </c>
      <c r="F66" s="816" t="s">
        <v>460</v>
      </c>
      <c r="G66" s="816"/>
      <c r="H66" s="816"/>
      <c r="I66" s="97">
        <f>SUM(I57:I65)</f>
        <v>60165</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161</v>
      </c>
      <c r="D69" s="791" t="s">
        <v>427</v>
      </c>
      <c r="E69" s="791"/>
      <c r="F69" s="791"/>
      <c r="G69" s="791"/>
      <c r="H69" s="299">
        <f>'1461'!H69</f>
        <v>215320.92</v>
      </c>
      <c r="I69" s="113"/>
      <c r="N69" s="870" t="s">
        <v>420</v>
      </c>
      <c r="O69" s="851"/>
      <c r="P69" s="41">
        <f>P30</f>
        <v>161</v>
      </c>
      <c r="Q69" s="871" t="s">
        <v>422</v>
      </c>
      <c r="R69" s="872"/>
      <c r="S69" s="872"/>
      <c r="T69" s="873">
        <f>H69</f>
        <v>215320.92</v>
      </c>
      <c r="U69" s="873"/>
    </row>
    <row r="70" spans="1:22" x14ac:dyDescent="0.25">
      <c r="B70" s="69"/>
      <c r="G70" s="42" t="s">
        <v>12</v>
      </c>
      <c r="H70" s="114">
        <f>ROUND(C69/H69,6)</f>
        <v>7.4799999999999997E-4</v>
      </c>
      <c r="I70" s="115"/>
      <c r="N70" s="851"/>
      <c r="O70" s="851"/>
      <c r="P70" s="851"/>
      <c r="Q70" s="851"/>
      <c r="R70" s="851"/>
      <c r="S70" s="851"/>
      <c r="T70" s="869">
        <f>ROUND(P69/T69,6)</f>
        <v>7.4799999999999997E-4</v>
      </c>
      <c r="U70" s="869"/>
    </row>
    <row r="71" spans="1:22" x14ac:dyDescent="0.25">
      <c r="A71" s="460" t="s">
        <v>463</v>
      </c>
      <c r="N71" s="471" t="s">
        <v>471</v>
      </c>
      <c r="O71" s="51"/>
      <c r="P71" s="51"/>
      <c r="Q71" s="51"/>
      <c r="R71" s="51"/>
      <c r="S71" s="51"/>
      <c r="T71" s="51"/>
      <c r="U71" s="51"/>
    </row>
    <row r="72" spans="1:22" x14ac:dyDescent="0.25">
      <c r="A72" s="810" t="s">
        <v>417</v>
      </c>
      <c r="B72" s="804"/>
      <c r="C72" s="112">
        <f>H30</f>
        <v>765.99099999999999</v>
      </c>
      <c r="D72" s="791" t="s">
        <v>428</v>
      </c>
      <c r="E72" s="791"/>
      <c r="F72" s="791"/>
      <c r="G72" s="791"/>
      <c r="H72" s="300">
        <f>'1461'!H72</f>
        <v>229051.25000000003</v>
      </c>
      <c r="I72" s="116"/>
      <c r="N72" s="870" t="s">
        <v>421</v>
      </c>
      <c r="O72" s="851"/>
      <c r="P72" s="41">
        <f>T30</f>
        <v>161</v>
      </c>
      <c r="Q72" s="871" t="s">
        <v>423</v>
      </c>
      <c r="R72" s="872"/>
      <c r="S72" s="872"/>
      <c r="T72" s="873">
        <f>H72</f>
        <v>229051.25000000003</v>
      </c>
      <c r="U72" s="873"/>
    </row>
    <row r="73" spans="1:22" x14ac:dyDescent="0.25">
      <c r="G73" s="42" t="s">
        <v>12</v>
      </c>
      <c r="H73" s="114">
        <f>ROUND(C72/H72,6)</f>
        <v>3.3440000000000002E-3</v>
      </c>
      <c r="I73" s="114"/>
      <c r="N73" s="851"/>
      <c r="O73" s="851"/>
      <c r="P73" s="851"/>
      <c r="Q73" s="851"/>
      <c r="R73" s="851"/>
      <c r="S73" s="851"/>
      <c r="T73" s="869">
        <f>ROUND(P72/T72,6)</f>
        <v>7.0299999999999996E-4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161</v>
      </c>
      <c r="D75" s="783" t="s">
        <v>429</v>
      </c>
      <c r="E75" s="783"/>
      <c r="F75" s="783"/>
      <c r="G75" s="783"/>
      <c r="H75" s="299">
        <f>'1461'!H75</f>
        <v>186156.17</v>
      </c>
      <c r="I75" s="113"/>
      <c r="N75" s="870" t="s">
        <v>419</v>
      </c>
      <c r="O75" s="851"/>
      <c r="P75" s="41">
        <f>P30</f>
        <v>161</v>
      </c>
      <c r="Q75" s="878" t="s">
        <v>424</v>
      </c>
      <c r="R75" s="879"/>
      <c r="S75" s="879"/>
      <c r="T75" s="873">
        <f>H75</f>
        <v>186156.17</v>
      </c>
      <c r="U75" s="873"/>
    </row>
    <row r="76" spans="1:22" x14ac:dyDescent="0.25">
      <c r="B76" s="69"/>
      <c r="G76" s="42" t="s">
        <v>12</v>
      </c>
      <c r="H76" s="114">
        <f>ROUND(C75/H75,6)</f>
        <v>8.6499999999999999E-4</v>
      </c>
      <c r="I76" s="115"/>
      <c r="N76" s="851"/>
      <c r="O76" s="851"/>
      <c r="P76" s="851"/>
      <c r="Q76" s="851"/>
      <c r="R76" s="851"/>
      <c r="S76" s="851"/>
      <c r="T76" s="869">
        <f>ROUND(P75/T75,6)</f>
        <v>8.6499999999999999E-4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161</v>
      </c>
      <c r="D78" s="811" t="s">
        <v>430</v>
      </c>
      <c r="E78" s="811"/>
      <c r="F78" s="811"/>
      <c r="G78" s="811"/>
      <c r="H78" s="299">
        <f>'1461'!H78</f>
        <v>215016.58000000002</v>
      </c>
      <c r="I78" s="113"/>
      <c r="N78" s="870" t="s">
        <v>419</v>
      </c>
      <c r="O78" s="851"/>
      <c r="P78" s="41">
        <f>P30</f>
        <v>161</v>
      </c>
      <c r="Q78" s="876" t="s">
        <v>425</v>
      </c>
      <c r="R78" s="877"/>
      <c r="S78" s="877"/>
      <c r="T78" s="873">
        <f>H78</f>
        <v>215016.58000000002</v>
      </c>
      <c r="U78" s="873"/>
    </row>
    <row r="79" spans="1:22" x14ac:dyDescent="0.25">
      <c r="B79" s="69"/>
      <c r="G79" s="42" t="s">
        <v>12</v>
      </c>
      <c r="H79" s="114">
        <f>ROUND(C78/H78,6)</f>
        <v>7.4899999999999999E-4</v>
      </c>
      <c r="I79" s="115"/>
      <c r="N79" s="851"/>
      <c r="O79" s="851"/>
      <c r="P79" s="851"/>
      <c r="Q79" s="851"/>
      <c r="R79" s="851"/>
      <c r="S79" s="851"/>
      <c r="T79" s="869">
        <f>ROUND(P78/T78,6)</f>
        <v>7.4899999999999999E-4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161</v>
      </c>
      <c r="D81" s="783" t="s">
        <v>431</v>
      </c>
      <c r="E81" s="783"/>
      <c r="F81" s="783"/>
      <c r="G81" s="783"/>
      <c r="H81" s="299">
        <f>'1461'!H81</f>
        <v>185851.83000000002</v>
      </c>
      <c r="I81" s="113"/>
      <c r="N81" s="870" t="s">
        <v>432</v>
      </c>
      <c r="O81" s="851"/>
      <c r="P81" s="41">
        <f>P30</f>
        <v>161</v>
      </c>
      <c r="Q81" s="878" t="s">
        <v>433</v>
      </c>
      <c r="R81" s="879"/>
      <c r="S81" s="879"/>
      <c r="T81" s="873">
        <f>H81</f>
        <v>185851.83000000002</v>
      </c>
      <c r="U81" s="873"/>
    </row>
    <row r="82" spans="1:21" x14ac:dyDescent="0.25">
      <c r="B82" s="69"/>
      <c r="G82" s="42" t="s">
        <v>12</v>
      </c>
      <c r="H82" s="114">
        <f>ROUND(C81/H81,6)</f>
        <v>8.6600000000000002E-4</v>
      </c>
      <c r="I82" s="115"/>
      <c r="N82" s="851"/>
      <c r="O82" s="851"/>
      <c r="P82" s="851"/>
      <c r="Q82" s="851"/>
      <c r="R82" s="851"/>
      <c r="S82" s="851"/>
      <c r="T82" s="869">
        <f>ROUND(P81/T81,6)</f>
        <v>8.6600000000000002E-4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7.4899999999999999E-4</v>
      </c>
      <c r="I85" s="101">
        <f>ROUND(F85*H85,2)</f>
        <v>35420.769999999997</v>
      </c>
      <c r="N85" s="471" t="s">
        <v>467</v>
      </c>
      <c r="O85" s="51"/>
      <c r="P85" s="51"/>
      <c r="Q85" s="44"/>
      <c r="R85" s="437">
        <f>F85</f>
        <v>47290747</v>
      </c>
      <c r="S85" s="38" t="s">
        <v>6</v>
      </c>
      <c r="T85" s="439">
        <f>T79</f>
        <v>7.4899999999999999E-4</v>
      </c>
      <c r="U85" s="491">
        <f>ROUND(R85*T85,2)</f>
        <v>35420.769999999997</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7.4799999999999997E-4</v>
      </c>
      <c r="I88" s="101">
        <f>ROUND(F88*H88,2)</f>
        <v>0</v>
      </c>
      <c r="N88" s="880" t="s">
        <v>99</v>
      </c>
      <c r="O88" s="851"/>
      <c r="P88" s="851"/>
      <c r="Q88" s="44"/>
      <c r="R88" s="437">
        <f>F88</f>
        <v>0</v>
      </c>
      <c r="S88" s="38" t="s">
        <v>6</v>
      </c>
      <c r="T88" s="439">
        <f>T70</f>
        <v>7.4799999999999997E-4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8.6600000000000002E-4</v>
      </c>
      <c r="I90" s="101">
        <f>ROUND(F90*H90,2)</f>
        <v>16599.38</v>
      </c>
      <c r="N90" s="471" t="s">
        <v>468</v>
      </c>
      <c r="O90" s="51"/>
      <c r="P90" s="51"/>
      <c r="Q90" s="44"/>
      <c r="R90" s="437">
        <f>F90</f>
        <v>19167881</v>
      </c>
      <c r="S90" s="38" t="s">
        <v>6</v>
      </c>
      <c r="T90" s="439">
        <f>T82</f>
        <v>8.6600000000000002E-4</v>
      </c>
      <c r="U90" s="491">
        <f>ROUND(R90*T90,2)</f>
        <v>16599.38</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8.6499999999999999E-4</v>
      </c>
      <c r="I92" s="101">
        <f t="shared" ref="I92:I96" si="14">ROUND(F92*H92,2)</f>
        <v>9988.06</v>
      </c>
      <c r="N92" s="471" t="s">
        <v>469</v>
      </c>
      <c r="O92" s="51"/>
      <c r="P92" s="51"/>
      <c r="Q92" s="44"/>
      <c r="R92" s="437">
        <f t="shared" ref="R92:R96" si="15">F92</f>
        <v>11546889</v>
      </c>
      <c r="S92" s="38" t="s">
        <v>6</v>
      </c>
      <c r="T92" s="439">
        <f>T76</f>
        <v>8.6499999999999999E-4</v>
      </c>
      <c r="U92" s="491">
        <f>ROUND(R92*T92,2)</f>
        <v>9988.06</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3.3440000000000002E-3</v>
      </c>
      <c r="I94" s="101">
        <f t="shared" si="14"/>
        <v>898921.63</v>
      </c>
      <c r="N94" s="851" t="s">
        <v>435</v>
      </c>
      <c r="O94" s="851"/>
      <c r="P94" s="851"/>
      <c r="Q94" s="44"/>
      <c r="R94" s="437">
        <f t="shared" si="15"/>
        <v>268816278</v>
      </c>
      <c r="S94" s="38" t="s">
        <v>6</v>
      </c>
      <c r="T94" s="439">
        <f>T73</f>
        <v>7.0299999999999996E-4</v>
      </c>
      <c r="U94" s="491">
        <f>ROUND(R94*T94,2)</f>
        <v>188977.84</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3.3440000000000002E-3</v>
      </c>
      <c r="I96" s="101">
        <f t="shared" si="14"/>
        <v>0</v>
      </c>
      <c r="N96" s="870" t="s">
        <v>436</v>
      </c>
      <c r="O96" s="851"/>
      <c r="P96" s="851"/>
      <c r="Q96" s="44"/>
      <c r="R96" s="437">
        <f t="shared" si="15"/>
        <v>0</v>
      </c>
      <c r="S96" s="38" t="s">
        <v>6</v>
      </c>
      <c r="T96" s="439">
        <f>T73</f>
        <v>7.0299999999999996E-4</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7.4799999999999997E-4</v>
      </c>
      <c r="I98" s="101">
        <f t="shared" ref="I98" si="16">ROUND(F98*H98,2)</f>
        <v>0</v>
      </c>
      <c r="N98" s="550" t="s">
        <v>507</v>
      </c>
      <c r="O98" s="550"/>
      <c r="P98" s="550"/>
      <c r="Q98" s="44"/>
      <c r="R98" s="553">
        <f>F98</f>
        <v>0</v>
      </c>
      <c r="S98" s="551" t="s">
        <v>6</v>
      </c>
      <c r="T98" s="439">
        <f>T70</f>
        <v>7.4799999999999997E-4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94.421999999999997</v>
      </c>
      <c r="D104" s="822"/>
      <c r="E104" s="46">
        <f>H8</f>
        <v>1.0355000000000001</v>
      </c>
      <c r="F104" s="302">
        <f>'1461'!F104</f>
        <v>958.42</v>
      </c>
      <c r="G104" s="39" t="s">
        <v>12</v>
      </c>
      <c r="H104" s="101">
        <f>ROUND(C104*E104*F104,2)</f>
        <v>93708.54</v>
      </c>
      <c r="I104" s="104"/>
      <c r="N104" s="28" t="s">
        <v>17</v>
      </c>
      <c r="O104" s="47">
        <f>T14+T15+T20+T23+T26</f>
        <v>18</v>
      </c>
      <c r="P104" s="881">
        <f>T8</f>
        <v>1.0355000000000001</v>
      </c>
      <c r="Q104" s="881"/>
      <c r="R104" s="48">
        <f>F104</f>
        <v>958.42</v>
      </c>
      <c r="S104" s="40" t="s">
        <v>12</v>
      </c>
      <c r="T104" s="497">
        <f>ROUND(O104*P104*R104,2)</f>
        <v>17863.990000000002</v>
      </c>
      <c r="U104" s="102"/>
    </row>
    <row r="105" spans="1:21" x14ac:dyDescent="0.25">
      <c r="A105" s="49"/>
      <c r="B105" s="49" t="s">
        <v>104</v>
      </c>
      <c r="C105" s="822">
        <f>H16+H17+H21+H24+H27</f>
        <v>194.761</v>
      </c>
      <c r="D105" s="822"/>
      <c r="E105" s="46">
        <f>H8</f>
        <v>1.0355000000000001</v>
      </c>
      <c r="F105" s="302">
        <f>'1461'!F105</f>
        <v>915.09</v>
      </c>
      <c r="G105" s="39" t="s">
        <v>12</v>
      </c>
      <c r="H105" s="101">
        <f>ROUND(C105*E105*F105,2)</f>
        <v>184550.79</v>
      </c>
      <c r="N105" s="50" t="s">
        <v>13</v>
      </c>
      <c r="O105" s="47">
        <f>T16+T17+T21+T24+T27</f>
        <v>39</v>
      </c>
      <c r="P105" s="881">
        <f>T8</f>
        <v>1.0355000000000001</v>
      </c>
      <c r="Q105" s="881"/>
      <c r="R105" s="48">
        <f>F105</f>
        <v>915.09</v>
      </c>
      <c r="S105" s="40" t="s">
        <v>12</v>
      </c>
      <c r="T105" s="497">
        <f>ROUND(O105*P105*R105,2)</f>
        <v>36955.449999999997</v>
      </c>
      <c r="U105" s="51"/>
    </row>
    <row r="106" spans="1:21" ht="16.5" thickBot="1" x14ac:dyDescent="0.3">
      <c r="A106" s="52"/>
      <c r="B106" s="52" t="s">
        <v>103</v>
      </c>
      <c r="C106" s="822">
        <f>H18+H19+H22+H25+H28+H29</f>
        <v>476.80799999999999</v>
      </c>
      <c r="D106" s="822"/>
      <c r="E106" s="46">
        <f>H8</f>
        <v>1.0355000000000001</v>
      </c>
      <c r="F106" s="302">
        <f>'1461'!F106</f>
        <v>917.3</v>
      </c>
      <c r="G106" s="39" t="s">
        <v>12</v>
      </c>
      <c r="H106" s="94">
        <f>ROUND(C106*E106*F106,2)</f>
        <v>452902.83</v>
      </c>
      <c r="N106" s="53" t="s">
        <v>14</v>
      </c>
      <c r="O106" s="54">
        <f>T18+T19+T22+T25+T28+T29</f>
        <v>104</v>
      </c>
      <c r="P106" s="881">
        <f>T8</f>
        <v>1.0355000000000001</v>
      </c>
      <c r="Q106" s="881"/>
      <c r="R106" s="48">
        <f>F106</f>
        <v>917.3</v>
      </c>
      <c r="S106" s="40" t="s">
        <v>12</v>
      </c>
      <c r="T106" s="497">
        <f>ROUND(O106*P106*R106,2)</f>
        <v>98785.87</v>
      </c>
      <c r="U106" s="51"/>
    </row>
    <row r="107" spans="1:21" ht="16.5" thickBot="1" x14ac:dyDescent="0.3">
      <c r="A107" s="55"/>
      <c r="B107" s="122" t="s">
        <v>102</v>
      </c>
      <c r="C107" s="812">
        <f>SUM(C104:C106)</f>
        <v>765.99099999999999</v>
      </c>
      <c r="D107" s="812"/>
      <c r="E107" s="123"/>
      <c r="F107" s="123"/>
      <c r="G107" s="123"/>
      <c r="H107" s="124" t="s">
        <v>100</v>
      </c>
      <c r="I107" s="101">
        <f>IF(A1=75,0,H106+H105+H104)</f>
        <v>731162.16</v>
      </c>
      <c r="N107" s="56" t="s">
        <v>89</v>
      </c>
      <c r="O107" s="57">
        <f>SUM(O104:O106)</f>
        <v>161</v>
      </c>
      <c r="P107" s="887" t="s">
        <v>16</v>
      </c>
      <c r="Q107" s="888"/>
      <c r="R107" s="888"/>
      <c r="S107" s="888"/>
      <c r="T107" s="888"/>
      <c r="U107" s="491">
        <f>IF(N1=75,0,T106+T105+T104)</f>
        <v>153605.31</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2</v>
      </c>
      <c r="E113" s="116">
        <f>(C113+D113)/2</f>
        <v>1</v>
      </c>
      <c r="F113" s="126" t="s">
        <v>30</v>
      </c>
      <c r="G113" s="303">
        <f>'1461'!G113</f>
        <v>617</v>
      </c>
      <c r="I113" s="101">
        <f>ROUND(G113*E113,2)</f>
        <v>617</v>
      </c>
      <c r="N113" s="885" t="s">
        <v>52</v>
      </c>
      <c r="O113" s="885"/>
      <c r="P113" s="886">
        <f>IF(H133=1,E113,0)</f>
        <v>1</v>
      </c>
      <c r="Q113" s="886"/>
      <c r="R113" s="886"/>
      <c r="S113" s="83" t="s">
        <v>30</v>
      </c>
      <c r="T113" s="58">
        <f>G113</f>
        <v>617</v>
      </c>
      <c r="U113" s="491">
        <f>ROUND(T113*P113,2)</f>
        <v>617</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6014332.6399999997</v>
      </c>
      <c r="N128" s="471"/>
      <c r="O128" s="470"/>
      <c r="P128" s="470"/>
      <c r="Q128" s="305"/>
      <c r="R128" s="305"/>
      <c r="S128" s="305"/>
      <c r="T128" s="305"/>
      <c r="U128" s="498">
        <f>SUM(U30,U85,U88,U90,U92,U94,U96,U107,U113,U114,U124,U126)</f>
        <v>1300904.05</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5707081.4699999997</v>
      </c>
      <c r="N130" s="851" t="s">
        <v>447</v>
      </c>
      <c r="O130" s="851"/>
      <c r="P130" s="851"/>
      <c r="Q130" s="851"/>
      <c r="R130" s="851"/>
      <c r="S130" s="851"/>
      <c r="T130" s="851"/>
      <c r="U130" s="132">
        <f>U128-U53</f>
        <v>1236324.3900000001</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1236324.3900000001</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1236324.3900000001</v>
      </c>
      <c r="I135" s="94">
        <f>ROUND(IF(E30=0,0,IF(E30&gt;250,-(((250/E30)*H135)*IF(G135="H",0.02,0.05)),IF(G135="H",-0.02*H135,-0.05*H135))),2)</f>
        <v>-61816.22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5952516.4199999999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Payments'!Q80</f>
        <v>-484859.99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5467656.4299999997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497059.68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FFCCCC"/>
  </sheetPr>
  <dimension ref="A1:V221"/>
  <sheetViews>
    <sheetView topLeftCell="A108" workbookViewId="0">
      <selection activeCell="K109" sqref="K109"/>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380</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37.5</v>
      </c>
      <c r="D19" s="143">
        <v>0</v>
      </c>
      <c r="E19" s="116">
        <f t="shared" si="1"/>
        <v>75</v>
      </c>
      <c r="F19" s="850">
        <f>'1461'!F19:G19</f>
        <v>0.97199999999999998</v>
      </c>
      <c r="G19" s="850"/>
      <c r="H19" s="80">
        <f t="shared" si="2"/>
        <v>72.900000000000006</v>
      </c>
      <c r="I19" s="101">
        <f t="shared" si="3"/>
        <v>405566.56</v>
      </c>
      <c r="J19" s="65" t="str">
        <f>IF(ROUND(E19,2)=ROUND(SUM(E63:E65),2)," ","CHECK 4-8 LINES BELOW")</f>
        <v xml:space="preserve"> </v>
      </c>
      <c r="N19" s="851" t="s">
        <v>25</v>
      </c>
      <c r="O19" s="851"/>
      <c r="P19" s="848">
        <f t="shared" si="0"/>
        <v>75</v>
      </c>
      <c r="Q19" s="848"/>
      <c r="R19" s="852">
        <v>1</v>
      </c>
      <c r="S19" s="852"/>
      <c r="T19" s="95">
        <f t="shared" si="4"/>
        <v>75</v>
      </c>
      <c r="U19" s="490">
        <f t="shared" si="5"/>
        <v>417249.55</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1</v>
      </c>
      <c r="D22" s="143">
        <v>0</v>
      </c>
      <c r="E22" s="116">
        <f t="shared" si="1"/>
        <v>2</v>
      </c>
      <c r="F22" s="850">
        <f>'1461'!F22:G22</f>
        <v>3.609</v>
      </c>
      <c r="G22" s="850"/>
      <c r="H22" s="80">
        <f t="shared" si="2"/>
        <v>7.218</v>
      </c>
      <c r="I22" s="101">
        <f t="shared" si="3"/>
        <v>40156.1</v>
      </c>
      <c r="N22" s="851" t="s">
        <v>81</v>
      </c>
      <c r="O22" s="851"/>
      <c r="P22" s="848">
        <f t="shared" si="0"/>
        <v>2</v>
      </c>
      <c r="Q22" s="848"/>
      <c r="R22" s="852">
        <v>1</v>
      </c>
      <c r="S22" s="852"/>
      <c r="T22" s="95">
        <f t="shared" si="4"/>
        <v>2</v>
      </c>
      <c r="U22" s="491">
        <f t="shared" si="5"/>
        <v>11126.65</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38.5</v>
      </c>
      <c r="D30" s="94">
        <f>SUM(D14:D29)</f>
        <v>0</v>
      </c>
      <c r="E30" s="94">
        <f>SUM(E14:E29)</f>
        <v>77</v>
      </c>
      <c r="F30" s="808"/>
      <c r="G30" s="808"/>
      <c r="H30" s="99">
        <f>SUM(H14:H29)</f>
        <v>80.118000000000009</v>
      </c>
      <c r="I30" s="94">
        <f>SUM(I14:I29)</f>
        <v>445722.66</v>
      </c>
      <c r="N30" s="855" t="s">
        <v>5</v>
      </c>
      <c r="O30" s="855"/>
      <c r="P30" s="856">
        <f>SUM(P14:P29)</f>
        <v>77</v>
      </c>
      <c r="Q30" s="856"/>
      <c r="R30" s="857"/>
      <c r="S30" s="857"/>
      <c r="T30" s="100">
        <f>SUM(T14:T29)</f>
        <v>77</v>
      </c>
      <c r="U30" s="491">
        <f>SUM(U14:U29)</f>
        <v>428376.2</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80.118000000000009</v>
      </c>
      <c r="F46" s="34"/>
      <c r="G46" s="106"/>
      <c r="H46" s="107" t="s">
        <v>98</v>
      </c>
      <c r="I46" s="94">
        <f>SUM(I44,I30)</f>
        <v>445722.66</v>
      </c>
      <c r="N46" s="863" t="s">
        <v>44</v>
      </c>
      <c r="O46" s="863"/>
      <c r="P46" s="863"/>
      <c r="Q46" s="863"/>
      <c r="R46" s="35">
        <f>R44+T30</f>
        <v>77</v>
      </c>
      <c r="S46" s="857" t="s">
        <v>42</v>
      </c>
      <c r="T46" s="857"/>
      <c r="U46" s="108">
        <f>SUM(U44,U30)</f>
        <v>428376.2</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445722.66</v>
      </c>
      <c r="G51" s="109" t="s">
        <v>6</v>
      </c>
      <c r="H51" s="420">
        <f>'1461'!H51</f>
        <v>6.6699999999999995E-2</v>
      </c>
      <c r="I51" s="101">
        <f>ROUND(F51*H51,2)</f>
        <v>29729.7</v>
      </c>
      <c r="N51" s="425"/>
      <c r="O51" s="426" t="s">
        <v>556</v>
      </c>
      <c r="P51" s="28"/>
      <c r="Q51" s="44" t="s">
        <v>414</v>
      </c>
      <c r="R51" s="427">
        <f>U30</f>
        <v>428376.2</v>
      </c>
      <c r="S51" s="428" t="s">
        <v>6</v>
      </c>
      <c r="T51" s="429">
        <v>6.6699999999999995E-2</v>
      </c>
      <c r="U51" s="421">
        <f>ROUND(R51*T51,2)</f>
        <v>28572.69</v>
      </c>
    </row>
    <row r="52" spans="1:22" x14ac:dyDescent="0.25">
      <c r="A52" s="26"/>
      <c r="B52" s="575" t="str">
        <f>'1461'!B52</f>
        <v>Growth Portion (0.54% of Conference Funding)</v>
      </c>
      <c r="C52" s="26"/>
      <c r="D52" s="26"/>
      <c r="E52" s="43" t="s">
        <v>414</v>
      </c>
      <c r="F52" s="419">
        <v>445722.66</v>
      </c>
      <c r="G52" s="109" t="s">
        <v>6</v>
      </c>
      <c r="H52" s="420">
        <f>'1461'!H52</f>
        <v>5.4000000000000003E-3</v>
      </c>
      <c r="I52" s="101">
        <f>ROUND(F52*H52,2)</f>
        <v>2406.9</v>
      </c>
      <c r="N52" s="28"/>
      <c r="O52" s="757" t="s">
        <v>560</v>
      </c>
      <c r="P52" s="28"/>
      <c r="Q52" s="44" t="s">
        <v>414</v>
      </c>
      <c r="R52" s="427">
        <f>U30</f>
        <v>428376.2</v>
      </c>
      <c r="S52" s="428" t="s">
        <v>6</v>
      </c>
      <c r="T52" s="429">
        <v>5.4000000000000003E-3</v>
      </c>
      <c r="U52" s="430">
        <f>ROUND(R52*T52,2)</f>
        <v>2313.23</v>
      </c>
    </row>
    <row r="53" spans="1:22" x14ac:dyDescent="0.25">
      <c r="A53" s="26"/>
      <c r="B53" s="81" t="s">
        <v>415</v>
      </c>
      <c r="C53" s="26"/>
      <c r="D53" s="26"/>
      <c r="E53" s="43"/>
      <c r="F53" s="419"/>
      <c r="G53" s="109"/>
      <c r="H53" s="420"/>
      <c r="I53" s="97">
        <f>SUM(I51:I52)</f>
        <v>32136.600000000002</v>
      </c>
      <c r="N53" s="28"/>
      <c r="O53" s="402" t="s">
        <v>415</v>
      </c>
      <c r="P53" s="28"/>
      <c r="Q53" s="44"/>
      <c r="R53" s="427"/>
      <c r="S53" s="428"/>
      <c r="T53" s="429"/>
      <c r="U53" s="421">
        <f>SUM(U51:U52)</f>
        <v>30885.919999999998</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0.5</v>
      </c>
      <c r="D63" s="143">
        <v>0</v>
      </c>
      <c r="E63" s="116">
        <f t="shared" si="10"/>
        <v>1</v>
      </c>
      <c r="F63" s="462" t="s">
        <v>14</v>
      </c>
      <c r="G63" s="461">
        <v>251</v>
      </c>
      <c r="H63" s="475">
        <f>'1461'!H63</f>
        <v>835</v>
      </c>
      <c r="I63" s="101">
        <f t="shared" si="11"/>
        <v>835</v>
      </c>
      <c r="N63" s="866"/>
      <c r="O63" s="866"/>
      <c r="P63" s="868"/>
      <c r="Q63" s="868"/>
      <c r="R63" s="40" t="s">
        <v>14</v>
      </c>
      <c r="S63" s="467">
        <v>251</v>
      </c>
      <c r="T63" s="478">
        <f t="shared" si="12"/>
        <v>835</v>
      </c>
      <c r="U63" s="492">
        <f t="shared" si="13"/>
        <v>0</v>
      </c>
      <c r="V63" s="442"/>
    </row>
    <row r="64" spans="1:22" x14ac:dyDescent="0.25">
      <c r="A64" s="815"/>
      <c r="B64" s="815"/>
      <c r="C64" s="143">
        <v>8</v>
      </c>
      <c r="D64" s="143">
        <v>0</v>
      </c>
      <c r="E64" s="116">
        <f t="shared" si="10"/>
        <v>16</v>
      </c>
      <c r="F64" s="462" t="s">
        <v>14</v>
      </c>
      <c r="G64" s="461">
        <v>252</v>
      </c>
      <c r="H64" s="475">
        <f>'1461'!H64</f>
        <v>3168</v>
      </c>
      <c r="I64" s="101">
        <f t="shared" si="11"/>
        <v>50688</v>
      </c>
      <c r="N64" s="866"/>
      <c r="O64" s="866"/>
      <c r="P64" s="868"/>
      <c r="Q64" s="868"/>
      <c r="R64" s="40" t="s">
        <v>14</v>
      </c>
      <c r="S64" s="467">
        <v>252</v>
      </c>
      <c r="T64" s="478">
        <f t="shared" si="12"/>
        <v>3168</v>
      </c>
      <c r="U64" s="492">
        <f t="shared" si="13"/>
        <v>0</v>
      </c>
      <c r="V64" s="442"/>
    </row>
    <row r="65" spans="1:22" ht="16.5" thickBot="1" x14ac:dyDescent="0.3">
      <c r="A65" s="815"/>
      <c r="B65" s="815"/>
      <c r="C65" s="143">
        <v>29</v>
      </c>
      <c r="D65" s="143">
        <v>0</v>
      </c>
      <c r="E65" s="116">
        <f t="shared" si="10"/>
        <v>58</v>
      </c>
      <c r="F65" s="462" t="s">
        <v>14</v>
      </c>
      <c r="G65" s="461">
        <v>253</v>
      </c>
      <c r="H65" s="475">
        <f>'1461'!H65</f>
        <v>6685</v>
      </c>
      <c r="I65" s="101">
        <f t="shared" si="11"/>
        <v>387730</v>
      </c>
      <c r="N65" s="866"/>
      <c r="O65" s="866"/>
      <c r="P65" s="874"/>
      <c r="Q65" s="874"/>
      <c r="R65" s="40" t="s">
        <v>14</v>
      </c>
      <c r="S65" s="467">
        <v>253</v>
      </c>
      <c r="T65" s="478">
        <f t="shared" si="12"/>
        <v>6685</v>
      </c>
      <c r="U65" s="493">
        <f t="shared" si="13"/>
        <v>0</v>
      </c>
      <c r="V65" s="442"/>
    </row>
    <row r="66" spans="1:22" ht="16.5" thickBot="1" x14ac:dyDescent="0.3">
      <c r="A66" s="458"/>
      <c r="C66" s="97">
        <f>SUM(C57:C65)</f>
        <v>37.5</v>
      </c>
      <c r="D66" s="97">
        <f>SUM(D57:D65)</f>
        <v>0</v>
      </c>
      <c r="E66" s="97">
        <f>SUM(E57:E65)</f>
        <v>75</v>
      </c>
      <c r="F66" s="816" t="s">
        <v>460</v>
      </c>
      <c r="G66" s="816"/>
      <c r="H66" s="816"/>
      <c r="I66" s="97">
        <f>SUM(I57:I65)</f>
        <v>439253</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77</v>
      </c>
      <c r="D69" s="791" t="s">
        <v>427</v>
      </c>
      <c r="E69" s="791"/>
      <c r="F69" s="791"/>
      <c r="G69" s="791"/>
      <c r="H69" s="299">
        <f>'1461'!H69</f>
        <v>215320.92</v>
      </c>
      <c r="I69" s="113"/>
      <c r="N69" s="870" t="s">
        <v>420</v>
      </c>
      <c r="O69" s="851"/>
      <c r="P69" s="41">
        <f>P30</f>
        <v>77</v>
      </c>
      <c r="Q69" s="871" t="s">
        <v>422</v>
      </c>
      <c r="R69" s="872"/>
      <c r="S69" s="872"/>
      <c r="T69" s="873">
        <f>H69</f>
        <v>215320.92</v>
      </c>
      <c r="U69" s="873"/>
    </row>
    <row r="70" spans="1:22" x14ac:dyDescent="0.25">
      <c r="B70" s="69"/>
      <c r="G70" s="42" t="s">
        <v>12</v>
      </c>
      <c r="H70" s="114">
        <f>ROUND(C69/H69,6)</f>
        <v>3.5799999999999997E-4</v>
      </c>
      <c r="I70" s="115"/>
      <c r="N70" s="851"/>
      <c r="O70" s="851"/>
      <c r="P70" s="851"/>
      <c r="Q70" s="851"/>
      <c r="R70" s="851"/>
      <c r="S70" s="851"/>
      <c r="T70" s="869">
        <f>ROUND(P69/T69,6)</f>
        <v>3.5799999999999997E-4</v>
      </c>
      <c r="U70" s="869"/>
    </row>
    <row r="71" spans="1:22" x14ac:dyDescent="0.25">
      <c r="A71" s="460" t="s">
        <v>463</v>
      </c>
      <c r="N71" s="471" t="s">
        <v>471</v>
      </c>
      <c r="O71" s="51"/>
      <c r="P71" s="51"/>
      <c r="Q71" s="51"/>
      <c r="R71" s="51"/>
      <c r="S71" s="51"/>
      <c r="T71" s="51"/>
      <c r="U71" s="51"/>
    </row>
    <row r="72" spans="1:22" x14ac:dyDescent="0.25">
      <c r="A72" s="810" t="s">
        <v>417</v>
      </c>
      <c r="B72" s="804"/>
      <c r="C72" s="112">
        <f>H30</f>
        <v>80.118000000000009</v>
      </c>
      <c r="D72" s="791" t="s">
        <v>428</v>
      </c>
      <c r="E72" s="791"/>
      <c r="F72" s="791"/>
      <c r="G72" s="791"/>
      <c r="H72" s="300">
        <f>'1461'!H72</f>
        <v>229051.25000000003</v>
      </c>
      <c r="I72" s="116"/>
      <c r="N72" s="870" t="s">
        <v>421</v>
      </c>
      <c r="O72" s="851"/>
      <c r="P72" s="41">
        <f>T30</f>
        <v>77</v>
      </c>
      <c r="Q72" s="871" t="s">
        <v>423</v>
      </c>
      <c r="R72" s="872"/>
      <c r="S72" s="872"/>
      <c r="T72" s="873">
        <f>H72</f>
        <v>229051.25000000003</v>
      </c>
      <c r="U72" s="873"/>
    </row>
    <row r="73" spans="1:22" x14ac:dyDescent="0.25">
      <c r="G73" s="42" t="s">
        <v>12</v>
      </c>
      <c r="H73" s="114">
        <f>ROUND(C72/H72,6)</f>
        <v>3.5E-4</v>
      </c>
      <c r="I73" s="114"/>
      <c r="N73" s="851"/>
      <c r="O73" s="851"/>
      <c r="P73" s="851"/>
      <c r="Q73" s="851"/>
      <c r="R73" s="851"/>
      <c r="S73" s="851"/>
      <c r="T73" s="869">
        <f>ROUND(P72/T72,6)</f>
        <v>3.3599999999999998E-4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77</v>
      </c>
      <c r="D75" s="783" t="s">
        <v>429</v>
      </c>
      <c r="E75" s="783"/>
      <c r="F75" s="783"/>
      <c r="G75" s="783"/>
      <c r="H75" s="299">
        <f>'1461'!H75</f>
        <v>186156.17</v>
      </c>
      <c r="I75" s="113"/>
      <c r="N75" s="870" t="s">
        <v>419</v>
      </c>
      <c r="O75" s="851"/>
      <c r="P75" s="41">
        <f>P30</f>
        <v>77</v>
      </c>
      <c r="Q75" s="878" t="s">
        <v>424</v>
      </c>
      <c r="R75" s="879"/>
      <c r="S75" s="879"/>
      <c r="T75" s="873">
        <f>H75</f>
        <v>186156.17</v>
      </c>
      <c r="U75" s="873"/>
    </row>
    <row r="76" spans="1:22" x14ac:dyDescent="0.25">
      <c r="B76" s="69"/>
      <c r="G76" s="42" t="s">
        <v>12</v>
      </c>
      <c r="H76" s="114">
        <f>ROUND(C75/H75,6)</f>
        <v>4.1399999999999998E-4</v>
      </c>
      <c r="I76" s="115"/>
      <c r="N76" s="851"/>
      <c r="O76" s="851"/>
      <c r="P76" s="851"/>
      <c r="Q76" s="851"/>
      <c r="R76" s="851"/>
      <c r="S76" s="851"/>
      <c r="T76" s="869">
        <f>ROUND(P75/T75,6)</f>
        <v>4.1399999999999998E-4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77</v>
      </c>
      <c r="D78" s="811" t="s">
        <v>430</v>
      </c>
      <c r="E78" s="811"/>
      <c r="F78" s="811"/>
      <c r="G78" s="811"/>
      <c r="H78" s="299">
        <f>'1461'!H78</f>
        <v>215016.58000000002</v>
      </c>
      <c r="I78" s="113"/>
      <c r="N78" s="870" t="s">
        <v>419</v>
      </c>
      <c r="O78" s="851"/>
      <c r="P78" s="41">
        <f>P30</f>
        <v>77</v>
      </c>
      <c r="Q78" s="876" t="s">
        <v>425</v>
      </c>
      <c r="R78" s="877"/>
      <c r="S78" s="877"/>
      <c r="T78" s="873">
        <f>H78</f>
        <v>215016.58000000002</v>
      </c>
      <c r="U78" s="873"/>
    </row>
    <row r="79" spans="1:22" x14ac:dyDescent="0.25">
      <c r="B79" s="69"/>
      <c r="G79" s="42" t="s">
        <v>12</v>
      </c>
      <c r="H79" s="114">
        <f>ROUND(C78/H78,6)</f>
        <v>3.5799999999999997E-4</v>
      </c>
      <c r="I79" s="115"/>
      <c r="N79" s="851"/>
      <c r="O79" s="851"/>
      <c r="P79" s="851"/>
      <c r="Q79" s="851"/>
      <c r="R79" s="851"/>
      <c r="S79" s="851"/>
      <c r="T79" s="869">
        <f>ROUND(P78/T78,6)</f>
        <v>3.5799999999999997E-4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77</v>
      </c>
      <c r="D81" s="783" t="s">
        <v>431</v>
      </c>
      <c r="E81" s="783"/>
      <c r="F81" s="783"/>
      <c r="G81" s="783"/>
      <c r="H81" s="299">
        <f>'1461'!H81</f>
        <v>185851.83000000002</v>
      </c>
      <c r="I81" s="113"/>
      <c r="N81" s="870" t="s">
        <v>432</v>
      </c>
      <c r="O81" s="851"/>
      <c r="P81" s="41">
        <f>P30</f>
        <v>77</v>
      </c>
      <c r="Q81" s="878" t="s">
        <v>433</v>
      </c>
      <c r="R81" s="879"/>
      <c r="S81" s="879"/>
      <c r="T81" s="873">
        <f>H81</f>
        <v>185851.83000000002</v>
      </c>
      <c r="U81" s="873"/>
    </row>
    <row r="82" spans="1:21" x14ac:dyDescent="0.25">
      <c r="B82" s="69"/>
      <c r="G82" s="42" t="s">
        <v>12</v>
      </c>
      <c r="H82" s="114">
        <f>ROUND(C81/H81,6)</f>
        <v>4.1399999999999998E-4</v>
      </c>
      <c r="I82" s="115"/>
      <c r="N82" s="851"/>
      <c r="O82" s="851"/>
      <c r="P82" s="851"/>
      <c r="Q82" s="851"/>
      <c r="R82" s="851"/>
      <c r="S82" s="851"/>
      <c r="T82" s="869">
        <f>ROUND(P81/T81,6)</f>
        <v>4.1399999999999998E-4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3.5799999999999997E-4</v>
      </c>
      <c r="I85" s="101">
        <f>ROUND(F85*H85,2)</f>
        <v>16930.09</v>
      </c>
      <c r="N85" s="471" t="s">
        <v>467</v>
      </c>
      <c r="O85" s="51"/>
      <c r="P85" s="51"/>
      <c r="Q85" s="44"/>
      <c r="R85" s="437">
        <f>F85</f>
        <v>47290747</v>
      </c>
      <c r="S85" s="38" t="s">
        <v>6</v>
      </c>
      <c r="T85" s="439">
        <f>T79</f>
        <v>3.5799999999999997E-4</v>
      </c>
      <c r="U85" s="491">
        <f>ROUND(R85*T85,2)</f>
        <v>16930.09</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3.5799999999999997E-4</v>
      </c>
      <c r="I88" s="101">
        <f>ROUND(F88*H88,2)</f>
        <v>0</v>
      </c>
      <c r="N88" s="880" t="s">
        <v>99</v>
      </c>
      <c r="O88" s="851"/>
      <c r="P88" s="851"/>
      <c r="Q88" s="44"/>
      <c r="R88" s="437">
        <f>F88</f>
        <v>0</v>
      </c>
      <c r="S88" s="38" t="s">
        <v>6</v>
      </c>
      <c r="T88" s="439">
        <f>T70</f>
        <v>3.5799999999999997E-4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4.1399999999999998E-4</v>
      </c>
      <c r="I90" s="101">
        <f>ROUND(F90*H90,2)</f>
        <v>7935.5</v>
      </c>
      <c r="N90" s="471" t="s">
        <v>468</v>
      </c>
      <c r="O90" s="51"/>
      <c r="P90" s="51"/>
      <c r="Q90" s="44"/>
      <c r="R90" s="437">
        <f>F90</f>
        <v>19167881</v>
      </c>
      <c r="S90" s="38" t="s">
        <v>6</v>
      </c>
      <c r="T90" s="439">
        <f>T82</f>
        <v>4.1399999999999998E-4</v>
      </c>
      <c r="U90" s="491">
        <f>ROUND(R90*T90,2)</f>
        <v>7935.5</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4.1399999999999998E-4</v>
      </c>
      <c r="I92" s="101">
        <f t="shared" ref="I92:I96" si="14">ROUND(F92*H92,2)</f>
        <v>4780.41</v>
      </c>
      <c r="N92" s="471" t="s">
        <v>469</v>
      </c>
      <c r="O92" s="51"/>
      <c r="P92" s="51"/>
      <c r="Q92" s="44"/>
      <c r="R92" s="437">
        <f t="shared" ref="R92:R96" si="15">F92</f>
        <v>11546889</v>
      </c>
      <c r="S92" s="38" t="s">
        <v>6</v>
      </c>
      <c r="T92" s="439">
        <f>T76</f>
        <v>4.1399999999999998E-4</v>
      </c>
      <c r="U92" s="491">
        <f>ROUND(R92*T92,2)</f>
        <v>4780.41</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3.5E-4</v>
      </c>
      <c r="I94" s="101">
        <f t="shared" si="14"/>
        <v>94085.7</v>
      </c>
      <c r="N94" s="851" t="s">
        <v>435</v>
      </c>
      <c r="O94" s="851"/>
      <c r="P94" s="851"/>
      <c r="Q94" s="44"/>
      <c r="R94" s="437">
        <f t="shared" si="15"/>
        <v>268816278</v>
      </c>
      <c r="S94" s="38" t="s">
        <v>6</v>
      </c>
      <c r="T94" s="439">
        <f>T73</f>
        <v>3.3599999999999998E-4</v>
      </c>
      <c r="U94" s="491">
        <f>ROUND(R94*T94,2)</f>
        <v>90322.27</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3.5E-4</v>
      </c>
      <c r="I96" s="101">
        <f t="shared" si="14"/>
        <v>0</v>
      </c>
      <c r="N96" s="870" t="s">
        <v>436</v>
      </c>
      <c r="O96" s="851"/>
      <c r="P96" s="851"/>
      <c r="Q96" s="44"/>
      <c r="R96" s="437">
        <f t="shared" si="15"/>
        <v>0</v>
      </c>
      <c r="S96" s="38" t="s">
        <v>6</v>
      </c>
      <c r="T96" s="439">
        <f>T73</f>
        <v>3.3599999999999998E-4</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3.5799999999999997E-4</v>
      </c>
      <c r="I98" s="101">
        <f t="shared" ref="I98" si="16">ROUND(F98*H98,2)</f>
        <v>0</v>
      </c>
      <c r="N98" s="550" t="s">
        <v>507</v>
      </c>
      <c r="O98" s="550"/>
      <c r="P98" s="550"/>
      <c r="Q98" s="44"/>
      <c r="R98" s="553">
        <f>F98</f>
        <v>0</v>
      </c>
      <c r="S98" s="551" t="s">
        <v>6</v>
      </c>
      <c r="T98" s="439">
        <f>T70</f>
        <v>3.5799999999999997E-4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80.118000000000009</v>
      </c>
      <c r="D106" s="822"/>
      <c r="E106" s="46">
        <f>H8</f>
        <v>1.0355000000000001</v>
      </c>
      <c r="F106" s="302">
        <f>'1461'!F106</f>
        <v>917.3</v>
      </c>
      <c r="G106" s="39" t="s">
        <v>12</v>
      </c>
      <c r="H106" s="94">
        <f>ROUND(C106*E106*F106,2)</f>
        <v>76101.22</v>
      </c>
      <c r="N106" s="53" t="s">
        <v>14</v>
      </c>
      <c r="O106" s="54">
        <f>T18+T19+T22+T25+T28+T29</f>
        <v>77</v>
      </c>
      <c r="P106" s="881">
        <f>T8</f>
        <v>1.0355000000000001</v>
      </c>
      <c r="Q106" s="881"/>
      <c r="R106" s="48">
        <f>F106</f>
        <v>917.3</v>
      </c>
      <c r="S106" s="40" t="s">
        <v>12</v>
      </c>
      <c r="T106" s="497">
        <f>ROUND(O106*P106*R106,2)</f>
        <v>73139.539999999994</v>
      </c>
      <c r="U106" s="51"/>
    </row>
    <row r="107" spans="1:21" ht="16.5" thickBot="1" x14ac:dyDescent="0.3">
      <c r="A107" s="55"/>
      <c r="B107" s="122" t="s">
        <v>102</v>
      </c>
      <c r="C107" s="812">
        <f>SUM(C104:C106)</f>
        <v>80.118000000000009</v>
      </c>
      <c r="D107" s="812"/>
      <c r="E107" s="123"/>
      <c r="F107" s="123"/>
      <c r="G107" s="123"/>
      <c r="H107" s="124" t="s">
        <v>100</v>
      </c>
      <c r="I107" s="101">
        <f>IF(A1=75,0,H106+H105+H104)</f>
        <v>76101.22</v>
      </c>
      <c r="N107" s="56" t="s">
        <v>89</v>
      </c>
      <c r="O107" s="57">
        <f>SUM(O104:O106)</f>
        <v>77</v>
      </c>
      <c r="P107" s="887" t="s">
        <v>16</v>
      </c>
      <c r="Q107" s="888"/>
      <c r="R107" s="888"/>
      <c r="S107" s="888"/>
      <c r="T107" s="888"/>
      <c r="U107" s="491">
        <f>IF(N1=75,0,T106+T105+T104)</f>
        <v>73139.539999999994</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64</v>
      </c>
      <c r="D113" s="143">
        <v>73</v>
      </c>
      <c r="E113" s="116">
        <f>(C113+D113)/2</f>
        <v>68.5</v>
      </c>
      <c r="F113" s="126" t="s">
        <v>30</v>
      </c>
      <c r="G113" s="303">
        <f>'1461'!G113</f>
        <v>617</v>
      </c>
      <c r="I113" s="101">
        <f>ROUND(G113*E113,2)</f>
        <v>42264.5</v>
      </c>
      <c r="N113" s="885" t="s">
        <v>52</v>
      </c>
      <c r="O113" s="885"/>
      <c r="P113" s="886">
        <f>IF(H133=1,E113,0)</f>
        <v>68.5</v>
      </c>
      <c r="Q113" s="886"/>
      <c r="R113" s="886"/>
      <c r="S113" s="83" t="s">
        <v>30</v>
      </c>
      <c r="T113" s="58">
        <f>G113</f>
        <v>617</v>
      </c>
      <c r="U113" s="491">
        <f>ROUND(T113*P113,2)</f>
        <v>42264.5</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1127073.0799999998</v>
      </c>
      <c r="N128" s="471"/>
      <c r="O128" s="470"/>
      <c r="P128" s="470"/>
      <c r="Q128" s="305"/>
      <c r="R128" s="305"/>
      <c r="S128" s="305"/>
      <c r="T128" s="305"/>
      <c r="U128" s="498">
        <f>SUM(U30,U85,U88,U90,U92,U94,U96,U107,U113,U114,U124,U126)</f>
        <v>663748.51</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1094936.4799999997</v>
      </c>
      <c r="N130" s="851" t="s">
        <v>447</v>
      </c>
      <c r="O130" s="851"/>
      <c r="P130" s="851"/>
      <c r="Q130" s="851"/>
      <c r="R130" s="851"/>
      <c r="S130" s="851"/>
      <c r="T130" s="851"/>
      <c r="U130" s="132">
        <f>U128-U53</f>
        <v>632862.59</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632862.59</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632862.59</v>
      </c>
      <c r="I135" s="94">
        <f>ROUND(IF(E30=0,0,IF(E30&gt;250,-(((250/E30)*H135)*IF(G135="H",0.02,0.05)),IF(G135="H",-0.02*H135,-0.05*H135))),2)</f>
        <v>-31643.13</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1095429.95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Payments'!Q81</f>
        <v>-90419.86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1005010.09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91364.55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CC"/>
  </sheetPr>
  <dimension ref="A1:V221"/>
  <sheetViews>
    <sheetView workbookViewId="0">
      <selection activeCell="K49" sqref="K49"/>
    </sheetView>
    <sheetView workbookViewId="1"/>
  </sheetViews>
  <sheetFormatPr defaultColWidth="9.140625" defaultRowHeight="15.75" x14ac:dyDescent="0.25"/>
  <cols>
    <col min="1" max="1" width="10.28515625" style="713"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713"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553</v>
      </c>
      <c r="B2" s="2"/>
      <c r="C2" s="2"/>
      <c r="D2" s="2"/>
      <c r="E2" s="2"/>
      <c r="F2" s="2"/>
      <c r="G2" s="2"/>
      <c r="H2" s="2"/>
      <c r="I2" s="2"/>
      <c r="N2" s="828" t="s">
        <v>18</v>
      </c>
      <c r="O2" s="828"/>
      <c r="P2" s="828"/>
      <c r="Q2" s="828"/>
      <c r="R2" s="828"/>
      <c r="S2" s="828"/>
      <c r="T2" s="828"/>
      <c r="U2" s="828"/>
    </row>
    <row r="3" spans="1:21" x14ac:dyDescent="0.25">
      <c r="A3" s="715"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720"/>
      <c r="O5" s="720"/>
      <c r="P5" s="721"/>
      <c r="Q5" s="721"/>
      <c r="R5" s="5"/>
      <c r="S5" s="5"/>
      <c r="T5" s="5"/>
      <c r="U5" s="5"/>
    </row>
    <row r="6" spans="1:21" ht="12" customHeight="1" x14ac:dyDescent="0.25">
      <c r="A6" s="722"/>
      <c r="B6" s="722"/>
      <c r="C6" s="711"/>
      <c r="D6" s="711"/>
      <c r="E6" s="711"/>
      <c r="F6" s="4"/>
      <c r="G6" s="4"/>
      <c r="H6" s="4"/>
      <c r="I6" s="4"/>
      <c r="N6" s="720"/>
      <c r="O6" s="720"/>
      <c r="P6" s="721"/>
      <c r="Q6" s="721"/>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723"/>
      <c r="O9" s="723"/>
      <c r="P9" s="724"/>
      <c r="Q9" s="724"/>
      <c r="R9" s="725" t="s">
        <v>407</v>
      </c>
      <c r="S9" s="726"/>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723"/>
      <c r="O10" s="723"/>
      <c r="P10" s="724"/>
      <c r="Q10" s="724"/>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723"/>
      <c r="O11" s="723"/>
      <c r="P11" s="724"/>
      <c r="Q11" s="724"/>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71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0</v>
      </c>
      <c r="D30" s="94">
        <f>SUM(D14:D29)</f>
        <v>0</v>
      </c>
      <c r="E30" s="94">
        <f>SUM(E14:E29)</f>
        <v>0</v>
      </c>
      <c r="F30" s="808"/>
      <c r="G30" s="808"/>
      <c r="H30" s="99">
        <f>SUM(H14:H29)</f>
        <v>0</v>
      </c>
      <c r="I30" s="94">
        <f>SUM(I14:I29)</f>
        <v>0</v>
      </c>
      <c r="N30" s="855" t="s">
        <v>5</v>
      </c>
      <c r="O30" s="855"/>
      <c r="P30" s="856">
        <f>SUM(P14:P29)</f>
        <v>0</v>
      </c>
      <c r="Q30" s="856"/>
      <c r="R30" s="857"/>
      <c r="S30" s="857"/>
      <c r="T30" s="100">
        <f>SUM(T14:T29)</f>
        <v>0</v>
      </c>
      <c r="U30" s="491">
        <f>SUM(U14:U29)</f>
        <v>0</v>
      </c>
    </row>
    <row r="31" spans="1:21" x14ac:dyDescent="0.25">
      <c r="A31" s="717"/>
      <c r="B31" s="717"/>
      <c r="C31" s="101"/>
      <c r="D31" s="101"/>
      <c r="E31" s="101"/>
      <c r="F31" s="714"/>
      <c r="G31" s="714"/>
      <c r="H31" s="80"/>
      <c r="I31" s="101"/>
      <c r="N31" s="730"/>
      <c r="O31" s="730"/>
      <c r="P31" s="29"/>
      <c r="Q31" s="29"/>
      <c r="R31" s="729"/>
      <c r="S31" s="729"/>
      <c r="T31" s="102"/>
      <c r="U31" s="103"/>
    </row>
    <row r="32" spans="1:21" x14ac:dyDescent="0.25">
      <c r="A32" s="146" t="s">
        <v>72</v>
      </c>
      <c r="B32" s="717"/>
      <c r="C32" s="101"/>
      <c r="D32" s="101"/>
      <c r="E32" s="101"/>
      <c r="F32" s="714"/>
      <c r="G32" s="714"/>
      <c r="H32" s="80"/>
      <c r="I32" s="101"/>
      <c r="N32" s="730"/>
      <c r="O32" s="730"/>
      <c r="P32" s="29"/>
      <c r="Q32" s="29"/>
      <c r="R32" s="729"/>
      <c r="S32" s="729"/>
      <c r="T32" s="102"/>
      <c r="U32" s="103"/>
    </row>
    <row r="33" spans="1:21" x14ac:dyDescent="0.25">
      <c r="A33" s="146"/>
      <c r="B33" s="717"/>
      <c r="C33" s="101"/>
      <c r="D33" s="101"/>
      <c r="E33" s="101"/>
      <c r="F33" s="714"/>
      <c r="G33" s="714"/>
      <c r="H33" s="80"/>
      <c r="I33" s="101"/>
      <c r="N33" s="730"/>
      <c r="O33" s="730"/>
      <c r="P33" s="29"/>
      <c r="Q33" s="29"/>
      <c r="R33" s="729"/>
      <c r="S33" s="729"/>
      <c r="T33" s="102"/>
      <c r="U33" s="103"/>
    </row>
    <row r="34" spans="1:21" hidden="1" x14ac:dyDescent="0.25">
      <c r="A34" s="146"/>
      <c r="B34" s="717"/>
      <c r="C34" s="101"/>
      <c r="D34" s="101"/>
      <c r="E34" s="101"/>
      <c r="F34" s="897" t="s">
        <v>232</v>
      </c>
      <c r="G34" s="897"/>
      <c r="H34" s="897"/>
      <c r="I34" s="101"/>
      <c r="N34" s="730"/>
      <c r="O34" s="730"/>
      <c r="P34" s="29"/>
      <c r="Q34" s="29"/>
      <c r="R34" s="729"/>
      <c r="S34" s="729"/>
      <c r="T34" s="102"/>
      <c r="U34" s="103"/>
    </row>
    <row r="35" spans="1:21" hidden="1" x14ac:dyDescent="0.25">
      <c r="A35" s="3"/>
      <c r="B35" s="713"/>
      <c r="C35" s="713"/>
      <c r="D35" s="713"/>
      <c r="E35" s="713"/>
      <c r="F35" s="897"/>
      <c r="G35" s="897"/>
      <c r="H35" s="897"/>
      <c r="I35" s="24" t="s">
        <v>61</v>
      </c>
      <c r="N35" s="829" t="s">
        <v>26</v>
      </c>
      <c r="O35" s="829"/>
      <c r="P35" s="829"/>
      <c r="Q35" s="829"/>
      <c r="R35" s="829"/>
      <c r="S35" s="829"/>
      <c r="T35" s="829"/>
      <c r="U35" s="25" t="str">
        <f>I35</f>
        <v>2015-16</v>
      </c>
    </row>
    <row r="36" spans="1:21" hidden="1" x14ac:dyDescent="0.25">
      <c r="A36" s="717"/>
      <c r="B36" s="717"/>
      <c r="C36" s="88" t="s">
        <v>93</v>
      </c>
      <c r="D36" s="88" t="s">
        <v>94</v>
      </c>
      <c r="E36" s="89" t="s">
        <v>8</v>
      </c>
      <c r="F36" s="897"/>
      <c r="G36" s="897"/>
      <c r="H36" s="897"/>
      <c r="I36" s="24" t="s">
        <v>27</v>
      </c>
      <c r="N36" s="730"/>
      <c r="O36" s="730"/>
      <c r="P36" s="29"/>
      <c r="Q36" s="29"/>
      <c r="R36" s="729"/>
      <c r="S36" s="729"/>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idden="1" x14ac:dyDescent="0.25">
      <c r="A45" s="3"/>
      <c r="B45" s="52"/>
      <c r="C45" s="101"/>
      <c r="D45" s="101"/>
      <c r="E45" s="111"/>
      <c r="F45" s="32"/>
      <c r="G45" s="106"/>
      <c r="H45" s="107"/>
      <c r="I45" s="101"/>
      <c r="N45" s="730"/>
      <c r="O45" s="730"/>
      <c r="P45" s="730"/>
      <c r="Q45" s="730"/>
      <c r="R45" s="33"/>
      <c r="S45" s="729"/>
      <c r="T45" s="729"/>
      <c r="U45" s="103"/>
    </row>
    <row r="46" spans="1:21" ht="16.5" hidden="1" thickBot="1" x14ac:dyDescent="0.3">
      <c r="A46" s="3"/>
      <c r="B46" s="52" t="s">
        <v>96</v>
      </c>
      <c r="E46" s="152">
        <f>H30+E44</f>
        <v>0</v>
      </c>
      <c r="F46" s="34"/>
      <c r="G46" s="106"/>
      <c r="H46" s="107" t="s">
        <v>98</v>
      </c>
      <c r="I46" s="94">
        <f>SUM(I44,I30)</f>
        <v>0</v>
      </c>
      <c r="N46" s="863" t="s">
        <v>44</v>
      </c>
      <c r="O46" s="863"/>
      <c r="P46" s="863"/>
      <c r="Q46" s="863"/>
      <c r="R46" s="35">
        <f>R44+T30</f>
        <v>0</v>
      </c>
      <c r="S46" s="857" t="s">
        <v>42</v>
      </c>
      <c r="T46" s="857"/>
      <c r="U46" s="108">
        <f>SUM(U44,U30)</f>
        <v>0</v>
      </c>
    </row>
    <row r="47" spans="1:21" hidden="1" x14ac:dyDescent="0.25">
      <c r="A47" s="717"/>
      <c r="B47" s="717"/>
      <c r="C47" s="717"/>
      <c r="D47" s="717"/>
      <c r="E47" s="717"/>
      <c r="F47" s="34"/>
      <c r="G47" s="714"/>
      <c r="H47" s="714"/>
      <c r="I47" s="101"/>
      <c r="N47" s="730"/>
      <c r="O47" s="730"/>
      <c r="P47" s="730"/>
      <c r="Q47" s="730"/>
      <c r="R47" s="35"/>
      <c r="S47" s="729"/>
      <c r="T47" s="729"/>
      <c r="U47" s="103"/>
    </row>
    <row r="48" spans="1:21" x14ac:dyDescent="0.25">
      <c r="A48" s="715" t="s">
        <v>411</v>
      </c>
      <c r="B48" s="717"/>
      <c r="C48" s="717"/>
      <c r="D48" s="717"/>
      <c r="E48" s="717"/>
      <c r="F48" s="34"/>
      <c r="G48" s="714"/>
      <c r="H48" s="714"/>
      <c r="I48" s="101"/>
      <c r="N48" s="732" t="s">
        <v>411</v>
      </c>
      <c r="O48" s="730"/>
      <c r="P48" s="730"/>
      <c r="Q48" s="730"/>
      <c r="R48" s="35"/>
      <c r="S48" s="729"/>
      <c r="T48" s="729"/>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
        <v>519</v>
      </c>
      <c r="C51" s="717"/>
      <c r="D51" s="717"/>
      <c r="E51" s="706" t="s">
        <v>414</v>
      </c>
      <c r="F51" s="419"/>
      <c r="G51" s="109" t="s">
        <v>6</v>
      </c>
      <c r="H51" s="420">
        <v>5.5899999999999998E-2</v>
      </c>
      <c r="I51" s="101"/>
      <c r="N51" s="425"/>
      <c r="O51" s="426" t="s">
        <v>518</v>
      </c>
      <c r="P51" s="730"/>
      <c r="Q51" s="44" t="s">
        <v>414</v>
      </c>
      <c r="R51" s="427">
        <f>U30</f>
        <v>0</v>
      </c>
      <c r="S51" s="428" t="s">
        <v>6</v>
      </c>
      <c r="T51" s="429">
        <v>5.5899999999999998E-2</v>
      </c>
      <c r="U51" s="421">
        <f>ROUND(R51*T51,2)</f>
        <v>0</v>
      </c>
    </row>
    <row r="52" spans="1:22" x14ac:dyDescent="0.25">
      <c r="A52" s="717"/>
      <c r="B52" s="715" t="s">
        <v>522</v>
      </c>
      <c r="C52" s="717"/>
      <c r="D52" s="717"/>
      <c r="E52" s="706" t="s">
        <v>414</v>
      </c>
      <c r="F52" s="419"/>
      <c r="G52" s="109" t="s">
        <v>6</v>
      </c>
      <c r="H52" s="420">
        <v>1.0699999999999999E-2</v>
      </c>
      <c r="I52" s="101"/>
      <c r="N52" s="730"/>
      <c r="O52" s="732" t="s">
        <v>521</v>
      </c>
      <c r="P52" s="730"/>
      <c r="Q52" s="44" t="s">
        <v>414</v>
      </c>
      <c r="R52" s="427">
        <f>U30</f>
        <v>0</v>
      </c>
      <c r="S52" s="428" t="s">
        <v>6</v>
      </c>
      <c r="T52" s="429">
        <v>1.0699999999999999E-2</v>
      </c>
      <c r="U52" s="430">
        <f>ROUND(R52*T52,2)</f>
        <v>0</v>
      </c>
    </row>
    <row r="53" spans="1:22" x14ac:dyDescent="0.25">
      <c r="A53" s="717"/>
      <c r="B53" s="715" t="s">
        <v>415</v>
      </c>
      <c r="C53" s="717"/>
      <c r="D53" s="717"/>
      <c r="E53" s="706"/>
      <c r="F53" s="419"/>
      <c r="G53" s="109"/>
      <c r="H53" s="420"/>
      <c r="I53" s="97">
        <f>SUM(I51:I52)</f>
        <v>0</v>
      </c>
      <c r="N53" s="730"/>
      <c r="O53" s="732" t="s">
        <v>415</v>
      </c>
      <c r="P53" s="730"/>
      <c r="Q53" s="44"/>
      <c r="R53" s="427"/>
      <c r="S53" s="428"/>
      <c r="T53" s="429"/>
      <c r="U53" s="421">
        <f>SUM(U51:U52)</f>
        <v>0</v>
      </c>
    </row>
    <row r="54" spans="1:22" x14ac:dyDescent="0.25">
      <c r="C54" s="3" t="str">
        <f>'1461'!C54</f>
        <v/>
      </c>
      <c r="D54" s="3" t="str">
        <f>'1461'!D54</f>
        <v/>
      </c>
      <c r="G54" s="42"/>
      <c r="H54" s="114"/>
      <c r="I54" s="114"/>
      <c r="N54" s="728"/>
      <c r="O54" s="51"/>
      <c r="P54" s="51" t="str">
        <f>'1461'!P54</f>
        <v/>
      </c>
      <c r="Q54" s="51" t="str">
        <f>'1461'!Q54</f>
        <v/>
      </c>
      <c r="R54" s="51"/>
      <c r="S54" s="51"/>
      <c r="T54" s="480"/>
      <c r="U54" s="481"/>
      <c r="V54" s="114"/>
    </row>
    <row r="55" spans="1:22" x14ac:dyDescent="0.25">
      <c r="A55" s="717"/>
      <c r="B55" s="717"/>
      <c r="C55" s="88" t="str">
        <f>'1461'!C55</f>
        <v>Oct 2024</v>
      </c>
      <c r="D55" s="349" t="str">
        <f>'1461'!D55</f>
        <v>Feb 2025</v>
      </c>
      <c r="E55" s="89" t="s">
        <v>8</v>
      </c>
      <c r="F55" s="46" t="s">
        <v>452</v>
      </c>
      <c r="G55" s="109" t="s">
        <v>453</v>
      </c>
      <c r="H55" s="472" t="s">
        <v>454</v>
      </c>
      <c r="I55" s="101"/>
      <c r="N55" s="730"/>
      <c r="O55" s="730"/>
      <c r="P55" s="482"/>
      <c r="Q55" s="483"/>
      <c r="R55" s="484"/>
      <c r="S55" s="486" t="s">
        <v>453</v>
      </c>
      <c r="T55" s="487" t="s">
        <v>454</v>
      </c>
      <c r="U55" s="485"/>
      <c r="V55" s="442"/>
    </row>
    <row r="56" spans="1:22" x14ac:dyDescent="0.25">
      <c r="A56" s="36" t="s">
        <v>455</v>
      </c>
      <c r="B56" s="36"/>
      <c r="C56" s="340" t="str">
        <f>'1461'!C56</f>
        <v>FTE</v>
      </c>
      <c r="D56" s="340" t="str">
        <f>'1461'!D56</f>
        <v>FTE</v>
      </c>
      <c r="E56" s="90" t="s">
        <v>2</v>
      </c>
      <c r="F56" s="712" t="s">
        <v>456</v>
      </c>
      <c r="G56" s="708" t="s">
        <v>456</v>
      </c>
      <c r="H56" s="473" t="s">
        <v>457</v>
      </c>
      <c r="I56" s="36"/>
      <c r="N56" s="477" t="s">
        <v>455</v>
      </c>
      <c r="O56" s="477"/>
      <c r="P56" s="864" t="s">
        <v>2</v>
      </c>
      <c r="Q56" s="864"/>
      <c r="R56" s="477" t="s">
        <v>461</v>
      </c>
      <c r="S56" s="727" t="s">
        <v>456</v>
      </c>
      <c r="T56" s="488" t="s">
        <v>457</v>
      </c>
      <c r="U56" s="477"/>
      <c r="V56" s="476"/>
    </row>
    <row r="57" spans="1:22" x14ac:dyDescent="0.25">
      <c r="A57" s="814" t="s">
        <v>459</v>
      </c>
      <c r="B57" s="814"/>
      <c r="C57" s="143">
        <v>0</v>
      </c>
      <c r="D57" s="143">
        <v>0</v>
      </c>
      <c r="E57" s="116">
        <f t="shared" ref="E57:E65" si="10">IF(D$66=0,C57*2,C57+D57)</f>
        <v>0</v>
      </c>
      <c r="F57" s="707" t="s">
        <v>451</v>
      </c>
      <c r="G57" s="707">
        <v>251</v>
      </c>
      <c r="H57" s="475">
        <f>'1461'!H57</f>
        <v>1047</v>
      </c>
      <c r="I57" s="101">
        <f>ROUND(E57*H57,2)</f>
        <v>0</v>
      </c>
      <c r="N57" s="865" t="s">
        <v>459</v>
      </c>
      <c r="O57" s="865"/>
      <c r="P57" s="867"/>
      <c r="Q57" s="867"/>
      <c r="R57" s="719" t="s">
        <v>451</v>
      </c>
      <c r="S57" s="719">
        <v>251</v>
      </c>
      <c r="T57" s="478">
        <f>H57</f>
        <v>1047</v>
      </c>
      <c r="U57" s="492">
        <f>ROUND(P57*T57,2)</f>
        <v>0</v>
      </c>
      <c r="V57" s="442"/>
    </row>
    <row r="58" spans="1:22" x14ac:dyDescent="0.25">
      <c r="A58" s="815"/>
      <c r="B58" s="815"/>
      <c r="C58" s="143">
        <v>0</v>
      </c>
      <c r="D58" s="143">
        <v>0</v>
      </c>
      <c r="E58" s="116">
        <f t="shared" si="10"/>
        <v>0</v>
      </c>
      <c r="F58" s="707" t="s">
        <v>451</v>
      </c>
      <c r="G58" s="707">
        <v>252</v>
      </c>
      <c r="H58" s="475">
        <f>'1461'!H58</f>
        <v>3380</v>
      </c>
      <c r="I58" s="101">
        <f t="shared" ref="I58:I65" si="11">ROUND(E58*H58,2)</f>
        <v>0</v>
      </c>
      <c r="N58" s="866"/>
      <c r="O58" s="866"/>
      <c r="P58" s="868"/>
      <c r="Q58" s="868"/>
      <c r="R58" s="719" t="s">
        <v>451</v>
      </c>
      <c r="S58" s="719">
        <v>252</v>
      </c>
      <c r="T58" s="478">
        <f t="shared" ref="T58:T65" si="12">H58</f>
        <v>3380</v>
      </c>
      <c r="U58" s="492">
        <f t="shared" ref="U58:U65" si="13">ROUND(P58*T58,2)</f>
        <v>0</v>
      </c>
      <c r="V58" s="442"/>
    </row>
    <row r="59" spans="1:22" x14ac:dyDescent="0.25">
      <c r="A59" s="815"/>
      <c r="B59" s="815"/>
      <c r="C59" s="143">
        <v>0</v>
      </c>
      <c r="D59" s="143">
        <v>0</v>
      </c>
      <c r="E59" s="116">
        <f t="shared" si="10"/>
        <v>0</v>
      </c>
      <c r="F59" s="707" t="s">
        <v>451</v>
      </c>
      <c r="G59" s="707">
        <v>253</v>
      </c>
      <c r="H59" s="475">
        <f>'1461'!H59</f>
        <v>6896</v>
      </c>
      <c r="I59" s="101">
        <f t="shared" si="11"/>
        <v>0</v>
      </c>
      <c r="N59" s="866"/>
      <c r="O59" s="866"/>
      <c r="P59" s="868"/>
      <c r="Q59" s="868"/>
      <c r="R59" s="719" t="s">
        <v>451</v>
      </c>
      <c r="S59" s="719">
        <v>253</v>
      </c>
      <c r="T59" s="478">
        <f t="shared" si="12"/>
        <v>6896</v>
      </c>
      <c r="U59" s="492">
        <f t="shared" si="13"/>
        <v>0</v>
      </c>
      <c r="V59" s="442"/>
    </row>
    <row r="60" spans="1:22" x14ac:dyDescent="0.25">
      <c r="A60" s="815"/>
      <c r="B60" s="815"/>
      <c r="C60" s="143">
        <v>0</v>
      </c>
      <c r="D60" s="143">
        <v>0</v>
      </c>
      <c r="E60" s="116">
        <f t="shared" si="10"/>
        <v>0</v>
      </c>
      <c r="F60" s="709" t="s">
        <v>13</v>
      </c>
      <c r="G60" s="707">
        <v>251</v>
      </c>
      <c r="H60" s="475">
        <f>'1461'!H60</f>
        <v>1173</v>
      </c>
      <c r="I60" s="101">
        <f t="shared" si="11"/>
        <v>0</v>
      </c>
      <c r="N60" s="866"/>
      <c r="O60" s="866"/>
      <c r="P60" s="868"/>
      <c r="Q60" s="868"/>
      <c r="R60" s="40" t="s">
        <v>13</v>
      </c>
      <c r="S60" s="719">
        <v>251</v>
      </c>
      <c r="T60" s="478">
        <f t="shared" si="12"/>
        <v>1173</v>
      </c>
      <c r="U60" s="492">
        <f t="shared" si="13"/>
        <v>0</v>
      </c>
      <c r="V60" s="442"/>
    </row>
    <row r="61" spans="1:22" x14ac:dyDescent="0.25">
      <c r="A61" s="815"/>
      <c r="B61" s="815"/>
      <c r="C61" s="143">
        <v>0</v>
      </c>
      <c r="D61" s="143">
        <v>0</v>
      </c>
      <c r="E61" s="116">
        <f t="shared" si="10"/>
        <v>0</v>
      </c>
      <c r="F61" s="709" t="s">
        <v>13</v>
      </c>
      <c r="G61" s="707">
        <v>252</v>
      </c>
      <c r="H61" s="475">
        <f>'1461'!H61</f>
        <v>3506</v>
      </c>
      <c r="I61" s="101">
        <f t="shared" si="11"/>
        <v>0</v>
      </c>
      <c r="N61" s="866"/>
      <c r="O61" s="866"/>
      <c r="P61" s="868"/>
      <c r="Q61" s="868"/>
      <c r="R61" s="40" t="s">
        <v>13</v>
      </c>
      <c r="S61" s="719">
        <v>252</v>
      </c>
      <c r="T61" s="478">
        <f t="shared" si="12"/>
        <v>3506</v>
      </c>
      <c r="U61" s="492">
        <f t="shared" si="13"/>
        <v>0</v>
      </c>
      <c r="V61" s="442"/>
    </row>
    <row r="62" spans="1:22" x14ac:dyDescent="0.25">
      <c r="A62" s="815"/>
      <c r="B62" s="815"/>
      <c r="C62" s="143">
        <v>0</v>
      </c>
      <c r="D62" s="143">
        <v>0</v>
      </c>
      <c r="E62" s="116">
        <f t="shared" si="10"/>
        <v>0</v>
      </c>
      <c r="F62" s="709" t="s">
        <v>13</v>
      </c>
      <c r="G62" s="707">
        <v>253</v>
      </c>
      <c r="H62" s="475">
        <f>'1461'!H62</f>
        <v>7023</v>
      </c>
      <c r="I62" s="101">
        <f t="shared" si="11"/>
        <v>0</v>
      </c>
      <c r="N62" s="866"/>
      <c r="O62" s="866"/>
      <c r="P62" s="868"/>
      <c r="Q62" s="868"/>
      <c r="R62" s="40" t="s">
        <v>13</v>
      </c>
      <c r="S62" s="719">
        <v>253</v>
      </c>
      <c r="T62" s="478">
        <f t="shared" si="12"/>
        <v>7023</v>
      </c>
      <c r="U62" s="492">
        <f t="shared" si="13"/>
        <v>0</v>
      </c>
      <c r="V62" s="442"/>
    </row>
    <row r="63" spans="1:22" x14ac:dyDescent="0.25">
      <c r="A63" s="815"/>
      <c r="B63" s="815"/>
      <c r="C63" s="143">
        <v>0</v>
      </c>
      <c r="D63" s="143">
        <v>0</v>
      </c>
      <c r="E63" s="116">
        <f t="shared" si="10"/>
        <v>0</v>
      </c>
      <c r="F63" s="709" t="s">
        <v>14</v>
      </c>
      <c r="G63" s="707">
        <v>251</v>
      </c>
      <c r="H63" s="475">
        <f>'1461'!H63</f>
        <v>835</v>
      </c>
      <c r="I63" s="101">
        <f t="shared" si="11"/>
        <v>0</v>
      </c>
      <c r="N63" s="866"/>
      <c r="O63" s="866"/>
      <c r="P63" s="868"/>
      <c r="Q63" s="868"/>
      <c r="R63" s="40" t="s">
        <v>14</v>
      </c>
      <c r="S63" s="719">
        <v>251</v>
      </c>
      <c r="T63" s="478">
        <f t="shared" si="12"/>
        <v>835</v>
      </c>
      <c r="U63" s="492">
        <f t="shared" si="13"/>
        <v>0</v>
      </c>
      <c r="V63" s="442"/>
    </row>
    <row r="64" spans="1:22" x14ac:dyDescent="0.25">
      <c r="A64" s="815"/>
      <c r="B64" s="815"/>
      <c r="C64" s="143">
        <v>0</v>
      </c>
      <c r="D64" s="143">
        <v>0</v>
      </c>
      <c r="E64" s="116">
        <f t="shared" si="10"/>
        <v>0</v>
      </c>
      <c r="F64" s="709" t="s">
        <v>14</v>
      </c>
      <c r="G64" s="707">
        <v>252</v>
      </c>
      <c r="H64" s="475">
        <f>'1461'!H64</f>
        <v>3168</v>
      </c>
      <c r="I64" s="101">
        <f t="shared" si="11"/>
        <v>0</v>
      </c>
      <c r="N64" s="866"/>
      <c r="O64" s="866"/>
      <c r="P64" s="868"/>
      <c r="Q64" s="868"/>
      <c r="R64" s="40" t="s">
        <v>14</v>
      </c>
      <c r="S64" s="719">
        <v>252</v>
      </c>
      <c r="T64" s="478">
        <f t="shared" si="12"/>
        <v>3168</v>
      </c>
      <c r="U64" s="492">
        <f t="shared" si="13"/>
        <v>0</v>
      </c>
      <c r="V64" s="442"/>
    </row>
    <row r="65" spans="1:22" ht="16.5" thickBot="1" x14ac:dyDescent="0.3">
      <c r="A65" s="815"/>
      <c r="B65" s="815"/>
      <c r="C65" s="143">
        <v>0</v>
      </c>
      <c r="D65" s="143">
        <v>0</v>
      </c>
      <c r="E65" s="116">
        <f t="shared" si="10"/>
        <v>0</v>
      </c>
      <c r="F65" s="709" t="s">
        <v>14</v>
      </c>
      <c r="G65" s="707">
        <v>253</v>
      </c>
      <c r="H65" s="475">
        <f>'1461'!H65</f>
        <v>6685</v>
      </c>
      <c r="I65" s="101">
        <f t="shared" si="11"/>
        <v>0</v>
      </c>
      <c r="N65" s="866"/>
      <c r="O65" s="866"/>
      <c r="P65" s="874"/>
      <c r="Q65" s="874"/>
      <c r="R65" s="40" t="s">
        <v>14</v>
      </c>
      <c r="S65" s="719">
        <v>253</v>
      </c>
      <c r="T65" s="478">
        <f t="shared" si="12"/>
        <v>6685</v>
      </c>
      <c r="U65" s="493">
        <f t="shared" si="13"/>
        <v>0</v>
      </c>
      <c r="V65" s="442"/>
    </row>
    <row r="66" spans="1:22" ht="16.5" thickBot="1" x14ac:dyDescent="0.3">
      <c r="C66" s="97">
        <f>SUM(C57:C65)</f>
        <v>0</v>
      </c>
      <c r="D66" s="97">
        <f>SUM(D57:D65)</f>
        <v>0</v>
      </c>
      <c r="E66" s="97">
        <f>SUM(E57:E65)</f>
        <v>0</v>
      </c>
      <c r="F66" s="816" t="s">
        <v>460</v>
      </c>
      <c r="G66" s="816"/>
      <c r="H66" s="816"/>
      <c r="I66" s="97">
        <f>SUM(I57:I65)</f>
        <v>0</v>
      </c>
      <c r="N66" s="728"/>
      <c r="O66" s="51"/>
      <c r="P66" s="875">
        <f>SUM(P57:P65)</f>
        <v>0</v>
      </c>
      <c r="Q66" s="875"/>
      <c r="R66" s="863" t="s">
        <v>460</v>
      </c>
      <c r="S66" s="863"/>
      <c r="T66" s="863"/>
      <c r="U66" s="494">
        <f>SUM(U57:U65)</f>
        <v>0</v>
      </c>
      <c r="V66" s="442"/>
    </row>
    <row r="67" spans="1:22" x14ac:dyDescent="0.25">
      <c r="C67" s="101"/>
      <c r="D67" s="101"/>
      <c r="E67" s="101"/>
      <c r="F67" s="717"/>
      <c r="G67" s="717"/>
      <c r="H67" s="717"/>
      <c r="I67" s="101"/>
      <c r="N67" s="728"/>
      <c r="O67" s="728"/>
      <c r="P67" s="728"/>
      <c r="Q67" s="728"/>
      <c r="R67" s="728"/>
      <c r="S67" s="728"/>
      <c r="T67" s="731"/>
      <c r="U67" s="731"/>
    </row>
    <row r="68" spans="1:22" x14ac:dyDescent="0.25">
      <c r="A68" s="715" t="s">
        <v>462</v>
      </c>
      <c r="N68" s="732" t="s">
        <v>470</v>
      </c>
      <c r="O68" s="51"/>
      <c r="P68" s="51"/>
      <c r="Q68" s="51"/>
      <c r="R68" s="51"/>
      <c r="S68" s="51"/>
      <c r="T68" s="51"/>
      <c r="U68" s="51"/>
    </row>
    <row r="69" spans="1:22" x14ac:dyDescent="0.25">
      <c r="A69" s="810" t="s">
        <v>416</v>
      </c>
      <c r="B69" s="804"/>
      <c r="C69" s="112">
        <f>E30</f>
        <v>0</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713"/>
      <c r="G70" s="42" t="s">
        <v>12</v>
      </c>
      <c r="H70" s="114">
        <f>ROUND(C69/H69,6)</f>
        <v>0</v>
      </c>
      <c r="I70" s="115"/>
      <c r="N70" s="851"/>
      <c r="O70" s="851"/>
      <c r="P70" s="851"/>
      <c r="Q70" s="851"/>
      <c r="R70" s="851"/>
      <c r="S70" s="851"/>
      <c r="T70" s="869">
        <f>ROUND(P69/T69,6)</f>
        <v>0</v>
      </c>
      <c r="U70" s="869"/>
    </row>
    <row r="71" spans="1:22" x14ac:dyDescent="0.25">
      <c r="A71" s="715" t="s">
        <v>463</v>
      </c>
      <c r="N71" s="732" t="s">
        <v>471</v>
      </c>
      <c r="O71" s="51"/>
      <c r="P71" s="51"/>
      <c r="Q71" s="51"/>
      <c r="R71" s="51"/>
      <c r="S71" s="51"/>
      <c r="T71" s="51"/>
      <c r="U71" s="51"/>
    </row>
    <row r="72" spans="1:22" x14ac:dyDescent="0.25">
      <c r="A72" s="810" t="s">
        <v>417</v>
      </c>
      <c r="B72" s="804"/>
      <c r="C72" s="112">
        <f>H30</f>
        <v>0</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0</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0</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713"/>
      <c r="G76" s="42" t="s">
        <v>12</v>
      </c>
      <c r="H76" s="114">
        <f>ROUND(C75/H75,6)</f>
        <v>0</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0</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713"/>
      <c r="G79" s="42" t="s">
        <v>12</v>
      </c>
      <c r="H79" s="114">
        <f>ROUND(C78/H78,6)</f>
        <v>0</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0</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713"/>
      <c r="G82" s="42" t="s">
        <v>12</v>
      </c>
      <c r="H82" s="114">
        <f>ROUND(C81/H81,6)</f>
        <v>0</v>
      </c>
      <c r="I82" s="115"/>
      <c r="N82" s="851"/>
      <c r="O82" s="851"/>
      <c r="P82" s="851"/>
      <c r="Q82" s="851"/>
      <c r="R82" s="851"/>
      <c r="S82" s="851"/>
      <c r="T82" s="869">
        <f>ROUND(P81/T81,6)</f>
        <v>0</v>
      </c>
      <c r="U82" s="869"/>
    </row>
    <row r="83" spans="1:21" x14ac:dyDescent="0.25">
      <c r="G83" s="42"/>
      <c r="H83" s="114"/>
      <c r="I83" s="114"/>
      <c r="N83" s="728"/>
      <c r="O83" s="728"/>
      <c r="P83" s="728"/>
      <c r="Q83" s="728"/>
      <c r="R83" s="728"/>
      <c r="S83" s="728"/>
      <c r="T83" s="731"/>
      <c r="U83" s="731"/>
    </row>
    <row r="84" spans="1:21" x14ac:dyDescent="0.25">
      <c r="G84" s="42"/>
      <c r="H84" s="114"/>
      <c r="I84" s="114"/>
      <c r="N84" s="728"/>
      <c r="O84" s="728"/>
      <c r="P84" s="728"/>
      <c r="Q84" s="728"/>
      <c r="R84" s="728"/>
      <c r="S84" s="728"/>
      <c r="T84" s="731"/>
      <c r="U84" s="731"/>
    </row>
    <row r="85" spans="1:21" x14ac:dyDescent="0.25">
      <c r="A85" s="715" t="s">
        <v>467</v>
      </c>
      <c r="D85" s="713"/>
      <c r="E85" s="706" t="s">
        <v>316</v>
      </c>
      <c r="F85" s="301">
        <f>'1461'!F85</f>
        <v>47290747</v>
      </c>
      <c r="G85" s="707" t="s">
        <v>6</v>
      </c>
      <c r="H85" s="440">
        <f>H79</f>
        <v>0</v>
      </c>
      <c r="I85" s="101">
        <f>ROUND(F85*H85,2)</f>
        <v>0</v>
      </c>
      <c r="N85" s="732" t="s">
        <v>467</v>
      </c>
      <c r="O85" s="51"/>
      <c r="P85" s="51"/>
      <c r="Q85" s="44"/>
      <c r="R85" s="437">
        <f>F85</f>
        <v>47290747</v>
      </c>
      <c r="S85" s="719" t="s">
        <v>6</v>
      </c>
      <c r="T85" s="439">
        <f>T79</f>
        <v>0</v>
      </c>
      <c r="U85" s="491">
        <f>ROUND(R85*T85,2)</f>
        <v>0</v>
      </c>
    </row>
    <row r="86" spans="1:21" x14ac:dyDescent="0.25">
      <c r="A86" s="418"/>
      <c r="D86" s="713"/>
      <c r="E86" s="706"/>
      <c r="F86" s="117"/>
      <c r="G86" s="707"/>
      <c r="H86" s="440"/>
      <c r="I86" s="101"/>
      <c r="N86" s="51"/>
      <c r="O86" s="51"/>
      <c r="P86" s="51"/>
      <c r="Q86" s="44"/>
      <c r="R86" s="438"/>
      <c r="S86" s="719"/>
      <c r="T86" s="439"/>
      <c r="U86" s="495"/>
    </row>
    <row r="87" spans="1:21" x14ac:dyDescent="0.25">
      <c r="A87" s="813" t="s">
        <v>71</v>
      </c>
      <c r="B87" s="804"/>
      <c r="C87" s="804"/>
      <c r="D87" s="713"/>
      <c r="E87" s="706"/>
      <c r="F87" s="117"/>
      <c r="G87" s="707"/>
      <c r="H87" s="440"/>
      <c r="I87" s="101"/>
      <c r="N87" s="870" t="s">
        <v>475</v>
      </c>
      <c r="O87" s="851"/>
      <c r="P87" s="851"/>
      <c r="Q87" s="51"/>
      <c r="R87" s="438"/>
      <c r="S87" s="51"/>
      <c r="T87" s="719"/>
      <c r="U87" s="496"/>
    </row>
    <row r="88" spans="1:21" x14ac:dyDescent="0.25">
      <c r="A88" s="813" t="s">
        <v>99</v>
      </c>
      <c r="B88" s="804"/>
      <c r="C88" s="804"/>
      <c r="D88" s="713"/>
      <c r="E88" s="706" t="s">
        <v>3</v>
      </c>
      <c r="F88" s="301">
        <f>'1461'!F88</f>
        <v>0</v>
      </c>
      <c r="G88" s="707" t="s">
        <v>6</v>
      </c>
      <c r="H88" s="440">
        <f>H70</f>
        <v>0</v>
      </c>
      <c r="I88" s="101">
        <f>ROUND(F88*H88,2)</f>
        <v>0</v>
      </c>
      <c r="N88" s="880" t="s">
        <v>99</v>
      </c>
      <c r="O88" s="851"/>
      <c r="P88" s="851"/>
      <c r="Q88" s="44"/>
      <c r="R88" s="437">
        <f>F88</f>
        <v>0</v>
      </c>
      <c r="S88" s="719" t="s">
        <v>6</v>
      </c>
      <c r="T88" s="439">
        <f>T70</f>
        <v>0</v>
      </c>
      <c r="U88" s="491">
        <f>ROUND(R88*T88,2)</f>
        <v>0</v>
      </c>
    </row>
    <row r="89" spans="1:21" x14ac:dyDescent="0.25">
      <c r="A89" s="716"/>
      <c r="B89" s="713"/>
      <c r="C89" s="713"/>
      <c r="D89" s="713"/>
      <c r="E89" s="706"/>
      <c r="F89" s="117"/>
      <c r="G89" s="707"/>
      <c r="H89" s="440"/>
      <c r="I89" s="101"/>
      <c r="N89" s="733"/>
      <c r="O89" s="728"/>
      <c r="P89" s="728"/>
      <c r="Q89" s="44"/>
      <c r="R89" s="437"/>
      <c r="S89" s="719"/>
      <c r="T89" s="439"/>
      <c r="U89" s="491"/>
    </row>
    <row r="90" spans="1:21" x14ac:dyDescent="0.25">
      <c r="A90" s="715" t="s">
        <v>468</v>
      </c>
      <c r="D90" s="713"/>
      <c r="E90" s="706" t="s">
        <v>434</v>
      </c>
      <c r="F90" s="301">
        <f>'1461'!F90</f>
        <v>19167881</v>
      </c>
      <c r="G90" s="707" t="s">
        <v>6</v>
      </c>
      <c r="H90" s="440">
        <f>H82</f>
        <v>0</v>
      </c>
      <c r="I90" s="101">
        <f>ROUND(F90*H90,2)</f>
        <v>0</v>
      </c>
      <c r="N90" s="732" t="s">
        <v>468</v>
      </c>
      <c r="O90" s="51"/>
      <c r="P90" s="51"/>
      <c r="Q90" s="44"/>
      <c r="R90" s="437">
        <f>F90</f>
        <v>19167881</v>
      </c>
      <c r="S90" s="719" t="s">
        <v>6</v>
      </c>
      <c r="T90" s="439">
        <f>T82</f>
        <v>0</v>
      </c>
      <c r="U90" s="491">
        <f>ROUND(R90*T90,2)</f>
        <v>0</v>
      </c>
    </row>
    <row r="91" spans="1:21" x14ac:dyDescent="0.25">
      <c r="A91" s="418"/>
      <c r="D91" s="713"/>
      <c r="E91" s="706"/>
      <c r="F91" s="117"/>
      <c r="G91" s="707"/>
      <c r="H91" s="440"/>
      <c r="I91" s="101"/>
      <c r="N91" s="426"/>
      <c r="O91" s="51"/>
      <c r="P91" s="51"/>
      <c r="Q91" s="44"/>
      <c r="R91" s="437"/>
      <c r="S91" s="719"/>
      <c r="T91" s="439"/>
      <c r="U91" s="491"/>
    </row>
    <row r="92" spans="1:21" x14ac:dyDescent="0.25">
      <c r="A92" s="715" t="s">
        <v>469</v>
      </c>
      <c r="D92" s="713"/>
      <c r="E92" s="706" t="s">
        <v>3</v>
      </c>
      <c r="F92" s="301">
        <f>'1461'!F92</f>
        <v>11546889</v>
      </c>
      <c r="G92" s="707" t="s">
        <v>6</v>
      </c>
      <c r="H92" s="440">
        <f>H76</f>
        <v>0</v>
      </c>
      <c r="I92" s="101">
        <f t="shared" ref="I92:I96" si="14">ROUND(F92*H92,2)</f>
        <v>0</v>
      </c>
      <c r="N92" s="732" t="s">
        <v>469</v>
      </c>
      <c r="O92" s="51"/>
      <c r="P92" s="51"/>
      <c r="Q92" s="44"/>
      <c r="R92" s="437">
        <f t="shared" ref="R92:R96" si="15">F92</f>
        <v>11546889</v>
      </c>
      <c r="S92" s="719" t="s">
        <v>6</v>
      </c>
      <c r="T92" s="439">
        <f>T76</f>
        <v>0</v>
      </c>
      <c r="U92" s="491">
        <f>ROUND(R92*T92,2)</f>
        <v>0</v>
      </c>
    </row>
    <row r="93" spans="1:21" x14ac:dyDescent="0.25">
      <c r="A93" s="715"/>
      <c r="D93" s="713"/>
      <c r="E93" s="706"/>
      <c r="F93" s="117"/>
      <c r="G93" s="707"/>
      <c r="H93" s="440"/>
      <c r="I93" s="101"/>
      <c r="N93" s="732"/>
      <c r="O93" s="51"/>
      <c r="P93" s="51"/>
      <c r="Q93" s="44"/>
      <c r="R93" s="438"/>
      <c r="S93" s="719"/>
      <c r="T93" s="439"/>
      <c r="U93" s="495"/>
    </row>
    <row r="94" spans="1:21" x14ac:dyDescent="0.25">
      <c r="A94" s="810" t="s">
        <v>435</v>
      </c>
      <c r="B94" s="804"/>
      <c r="C94" s="804"/>
      <c r="D94" s="713"/>
      <c r="E94" s="706" t="s">
        <v>4</v>
      </c>
      <c r="F94" s="301">
        <f>'1461'!F94</f>
        <v>268816278</v>
      </c>
      <c r="G94" s="707" t="s">
        <v>6</v>
      </c>
      <c r="H94" s="440">
        <f>H73</f>
        <v>0</v>
      </c>
      <c r="I94" s="101">
        <f t="shared" si="14"/>
        <v>0</v>
      </c>
      <c r="N94" s="851" t="s">
        <v>435</v>
      </c>
      <c r="O94" s="851"/>
      <c r="P94" s="851"/>
      <c r="Q94" s="44"/>
      <c r="R94" s="437">
        <f t="shared" si="15"/>
        <v>268816278</v>
      </c>
      <c r="S94" s="719" t="s">
        <v>6</v>
      </c>
      <c r="T94" s="439">
        <f>T73</f>
        <v>0</v>
      </c>
      <c r="U94" s="491">
        <f>ROUND(R94*T94,2)</f>
        <v>0</v>
      </c>
    </row>
    <row r="95" spans="1:21" x14ac:dyDescent="0.25">
      <c r="A95" s="715"/>
      <c r="B95" s="713"/>
      <c r="C95" s="713"/>
      <c r="D95" s="713"/>
      <c r="E95" s="706"/>
      <c r="F95" s="117"/>
      <c r="G95" s="707"/>
      <c r="H95" s="440"/>
      <c r="I95" s="101"/>
      <c r="N95" s="728"/>
      <c r="O95" s="728"/>
      <c r="P95" s="728"/>
      <c r="Q95" s="44"/>
      <c r="R95" s="437"/>
      <c r="S95" s="719"/>
      <c r="T95" s="439"/>
      <c r="U95" s="491"/>
    </row>
    <row r="96" spans="1:21" x14ac:dyDescent="0.25">
      <c r="A96" s="810" t="s">
        <v>436</v>
      </c>
      <c r="B96" s="804"/>
      <c r="C96" s="804"/>
      <c r="D96" s="713"/>
      <c r="E96" s="706" t="s">
        <v>4</v>
      </c>
      <c r="F96" s="301">
        <f>'1461'!F96</f>
        <v>0</v>
      </c>
      <c r="G96" s="707" t="s">
        <v>6</v>
      </c>
      <c r="H96" s="440">
        <f>H73</f>
        <v>0</v>
      </c>
      <c r="I96" s="101">
        <f t="shared" si="14"/>
        <v>0</v>
      </c>
      <c r="N96" s="870" t="s">
        <v>436</v>
      </c>
      <c r="O96" s="851"/>
      <c r="P96" s="851"/>
      <c r="Q96" s="44"/>
      <c r="R96" s="437">
        <f t="shared" si="15"/>
        <v>0</v>
      </c>
      <c r="S96" s="719" t="s">
        <v>6</v>
      </c>
      <c r="T96" s="439">
        <f>T73</f>
        <v>0</v>
      </c>
      <c r="U96" s="491">
        <f>ROUND(R96*T96,2)</f>
        <v>0</v>
      </c>
    </row>
    <row r="97" spans="1:21" x14ac:dyDescent="0.25">
      <c r="A97" s="715"/>
      <c r="B97" s="713"/>
      <c r="C97" s="713"/>
      <c r="D97" s="713"/>
      <c r="E97" s="706"/>
      <c r="F97" s="117"/>
      <c r="G97" s="707"/>
      <c r="H97" s="440"/>
      <c r="I97" s="101"/>
      <c r="N97" s="732"/>
      <c r="O97" s="728"/>
      <c r="P97" s="728"/>
      <c r="Q97" s="44"/>
      <c r="R97" s="552"/>
      <c r="S97" s="719"/>
      <c r="T97" s="439"/>
      <c r="U97" s="495"/>
    </row>
    <row r="98" spans="1:21" x14ac:dyDescent="0.25">
      <c r="A98" s="715" t="s">
        <v>507</v>
      </c>
      <c r="B98" s="713"/>
      <c r="C98" s="713"/>
      <c r="D98" s="713"/>
      <c r="E98" s="706" t="s">
        <v>3</v>
      </c>
      <c r="F98" s="301">
        <f>'1461'!F98</f>
        <v>0</v>
      </c>
      <c r="G98" s="707" t="s">
        <v>6</v>
      </c>
      <c r="H98" s="440">
        <f>H70</f>
        <v>0</v>
      </c>
      <c r="I98" s="101">
        <f t="shared" ref="I98" si="16">ROUND(F98*H98,2)</f>
        <v>0</v>
      </c>
      <c r="N98" s="732" t="s">
        <v>507</v>
      </c>
      <c r="O98" s="732"/>
      <c r="P98" s="732"/>
      <c r="Q98" s="44"/>
      <c r="R98" s="553">
        <f>F98</f>
        <v>0</v>
      </c>
      <c r="S98" s="719" t="s">
        <v>6</v>
      </c>
      <c r="T98" s="439">
        <f>T70</f>
        <v>0</v>
      </c>
      <c r="U98" s="491">
        <f>ROUND(R98*T98,2)</f>
        <v>0</v>
      </c>
    </row>
    <row r="99" spans="1:21" x14ac:dyDescent="0.25">
      <c r="A99" s="715"/>
      <c r="B99" s="713"/>
      <c r="C99" s="713"/>
      <c r="D99" s="713"/>
      <c r="E99" s="706"/>
      <c r="F99" s="275"/>
      <c r="G99" s="707"/>
      <c r="H99" s="440"/>
      <c r="I99" s="101"/>
      <c r="N99" s="732"/>
      <c r="O99" s="732"/>
      <c r="P99" s="732"/>
      <c r="Q99" s="44"/>
      <c r="R99" s="552"/>
      <c r="S99" s="719"/>
      <c r="T99" s="439"/>
      <c r="U99" s="495"/>
    </row>
    <row r="100" spans="1:21" x14ac:dyDescent="0.25">
      <c r="A100" s="715"/>
      <c r="B100" s="713"/>
      <c r="C100" s="713"/>
      <c r="D100" s="713"/>
      <c r="E100" s="706"/>
      <c r="F100" s="275"/>
      <c r="G100" s="707"/>
      <c r="H100" s="440"/>
      <c r="I100" s="101"/>
      <c r="N100" s="732"/>
      <c r="O100" s="732"/>
      <c r="P100" s="732"/>
      <c r="Q100" s="44"/>
      <c r="R100" s="438"/>
      <c r="S100" s="719"/>
      <c r="T100" s="439"/>
      <c r="U100" s="103"/>
    </row>
    <row r="101" spans="1:21" x14ac:dyDescent="0.25">
      <c r="A101" s="418" t="s">
        <v>508</v>
      </c>
      <c r="N101" s="426" t="s">
        <v>508</v>
      </c>
      <c r="O101" s="51"/>
      <c r="P101" s="51"/>
      <c r="Q101" s="51"/>
      <c r="R101" s="51"/>
      <c r="S101" s="51"/>
      <c r="T101" s="51"/>
      <c r="U101" s="51"/>
    </row>
    <row r="102" spans="1:21" x14ac:dyDescent="0.25">
      <c r="B102" s="713"/>
      <c r="C102" s="789" t="s">
        <v>60</v>
      </c>
      <c r="D102" s="789"/>
      <c r="E102" s="713"/>
      <c r="F102" s="709" t="s">
        <v>28</v>
      </c>
      <c r="G102" s="713"/>
      <c r="H102" s="713"/>
      <c r="I102" s="713"/>
      <c r="N102" s="728"/>
      <c r="O102" s="728"/>
      <c r="P102" s="728"/>
      <c r="Q102" s="728"/>
      <c r="R102" s="728"/>
      <c r="S102" s="728"/>
      <c r="T102" s="728"/>
      <c r="U102" s="728"/>
    </row>
    <row r="103" spans="1:21" x14ac:dyDescent="0.25">
      <c r="A103" s="3"/>
      <c r="B103" s="118"/>
      <c r="C103" s="790" t="s">
        <v>101</v>
      </c>
      <c r="D103" s="790"/>
      <c r="E103" s="441" t="s">
        <v>439</v>
      </c>
      <c r="F103" s="120" t="s">
        <v>106</v>
      </c>
      <c r="G103" s="710"/>
      <c r="H103" s="710"/>
      <c r="I103" s="710"/>
      <c r="N103" s="882" t="s">
        <v>35</v>
      </c>
      <c r="O103" s="882"/>
      <c r="P103" s="899" t="s">
        <v>441</v>
      </c>
      <c r="Q103" s="884"/>
      <c r="R103" s="873" t="s">
        <v>31</v>
      </c>
      <c r="S103" s="873"/>
      <c r="T103" s="873"/>
      <c r="U103" s="873"/>
    </row>
    <row r="104" spans="1:21" x14ac:dyDescent="0.25">
      <c r="A104" s="717"/>
      <c r="B104" s="52" t="s">
        <v>105</v>
      </c>
      <c r="C104" s="822">
        <f>H14+H15+H20+H23+H26</f>
        <v>0</v>
      </c>
      <c r="D104" s="822"/>
      <c r="E104" s="46">
        <f>H8</f>
        <v>1.0355000000000001</v>
      </c>
      <c r="F104" s="302">
        <f>'1461'!F104</f>
        <v>958.42</v>
      </c>
      <c r="G104" s="709" t="s">
        <v>12</v>
      </c>
      <c r="H104" s="101">
        <f>ROUND(C104*E104*F104,2)</f>
        <v>0</v>
      </c>
      <c r="I104" s="104"/>
      <c r="N104" s="730"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70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70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0</v>
      </c>
      <c r="D107" s="812"/>
      <c r="E107" s="123"/>
      <c r="F107" s="123"/>
      <c r="G107" s="123"/>
      <c r="H107" s="124" t="s">
        <v>100</v>
      </c>
      <c r="I107" s="101">
        <f>IF(A1=75,0,H106+H105+H104)</f>
        <v>0</v>
      </c>
      <c r="N107" s="735"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705"/>
      <c r="B109" s="705"/>
      <c r="C109" s="705"/>
      <c r="D109" s="705"/>
      <c r="E109" s="705"/>
      <c r="F109" s="705"/>
      <c r="G109" s="705"/>
      <c r="H109" s="705"/>
      <c r="I109" s="705"/>
      <c r="N109" s="736"/>
      <c r="O109" s="736"/>
      <c r="P109" s="736"/>
      <c r="Q109" s="736"/>
      <c r="R109" s="736"/>
      <c r="S109" s="736"/>
      <c r="T109" s="736"/>
      <c r="U109" s="736"/>
    </row>
    <row r="110" spans="1:21" x14ac:dyDescent="0.25">
      <c r="A110" s="715" t="s">
        <v>509</v>
      </c>
      <c r="C110" s="706"/>
      <c r="D110" s="713"/>
      <c r="E110" s="706" t="s">
        <v>32</v>
      </c>
      <c r="F110" s="782"/>
      <c r="G110" s="782"/>
      <c r="H110" s="782"/>
      <c r="I110" s="782"/>
      <c r="N110" s="870" t="s">
        <v>509</v>
      </c>
      <c r="O110" s="851"/>
      <c r="P110" s="851"/>
      <c r="Q110" s="890"/>
      <c r="R110" s="890"/>
      <c r="S110" s="890"/>
      <c r="T110" s="890"/>
      <c r="U110" s="103"/>
    </row>
    <row r="111" spans="1:21" x14ac:dyDescent="0.25">
      <c r="B111" s="713"/>
      <c r="C111" s="88" t="s">
        <v>523</v>
      </c>
      <c r="D111" s="349" t="s">
        <v>524</v>
      </c>
      <c r="E111" s="89" t="s">
        <v>107</v>
      </c>
      <c r="F111" s="706"/>
      <c r="G111" s="706"/>
      <c r="H111" s="706"/>
      <c r="I111" s="706"/>
      <c r="N111" s="728"/>
      <c r="O111" s="728"/>
      <c r="P111" s="728"/>
      <c r="Q111" s="737"/>
      <c r="R111" s="737"/>
      <c r="S111" s="737"/>
      <c r="T111" s="737"/>
      <c r="U111" s="103"/>
    </row>
    <row r="112" spans="1:21" x14ac:dyDescent="0.25">
      <c r="B112" s="713"/>
      <c r="C112" s="340" t="s">
        <v>2</v>
      </c>
      <c r="D112" s="340" t="s">
        <v>2</v>
      </c>
      <c r="E112" s="340" t="s">
        <v>2</v>
      </c>
      <c r="F112" s="706"/>
      <c r="G112" s="706"/>
      <c r="H112" s="706"/>
      <c r="I112" s="706"/>
      <c r="N112" s="728"/>
      <c r="O112" s="728"/>
      <c r="P112" s="728"/>
      <c r="Q112" s="737"/>
      <c r="R112" s="737"/>
      <c r="S112" s="737"/>
      <c r="T112" s="737"/>
      <c r="U112" s="103"/>
    </row>
    <row r="113" spans="1:21" x14ac:dyDescent="0.25">
      <c r="A113" s="783" t="s">
        <v>396</v>
      </c>
      <c r="B113" s="784"/>
      <c r="C113" s="143">
        <v>0</v>
      </c>
      <c r="D113" s="143">
        <v>0</v>
      </c>
      <c r="E113" s="116">
        <f>C113</f>
        <v>0</v>
      </c>
      <c r="F113" s="126" t="s">
        <v>30</v>
      </c>
      <c r="G113" s="303">
        <f>'1461'!G113</f>
        <v>617</v>
      </c>
      <c r="I113" s="101">
        <f>ROUND(G113*E113,2)</f>
        <v>0</v>
      </c>
      <c r="N113" s="885" t="s">
        <v>52</v>
      </c>
      <c r="O113" s="885"/>
      <c r="P113" s="886">
        <f>IF(H133=1,E113,0)</f>
        <v>0</v>
      </c>
      <c r="Q113" s="886"/>
      <c r="R113" s="886"/>
      <c r="S113" s="720"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720" t="s">
        <v>30</v>
      </c>
      <c r="T114" s="58">
        <f>G114</f>
        <v>1870</v>
      </c>
      <c r="U114" s="491">
        <f>ROUND(T114*P114,2)</f>
        <v>0</v>
      </c>
    </row>
    <row r="115" spans="1:21" x14ac:dyDescent="0.25">
      <c r="A115" s="127"/>
      <c r="B115" s="127"/>
      <c r="C115" s="65"/>
      <c r="D115" s="65"/>
      <c r="E115" s="65"/>
      <c r="F115" s="65"/>
      <c r="G115" s="722"/>
      <c r="H115" s="129"/>
      <c r="I115" s="101"/>
      <c r="N115" s="734"/>
      <c r="O115" s="734"/>
      <c r="P115" s="131"/>
      <c r="Q115" s="131"/>
      <c r="R115" s="131"/>
      <c r="S115" s="720"/>
      <c r="T115" s="58"/>
      <c r="U115" s="103"/>
    </row>
    <row r="116" spans="1:21" hidden="1" x14ac:dyDescent="0.25">
      <c r="A116" s="127"/>
      <c r="B116" s="127"/>
      <c r="C116" s="65"/>
      <c r="D116" s="65"/>
      <c r="E116" s="65"/>
      <c r="F116" s="65"/>
      <c r="G116" s="722"/>
      <c r="H116" s="129"/>
      <c r="I116" s="101"/>
      <c r="N116" s="734"/>
      <c r="O116" s="734"/>
      <c r="P116" s="131"/>
      <c r="Q116" s="131"/>
      <c r="R116" s="131"/>
      <c r="S116" s="720"/>
      <c r="T116" s="58"/>
      <c r="U116" s="103"/>
    </row>
    <row r="117" spans="1:21" hidden="1" x14ac:dyDescent="0.25">
      <c r="A117" s="810" t="s">
        <v>443</v>
      </c>
      <c r="B117" s="804"/>
      <c r="C117" s="804"/>
      <c r="D117" s="713"/>
      <c r="E117" s="709" t="s">
        <v>317</v>
      </c>
      <c r="F117" s="789"/>
      <c r="G117" s="789"/>
      <c r="H117" s="789"/>
      <c r="I117" s="789"/>
      <c r="N117" s="870" t="s">
        <v>444</v>
      </c>
      <c r="O117" s="851"/>
      <c r="P117" s="851"/>
      <c r="Q117" s="851"/>
      <c r="R117" s="851"/>
      <c r="S117" s="851"/>
      <c r="T117" s="851"/>
      <c r="U117" s="851"/>
    </row>
    <row r="118" spans="1:21" hidden="1" x14ac:dyDescent="0.25">
      <c r="B118" s="713"/>
      <c r="C118" s="790" t="s">
        <v>66</v>
      </c>
      <c r="D118" s="790"/>
      <c r="E118" s="790"/>
      <c r="F118" s="707"/>
      <c r="G118" s="707"/>
      <c r="H118" s="709" t="s">
        <v>108</v>
      </c>
      <c r="I118" s="707"/>
      <c r="N118" s="728"/>
      <c r="O118" s="728"/>
      <c r="P118" s="728"/>
      <c r="Q118" s="728"/>
      <c r="R118" s="728"/>
      <c r="S118" s="728"/>
      <c r="T118" s="728"/>
      <c r="U118" s="728"/>
    </row>
    <row r="119" spans="1:21" hidden="1" x14ac:dyDescent="0.25">
      <c r="B119" s="713"/>
      <c r="C119" s="88" t="s">
        <v>329</v>
      </c>
      <c r="D119" s="88" t="s">
        <v>314</v>
      </c>
      <c r="E119" s="137" t="s">
        <v>8</v>
      </c>
      <c r="F119" s="791" t="s">
        <v>109</v>
      </c>
      <c r="G119" s="789"/>
      <c r="H119" s="707" t="s">
        <v>29</v>
      </c>
      <c r="I119" s="707"/>
      <c r="N119" s="728"/>
      <c r="O119" s="728"/>
      <c r="P119" s="728"/>
      <c r="Q119" s="728"/>
      <c r="R119" s="728"/>
      <c r="S119" s="728"/>
      <c r="T119" s="728"/>
      <c r="U119" s="728"/>
    </row>
    <row r="120" spans="1:21" hidden="1" x14ac:dyDescent="0.25">
      <c r="A120" s="790" t="s">
        <v>69</v>
      </c>
      <c r="B120" s="790"/>
      <c r="C120" s="90" t="s">
        <v>2</v>
      </c>
      <c r="D120" s="90" t="s">
        <v>2</v>
      </c>
      <c r="E120" s="708" t="s">
        <v>2</v>
      </c>
      <c r="F120" s="790" t="s">
        <v>28</v>
      </c>
      <c r="G120" s="790"/>
      <c r="H120" s="708" t="s">
        <v>28</v>
      </c>
      <c r="I120" s="708" t="s">
        <v>8</v>
      </c>
      <c r="N120" s="891" t="s">
        <v>53</v>
      </c>
      <c r="O120" s="891"/>
      <c r="P120" s="886" t="s">
        <v>66</v>
      </c>
      <c r="Q120" s="886"/>
      <c r="R120" s="891" t="s">
        <v>54</v>
      </c>
      <c r="S120" s="891"/>
      <c r="T120" s="738" t="s">
        <v>55</v>
      </c>
      <c r="U120" s="738"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idden="1" x14ac:dyDescent="0.25">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707"/>
      <c r="B125" s="707"/>
      <c r="C125" s="65"/>
      <c r="D125" s="65"/>
      <c r="E125" s="65"/>
      <c r="F125" s="65"/>
      <c r="G125" s="65"/>
      <c r="H125" s="65"/>
      <c r="I125" s="101"/>
      <c r="N125" s="719"/>
      <c r="O125" s="719"/>
      <c r="P125" s="66"/>
      <c r="Q125" s="66"/>
      <c r="R125" s="66"/>
      <c r="S125" s="66"/>
      <c r="T125" s="66"/>
      <c r="U125" s="138"/>
    </row>
    <row r="126" spans="1:21" x14ac:dyDescent="0.25">
      <c r="A126" s="810" t="s">
        <v>445</v>
      </c>
      <c r="B126" s="804"/>
      <c r="C126" s="804"/>
      <c r="D126" s="713"/>
      <c r="E126" s="718" t="s">
        <v>34</v>
      </c>
      <c r="F126" s="823"/>
      <c r="G126" s="823"/>
      <c r="H126" s="823"/>
      <c r="I126" s="154">
        <v>0</v>
      </c>
      <c r="N126" s="870" t="s">
        <v>445</v>
      </c>
      <c r="O126" s="851"/>
      <c r="P126" s="851"/>
      <c r="Q126" s="305"/>
      <c r="R126" s="305"/>
      <c r="S126" s="305"/>
      <c r="T126" s="305"/>
      <c r="U126" s="491">
        <f>IF($H$133=1,I126,0)</f>
        <v>0</v>
      </c>
    </row>
    <row r="127" spans="1:21" x14ac:dyDescent="0.25">
      <c r="B127" s="713"/>
      <c r="C127" s="713"/>
      <c r="D127" s="713"/>
      <c r="E127" s="718"/>
      <c r="F127" s="718"/>
      <c r="G127" s="718"/>
      <c r="H127" s="718"/>
      <c r="I127" s="116"/>
      <c r="N127" s="732"/>
      <c r="O127" s="728"/>
      <c r="P127" s="728"/>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0</v>
      </c>
      <c r="N128" s="732"/>
      <c r="O128" s="728"/>
      <c r="P128" s="728"/>
      <c r="Q128" s="305"/>
      <c r="R128" s="305"/>
      <c r="S128" s="305"/>
      <c r="T128" s="305"/>
      <c r="U128" s="498">
        <f>SUM(U30,U85,U88,U90,U92,U94,U96,U107,U113,U114,U124,U126)</f>
        <v>0</v>
      </c>
    </row>
    <row r="129" spans="1:21" ht="16.5" thickTop="1" x14ac:dyDescent="0.25">
      <c r="A129" s="717"/>
      <c r="B129" s="717"/>
      <c r="C129" s="717"/>
      <c r="D129" s="717"/>
      <c r="E129" s="717"/>
      <c r="F129" s="717"/>
      <c r="G129" s="717"/>
      <c r="H129" s="717"/>
      <c r="I129" s="101"/>
      <c r="N129" s="732"/>
      <c r="O129" s="728"/>
      <c r="P129" s="728"/>
      <c r="Q129" s="305"/>
      <c r="R129" s="305"/>
      <c r="S129" s="305"/>
      <c r="T129" s="305"/>
      <c r="U129" s="103"/>
    </row>
    <row r="130" spans="1:21" ht="16.5" thickBot="1" x14ac:dyDescent="0.3">
      <c r="A130" s="715" t="s">
        <v>447</v>
      </c>
      <c r="B130" s="717"/>
      <c r="C130" s="717"/>
      <c r="D130" s="717"/>
      <c r="E130" s="717"/>
      <c r="F130" s="717"/>
      <c r="G130" s="717"/>
      <c r="H130" s="717"/>
      <c r="I130" s="101">
        <f>I128-I53</f>
        <v>0</v>
      </c>
      <c r="N130" s="851" t="s">
        <v>447</v>
      </c>
      <c r="O130" s="851"/>
      <c r="P130" s="851"/>
      <c r="Q130" s="851"/>
      <c r="R130" s="851"/>
      <c r="S130" s="851"/>
      <c r="T130" s="851"/>
      <c r="U130" s="132">
        <f>U128-U53</f>
        <v>0</v>
      </c>
    </row>
    <row r="131" spans="1:21" ht="16.5" thickTop="1" x14ac:dyDescent="0.25">
      <c r="A131" s="717"/>
      <c r="B131" s="717"/>
      <c r="C131" s="717"/>
      <c r="D131" s="717"/>
      <c r="E131" s="717"/>
      <c r="F131" s="717"/>
      <c r="G131" s="717"/>
      <c r="H131" s="717"/>
      <c r="I131" s="101"/>
      <c r="N131" s="730"/>
      <c r="O131" s="730"/>
      <c r="P131" s="730"/>
      <c r="Q131" s="730"/>
      <c r="R131" s="730"/>
      <c r="S131" s="730"/>
      <c r="T131" s="730"/>
      <c r="U131" s="138"/>
    </row>
    <row r="132" spans="1:21" x14ac:dyDescent="0.25">
      <c r="A132" s="810" t="s">
        <v>512</v>
      </c>
      <c r="B132" s="804"/>
      <c r="C132" s="804"/>
      <c r="D132" s="804"/>
      <c r="E132" s="804"/>
      <c r="F132" s="804"/>
      <c r="G132" s="804"/>
      <c r="H132" s="715"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713"/>
      <c r="C134" s="713"/>
      <c r="D134" s="713"/>
      <c r="E134" s="713"/>
      <c r="F134" s="713"/>
      <c r="G134" s="713"/>
      <c r="H134" s="65"/>
      <c r="I134" s="101"/>
      <c r="N134" s="730"/>
      <c r="O134" s="730"/>
      <c r="P134" s="730"/>
      <c r="Q134" s="730"/>
      <c r="R134" s="730"/>
      <c r="S134" s="730"/>
      <c r="T134" s="730"/>
      <c r="U134" s="138"/>
    </row>
    <row r="135" spans="1:21" x14ac:dyDescent="0.25">
      <c r="A135" s="3" t="s">
        <v>73</v>
      </c>
      <c r="B135" s="713"/>
      <c r="C135" s="713"/>
      <c r="D135" s="713"/>
      <c r="E135" s="713"/>
      <c r="F135" s="713"/>
      <c r="G135" s="257" t="s">
        <v>239</v>
      </c>
      <c r="H135" s="139">
        <f>IF(H133=1,I133,I130)</f>
        <v>0</v>
      </c>
      <c r="I135" s="94">
        <f>ROUND(IF(E30=0,0,IF(E30&gt;250,-(((250/E30)*H135)*IF(G135="H",0.02,0.05)),IF(G135="H",-0.02*H135,-0.05*H135))),2)</f>
        <v>0</v>
      </c>
      <c r="N135" s="894"/>
      <c r="O135" s="894"/>
      <c r="P135" s="894"/>
      <c r="Q135" s="894"/>
      <c r="R135" s="894"/>
      <c r="S135" s="894"/>
      <c r="T135" s="894"/>
      <c r="U135" s="894"/>
    </row>
    <row r="136" spans="1:21" x14ac:dyDescent="0.25">
      <c r="B136" s="713"/>
      <c r="C136" s="713"/>
      <c r="D136" s="713"/>
      <c r="E136" s="713"/>
      <c r="F136" s="713"/>
      <c r="G136" s="713"/>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0</v>
      </c>
      <c r="N137" s="71" t="s">
        <v>77</v>
      </c>
      <c r="O137" s="71"/>
      <c r="P137" s="71"/>
      <c r="Q137" s="71"/>
      <c r="R137" s="71"/>
      <c r="S137" s="71"/>
      <c r="T137" s="71"/>
      <c r="U137" s="71"/>
    </row>
    <row r="138" spans="1:21" x14ac:dyDescent="0.25">
      <c r="B138" s="713"/>
      <c r="C138" s="713"/>
      <c r="D138" s="713"/>
      <c r="E138" s="713"/>
      <c r="F138" s="713"/>
      <c r="G138" s="713"/>
      <c r="H138" s="65"/>
      <c r="I138" s="101"/>
      <c r="N138" s="72" t="s">
        <v>78</v>
      </c>
      <c r="O138" s="71"/>
      <c r="P138" s="71"/>
      <c r="Q138" s="71"/>
      <c r="R138" s="71"/>
      <c r="S138" s="71"/>
      <c r="T138" s="71"/>
      <c r="U138" s="71"/>
    </row>
    <row r="139" spans="1:21" x14ac:dyDescent="0.25">
      <c r="A139" s="3" t="s">
        <v>75</v>
      </c>
      <c r="B139" s="713"/>
      <c r="C139" s="140"/>
      <c r="D139" s="713"/>
      <c r="F139" s="713"/>
      <c r="G139" s="713"/>
      <c r="H139" s="65"/>
      <c r="I139" s="271">
        <v>0</v>
      </c>
      <c r="N139" s="739"/>
      <c r="O139" s="739"/>
      <c r="P139" s="739"/>
      <c r="Q139" s="739"/>
      <c r="R139" s="739"/>
      <c r="S139" s="739"/>
      <c r="T139" s="739"/>
      <c r="U139" s="739"/>
    </row>
    <row r="140" spans="1:21" x14ac:dyDescent="0.25">
      <c r="B140" s="713"/>
      <c r="C140" s="713"/>
      <c r="D140" s="713"/>
      <c r="E140" s="713"/>
      <c r="F140" s="713"/>
      <c r="G140" s="713"/>
      <c r="H140" s="65"/>
      <c r="I140" s="101"/>
      <c r="N140" s="739"/>
      <c r="O140" s="739"/>
      <c r="P140" s="739"/>
      <c r="Q140" s="739"/>
      <c r="R140" s="739"/>
      <c r="S140" s="739"/>
      <c r="T140" s="739"/>
      <c r="U140" s="739"/>
    </row>
    <row r="141" spans="1:21" x14ac:dyDescent="0.25">
      <c r="A141" s="715" t="s">
        <v>246</v>
      </c>
      <c r="B141" s="713"/>
      <c r="C141" s="713"/>
      <c r="D141" s="713"/>
      <c r="E141" s="713"/>
      <c r="F141" s="713"/>
      <c r="G141" s="713"/>
      <c r="H141" s="65"/>
      <c r="I141" s="101">
        <f>I137+I139</f>
        <v>0</v>
      </c>
      <c r="N141" s="739"/>
      <c r="O141" s="739"/>
      <c r="P141" s="739"/>
      <c r="Q141" s="739"/>
      <c r="R141" s="739"/>
      <c r="S141" s="739"/>
      <c r="T141" s="739"/>
      <c r="U141" s="739"/>
    </row>
    <row r="142" spans="1:21" x14ac:dyDescent="0.25">
      <c r="A142" s="715"/>
      <c r="B142" s="713"/>
      <c r="C142" s="713"/>
      <c r="D142" s="713"/>
      <c r="E142" s="713"/>
      <c r="F142" s="713"/>
      <c r="G142" s="713"/>
      <c r="H142" s="65"/>
      <c r="I142" s="101"/>
      <c r="N142" s="739"/>
      <c r="O142" s="739"/>
      <c r="P142" s="739"/>
      <c r="Q142" s="739"/>
      <c r="R142" s="739"/>
      <c r="S142" s="739"/>
      <c r="T142" s="739"/>
      <c r="U142" s="739"/>
    </row>
    <row r="143" spans="1:21" x14ac:dyDescent="0.25">
      <c r="A143" s="715" t="s">
        <v>247</v>
      </c>
      <c r="B143" s="713"/>
      <c r="C143" s="713"/>
      <c r="D143" s="713"/>
      <c r="E143" s="713"/>
      <c r="F143" s="713"/>
      <c r="G143" s="713"/>
      <c r="H143" s="65"/>
      <c r="I143" s="272">
        <f>'1461'!I143</f>
        <v>11</v>
      </c>
      <c r="N143" s="739"/>
      <c r="O143" s="739"/>
      <c r="P143" s="739"/>
      <c r="Q143" s="739"/>
      <c r="R143" s="739"/>
      <c r="S143" s="739"/>
      <c r="T143" s="739"/>
      <c r="U143" s="739"/>
    </row>
    <row r="144" spans="1:21" x14ac:dyDescent="0.25">
      <c r="B144" s="713"/>
      <c r="C144" s="713"/>
      <c r="D144" s="713"/>
      <c r="E144" s="713"/>
      <c r="F144" s="713"/>
      <c r="G144" s="713"/>
      <c r="H144" s="65"/>
      <c r="I144" s="101"/>
      <c r="N144" s="739"/>
      <c r="O144" s="739"/>
      <c r="P144" s="739"/>
      <c r="Q144" s="739"/>
      <c r="R144" s="739"/>
      <c r="S144" s="739"/>
      <c r="T144" s="739"/>
      <c r="U144" s="739"/>
    </row>
    <row r="145" spans="1:21" ht="16.5" thickBot="1" x14ac:dyDescent="0.3">
      <c r="A145" s="3" t="s">
        <v>76</v>
      </c>
      <c r="B145" s="713"/>
      <c r="C145" s="713"/>
      <c r="D145" s="713"/>
      <c r="E145" s="713"/>
      <c r="F145" s="713"/>
      <c r="G145" s="713"/>
      <c r="H145" s="65"/>
      <c r="I145" s="155">
        <v>0</v>
      </c>
      <c r="N145" s="739"/>
      <c r="O145" s="739"/>
      <c r="P145" s="739"/>
      <c r="Q145" s="739"/>
      <c r="R145" s="739"/>
      <c r="S145" s="739"/>
      <c r="T145" s="739"/>
      <c r="U145" s="739"/>
    </row>
    <row r="146" spans="1:21" ht="16.5" thickTop="1" x14ac:dyDescent="0.25">
      <c r="B146" s="713"/>
      <c r="C146" s="713"/>
      <c r="D146" s="713"/>
      <c r="E146" s="713"/>
      <c r="F146" s="713"/>
      <c r="G146" s="713"/>
      <c r="H146" s="65"/>
      <c r="I146" s="101"/>
      <c r="N146" s="739"/>
      <c r="O146" s="739"/>
      <c r="P146" s="739"/>
      <c r="Q146" s="739"/>
      <c r="R146" s="739"/>
      <c r="S146" s="739"/>
      <c r="T146" s="739"/>
      <c r="U146" s="739"/>
    </row>
    <row r="147" spans="1:21" ht="16.5" thickBot="1" x14ac:dyDescent="0.3">
      <c r="A147" s="3" t="s">
        <v>90</v>
      </c>
      <c r="B147" s="713"/>
      <c r="C147" s="713"/>
      <c r="D147" s="713"/>
      <c r="E147" s="713"/>
      <c r="F147" s="713"/>
      <c r="G147" s="713"/>
      <c r="H147" s="65"/>
      <c r="I147" s="133">
        <f>ROUND(IF(G135="H",(H135*0.02)+I135,(H135*0.05)+I135),2)</f>
        <v>0</v>
      </c>
      <c r="N147" s="739"/>
      <c r="O147" s="739"/>
      <c r="P147" s="739"/>
      <c r="Q147" s="739"/>
      <c r="R147" s="739"/>
      <c r="S147" s="739"/>
      <c r="T147" s="739"/>
      <c r="U147" s="739"/>
    </row>
    <row r="148" spans="1:21" ht="16.5" thickTop="1" x14ac:dyDescent="0.25">
      <c r="B148" s="713"/>
      <c r="C148" s="713"/>
      <c r="D148" s="713"/>
      <c r="E148" s="713"/>
      <c r="F148" s="713"/>
      <c r="G148" s="713"/>
      <c r="H148" s="65"/>
      <c r="I148" s="134"/>
      <c r="N148" s="739"/>
      <c r="O148" s="739"/>
      <c r="P148" s="739"/>
      <c r="Q148" s="739"/>
      <c r="R148" s="739"/>
      <c r="S148" s="739"/>
      <c r="T148" s="739"/>
      <c r="U148" s="739"/>
    </row>
    <row r="149" spans="1:21" x14ac:dyDescent="0.25">
      <c r="B149" s="713"/>
      <c r="C149" s="713"/>
      <c r="D149" s="713"/>
      <c r="E149" s="713"/>
      <c r="F149" s="713"/>
      <c r="G149" s="713"/>
      <c r="H149" s="65"/>
      <c r="I149" s="101"/>
      <c r="N149" s="739"/>
      <c r="O149" s="739"/>
      <c r="P149" s="739"/>
      <c r="Q149" s="739"/>
      <c r="R149" s="739"/>
      <c r="S149" s="739"/>
      <c r="T149" s="739"/>
      <c r="U149" s="739"/>
    </row>
    <row r="150" spans="1:21" x14ac:dyDescent="0.25">
      <c r="B150" s="713"/>
      <c r="C150" s="713"/>
      <c r="D150" s="713"/>
      <c r="E150" s="713"/>
      <c r="F150" s="713"/>
      <c r="G150" s="713"/>
      <c r="H150" s="65"/>
      <c r="I150" s="134"/>
      <c r="N150" s="739"/>
      <c r="O150" s="739"/>
      <c r="P150" s="739"/>
      <c r="Q150" s="739"/>
      <c r="R150" s="739"/>
      <c r="S150" s="739"/>
      <c r="T150" s="739"/>
      <c r="U150" s="739"/>
    </row>
    <row r="151" spans="1:21" x14ac:dyDescent="0.25">
      <c r="A151" s="251" t="s">
        <v>7</v>
      </c>
      <c r="B151" s="251"/>
      <c r="C151" s="251"/>
      <c r="D151" s="251"/>
      <c r="E151" s="251"/>
      <c r="F151" s="251"/>
      <c r="G151" s="251"/>
      <c r="H151" s="251"/>
      <c r="I151" s="251"/>
      <c r="J151" s="134"/>
      <c r="N151" s="739"/>
      <c r="O151" s="739"/>
      <c r="P151" s="739"/>
      <c r="Q151" s="739"/>
      <c r="R151" s="739"/>
      <c r="S151" s="739"/>
      <c r="T151" s="739"/>
      <c r="U151" s="739"/>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9"/>
      <c r="O152" s="739"/>
      <c r="P152" s="739"/>
      <c r="Q152" s="739"/>
      <c r="R152" s="739"/>
      <c r="S152" s="739"/>
      <c r="T152" s="739"/>
      <c r="U152" s="739"/>
    </row>
    <row r="153" spans="1:21" ht="15.75" customHeight="1" x14ac:dyDescent="0.25">
      <c r="A153" s="364" t="s">
        <v>387</v>
      </c>
      <c r="B153" s="405"/>
      <c r="C153" s="405"/>
      <c r="D153" s="405"/>
      <c r="E153" s="405"/>
      <c r="F153" s="405"/>
      <c r="G153" s="405"/>
      <c r="H153" s="405"/>
      <c r="I153" s="405"/>
      <c r="J153" s="77"/>
      <c r="K153" s="76"/>
      <c r="L153" s="76"/>
      <c r="M153" s="76"/>
      <c r="N153" s="739"/>
      <c r="O153" s="739"/>
      <c r="P153" s="739"/>
      <c r="Q153" s="739"/>
      <c r="R153" s="739"/>
      <c r="S153" s="739"/>
      <c r="T153" s="739"/>
      <c r="U153" s="739"/>
    </row>
    <row r="154" spans="1:21" x14ac:dyDescent="0.25">
      <c r="A154" s="336" t="s">
        <v>388</v>
      </c>
      <c r="B154" s="251"/>
      <c r="C154" s="251"/>
      <c r="D154" s="251"/>
      <c r="E154" s="251"/>
      <c r="F154" s="251"/>
      <c r="G154" s="251"/>
      <c r="H154" s="251"/>
      <c r="I154" s="251"/>
      <c r="J154" s="76"/>
      <c r="K154" s="76"/>
      <c r="L154" s="76"/>
      <c r="M154" s="76"/>
      <c r="N154" s="739"/>
      <c r="O154" s="739"/>
      <c r="P154" s="739"/>
      <c r="Q154" s="739"/>
      <c r="R154" s="739"/>
      <c r="S154" s="739"/>
      <c r="T154" s="739"/>
      <c r="U154" s="739"/>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9"/>
      <c r="O156" s="739"/>
      <c r="P156" s="739"/>
      <c r="Q156" s="739"/>
      <c r="R156" s="739"/>
      <c r="S156" s="739"/>
      <c r="T156" s="739"/>
      <c r="U156" s="739"/>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B1:I1"/>
    <mergeCell ref="O1:U1"/>
    <mergeCell ref="N2:U2"/>
    <mergeCell ref="N3:U3"/>
    <mergeCell ref="A4:B4"/>
    <mergeCell ref="C4:E4"/>
    <mergeCell ref="N4:O4"/>
    <mergeCell ref="P4:Q4"/>
    <mergeCell ref="T9:U9"/>
    <mergeCell ref="F11:G11"/>
    <mergeCell ref="R11:S11"/>
    <mergeCell ref="A12:B12"/>
    <mergeCell ref="F12:G12"/>
    <mergeCell ref="N12:O12"/>
    <mergeCell ref="P12:Q12"/>
    <mergeCell ref="R12:S12"/>
    <mergeCell ref="A7:I7"/>
    <mergeCell ref="N7:U7"/>
    <mergeCell ref="N8:O8"/>
    <mergeCell ref="P8:Q8"/>
    <mergeCell ref="R8:S8"/>
    <mergeCell ref="T8:U8"/>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A39:B39"/>
    <mergeCell ref="N39:O39"/>
    <mergeCell ref="P39:T39"/>
    <mergeCell ref="A40:B40"/>
    <mergeCell ref="N40:O40"/>
    <mergeCell ref="P40:T40"/>
    <mergeCell ref="F34:H37"/>
    <mergeCell ref="N35:T35"/>
    <mergeCell ref="A37:B37"/>
    <mergeCell ref="N37:O37"/>
    <mergeCell ref="P37:T37"/>
    <mergeCell ref="A38:B38"/>
    <mergeCell ref="N38:O38"/>
    <mergeCell ref="P38:T38"/>
    <mergeCell ref="A43:B43"/>
    <mergeCell ref="N43:O43"/>
    <mergeCell ref="P43:T43"/>
    <mergeCell ref="N44:Q44"/>
    <mergeCell ref="S44:T44"/>
    <mergeCell ref="N46:Q46"/>
    <mergeCell ref="S46:T46"/>
    <mergeCell ref="A41:B41"/>
    <mergeCell ref="N41:O41"/>
    <mergeCell ref="P41:T41"/>
    <mergeCell ref="A42:B42"/>
    <mergeCell ref="N42:O42"/>
    <mergeCell ref="P42:T42"/>
    <mergeCell ref="P56:Q56"/>
    <mergeCell ref="A57:B65"/>
    <mergeCell ref="N57:O65"/>
    <mergeCell ref="P57:Q57"/>
    <mergeCell ref="P58:Q58"/>
    <mergeCell ref="P59:Q59"/>
    <mergeCell ref="P60:Q60"/>
    <mergeCell ref="P61:Q61"/>
    <mergeCell ref="P62:Q62"/>
    <mergeCell ref="P63:Q63"/>
    <mergeCell ref="N70:S70"/>
    <mergeCell ref="T70:U70"/>
    <mergeCell ref="A72:B72"/>
    <mergeCell ref="D72:G72"/>
    <mergeCell ref="N72:O72"/>
    <mergeCell ref="Q72:S72"/>
    <mergeCell ref="T72:U72"/>
    <mergeCell ref="P64:Q64"/>
    <mergeCell ref="P65:Q65"/>
    <mergeCell ref="F66:H66"/>
    <mergeCell ref="P66:Q66"/>
    <mergeCell ref="R66:T66"/>
    <mergeCell ref="A69:B69"/>
    <mergeCell ref="D69:G69"/>
    <mergeCell ref="N69:O69"/>
    <mergeCell ref="Q69:S69"/>
    <mergeCell ref="T69:U69"/>
    <mergeCell ref="N76:S76"/>
    <mergeCell ref="T76:U76"/>
    <mergeCell ref="A78:B78"/>
    <mergeCell ref="D78:G78"/>
    <mergeCell ref="N78:O78"/>
    <mergeCell ref="Q78:S78"/>
    <mergeCell ref="T78:U78"/>
    <mergeCell ref="N73:S73"/>
    <mergeCell ref="T73:U73"/>
    <mergeCell ref="A75:B75"/>
    <mergeCell ref="D75:G75"/>
    <mergeCell ref="N75:O75"/>
    <mergeCell ref="Q75:S75"/>
    <mergeCell ref="T75:U75"/>
    <mergeCell ref="N82:S82"/>
    <mergeCell ref="T82:U82"/>
    <mergeCell ref="A87:C87"/>
    <mergeCell ref="N87:P87"/>
    <mergeCell ref="A88:C88"/>
    <mergeCell ref="N88:P88"/>
    <mergeCell ref="N79:S79"/>
    <mergeCell ref="T79:U79"/>
    <mergeCell ref="A81:B81"/>
    <mergeCell ref="D81:G81"/>
    <mergeCell ref="N81:O81"/>
    <mergeCell ref="Q81:S81"/>
    <mergeCell ref="T81:U81"/>
    <mergeCell ref="R103:U103"/>
    <mergeCell ref="C104:D104"/>
    <mergeCell ref="P104:Q104"/>
    <mergeCell ref="C105:D105"/>
    <mergeCell ref="P105:Q105"/>
    <mergeCell ref="C106:D106"/>
    <mergeCell ref="P106:Q106"/>
    <mergeCell ref="A94:C94"/>
    <mergeCell ref="N94:P94"/>
    <mergeCell ref="A96:C96"/>
    <mergeCell ref="N96:P96"/>
    <mergeCell ref="C102:D102"/>
    <mergeCell ref="C103:D103"/>
    <mergeCell ref="N103:O103"/>
    <mergeCell ref="P103:Q103"/>
    <mergeCell ref="A113:B113"/>
    <mergeCell ref="N113:O113"/>
    <mergeCell ref="P113:R113"/>
    <mergeCell ref="A114:B114"/>
    <mergeCell ref="N114:O114"/>
    <mergeCell ref="P114:R114"/>
    <mergeCell ref="C107:D107"/>
    <mergeCell ref="P107:T107"/>
    <mergeCell ref="A108:I108"/>
    <mergeCell ref="N108:U108"/>
    <mergeCell ref="F110:I110"/>
    <mergeCell ref="N110:P110"/>
    <mergeCell ref="Q110:T110"/>
    <mergeCell ref="A117:C117"/>
    <mergeCell ref="F117:I117"/>
    <mergeCell ref="N117:U117"/>
    <mergeCell ref="C118:E118"/>
    <mergeCell ref="F119:G119"/>
    <mergeCell ref="A120:B120"/>
    <mergeCell ref="F120:G120"/>
    <mergeCell ref="N120:O120"/>
    <mergeCell ref="P120:Q120"/>
    <mergeCell ref="R120:S120"/>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33:G133"/>
    <mergeCell ref="N133:T133"/>
    <mergeCell ref="N135:U135"/>
    <mergeCell ref="N136:U136"/>
    <mergeCell ref="N155:U155"/>
    <mergeCell ref="A126:C126"/>
    <mergeCell ref="F126:H126"/>
    <mergeCell ref="N126:P126"/>
    <mergeCell ref="A128:H128"/>
    <mergeCell ref="N130:T130"/>
    <mergeCell ref="A132:G132"/>
    <mergeCell ref="N132:T132"/>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tabColor rgb="FFFFCCCC"/>
  </sheetPr>
  <dimension ref="A1:V221"/>
  <sheetViews>
    <sheetView topLeftCell="A96"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177.79</v>
      </c>
      <c r="D14" s="141">
        <v>0</v>
      </c>
      <c r="E14" s="187">
        <f>IF(D$30=0,C14*2,C14+D14)</f>
        <v>355.58</v>
      </c>
      <c r="F14" s="846">
        <f>'1461'!F14:G14</f>
        <v>1.1080000000000001</v>
      </c>
      <c r="G14" s="846"/>
      <c r="H14" s="145">
        <f>ROUND(E14*F14,4)</f>
        <v>393.98259999999999</v>
      </c>
      <c r="I14" s="111">
        <f>ROUND(ROUND(ROUND(H14*$C$8,4)*($H$8),2)*(MAX($H$9,1)),2)</f>
        <v>2191854.15</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32</v>
      </c>
      <c r="D15" s="143">
        <v>0</v>
      </c>
      <c r="E15" s="116">
        <f t="shared" ref="E15:E29" si="1">IF(D$30=0,C15*2,C15+D15)</f>
        <v>64</v>
      </c>
      <c r="F15" s="850">
        <f>'1461'!F15:G15</f>
        <v>1.1080000000000001</v>
      </c>
      <c r="G15" s="850"/>
      <c r="H15" s="80">
        <f t="shared" ref="H15:H29" si="2">ROUND(E15*F15,4)</f>
        <v>70.912000000000006</v>
      </c>
      <c r="I15" s="101">
        <f t="shared" ref="I15:I29" si="3">ROUND(ROUND(ROUND(H15*$C$8,4)*($H$8),2)*(MAX($H$9,1)),2)</f>
        <v>394506.67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227.64</v>
      </c>
      <c r="D16" s="143">
        <v>0</v>
      </c>
      <c r="E16" s="116">
        <f t="shared" si="1"/>
        <v>455.28</v>
      </c>
      <c r="F16" s="850">
        <f>'1461'!F16:G16</f>
        <v>1</v>
      </c>
      <c r="G16" s="850"/>
      <c r="H16" s="80">
        <f t="shared" si="2"/>
        <v>455.28</v>
      </c>
      <c r="I16" s="101">
        <f t="shared" si="3"/>
        <v>2532871.65</v>
      </c>
      <c r="N16" s="851" t="s">
        <v>22</v>
      </c>
      <c r="O16" s="851"/>
      <c r="P16" s="848">
        <f t="shared" si="0"/>
        <v>0</v>
      </c>
      <c r="Q16" s="848"/>
      <c r="R16" s="852">
        <v>1</v>
      </c>
      <c r="S16" s="852"/>
      <c r="T16" s="95">
        <f t="shared" si="4"/>
        <v>0</v>
      </c>
      <c r="U16" s="491">
        <f t="shared" si="5"/>
        <v>0</v>
      </c>
    </row>
    <row r="17" spans="1:21" x14ac:dyDescent="0.25">
      <c r="A17" s="804" t="s">
        <v>23</v>
      </c>
      <c r="B17" s="804"/>
      <c r="C17" s="143">
        <v>57.5</v>
      </c>
      <c r="D17" s="143">
        <v>0</v>
      </c>
      <c r="E17" s="116">
        <f t="shared" si="1"/>
        <v>115</v>
      </c>
      <c r="F17" s="850">
        <f>'1461'!F17:G17</f>
        <v>1</v>
      </c>
      <c r="G17" s="850"/>
      <c r="H17" s="80">
        <f t="shared" si="2"/>
        <v>115</v>
      </c>
      <c r="I17" s="101">
        <f t="shared" si="3"/>
        <v>639782.64</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25.71</v>
      </c>
      <c r="D26" s="143">
        <v>0</v>
      </c>
      <c r="E26" s="116">
        <f t="shared" si="1"/>
        <v>51.42</v>
      </c>
      <c r="F26" s="850">
        <f>'1461'!F26:G26</f>
        <v>1.165</v>
      </c>
      <c r="G26" s="850"/>
      <c r="H26" s="80">
        <f t="shared" si="2"/>
        <v>59.904299999999999</v>
      </c>
      <c r="I26" s="101">
        <f t="shared" si="3"/>
        <v>333267.23</v>
      </c>
      <c r="N26" s="851" t="s">
        <v>85</v>
      </c>
      <c r="O26" s="851"/>
      <c r="P26" s="848">
        <f t="shared" si="0"/>
        <v>0</v>
      </c>
      <c r="Q26" s="848"/>
      <c r="R26" s="852">
        <v>1</v>
      </c>
      <c r="S26" s="852"/>
      <c r="T26" s="95">
        <f t="shared" si="4"/>
        <v>0</v>
      </c>
      <c r="U26" s="491">
        <f t="shared" si="5"/>
        <v>0</v>
      </c>
    </row>
    <row r="27" spans="1:21" x14ac:dyDescent="0.25">
      <c r="A27" s="804" t="s">
        <v>86</v>
      </c>
      <c r="B27" s="804"/>
      <c r="C27" s="143">
        <v>2.86</v>
      </c>
      <c r="D27" s="143">
        <v>0</v>
      </c>
      <c r="E27" s="116">
        <f t="shared" si="1"/>
        <v>5.72</v>
      </c>
      <c r="F27" s="850">
        <f>'1461'!F27:G27</f>
        <v>1.165</v>
      </c>
      <c r="G27" s="850"/>
      <c r="H27" s="80">
        <f t="shared" si="2"/>
        <v>6.6638000000000002</v>
      </c>
      <c r="I27" s="101">
        <f t="shared" si="3"/>
        <v>37072.9</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523.5</v>
      </c>
      <c r="D30" s="94">
        <f>SUM(D14:D29)</f>
        <v>0</v>
      </c>
      <c r="E30" s="94">
        <f>SUM(E14:E29)</f>
        <v>1047</v>
      </c>
      <c r="F30" s="808"/>
      <c r="G30" s="808"/>
      <c r="H30" s="99">
        <f>SUM(H14:H29)</f>
        <v>1101.7426999999998</v>
      </c>
      <c r="I30" s="94">
        <f>SUM(I14:I29)</f>
        <v>6129355.2400000002</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1101.7426999999998</v>
      </c>
      <c r="F46" s="34"/>
      <c r="G46" s="106"/>
      <c r="H46" s="107" t="s">
        <v>98</v>
      </c>
      <c r="I46" s="94">
        <f>SUM(I44,I30)</f>
        <v>6129355.2400000002</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6129355.2400000002</v>
      </c>
      <c r="G51" s="109" t="s">
        <v>6</v>
      </c>
      <c r="H51" s="420">
        <f>'1461'!H51</f>
        <v>6.6699999999999995E-2</v>
      </c>
      <c r="I51" s="101">
        <f>ROUND(F51*H51,2)</f>
        <v>408827.99</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6129355.2400000002</v>
      </c>
      <c r="G52" s="109" t="s">
        <v>6</v>
      </c>
      <c r="H52" s="420">
        <f>'1461'!H52</f>
        <v>5.4000000000000003E-3</v>
      </c>
      <c r="I52" s="101">
        <f>ROUND(F52*H52,2)</f>
        <v>33098.519999999997</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441926.51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27.5</v>
      </c>
      <c r="D57" s="143">
        <v>0</v>
      </c>
      <c r="E57" s="116">
        <f t="shared" ref="E57:E65" si="10">IF(D$66=0,C57*2,C57+D57)</f>
        <v>55</v>
      </c>
      <c r="F57" s="461" t="s">
        <v>451</v>
      </c>
      <c r="G57" s="461">
        <v>251</v>
      </c>
      <c r="H57" s="475">
        <f>'1461'!H57</f>
        <v>1047</v>
      </c>
      <c r="I57" s="101">
        <f>ROUND(E57*H57,2)</f>
        <v>57585</v>
      </c>
      <c r="N57" s="865" t="s">
        <v>459</v>
      </c>
      <c r="O57" s="865"/>
      <c r="P57" s="867"/>
      <c r="Q57" s="867"/>
      <c r="R57" s="467" t="s">
        <v>451</v>
      </c>
      <c r="S57" s="467">
        <v>251</v>
      </c>
      <c r="T57" s="478">
        <f>H57</f>
        <v>1047</v>
      </c>
      <c r="U57" s="492">
        <f>ROUND(P57*T57,2)</f>
        <v>0</v>
      </c>
      <c r="V57" s="442"/>
    </row>
    <row r="58" spans="1:22" x14ac:dyDescent="0.25">
      <c r="A58" s="815"/>
      <c r="B58" s="815"/>
      <c r="C58" s="143">
        <v>4.5</v>
      </c>
      <c r="D58" s="143">
        <v>0</v>
      </c>
      <c r="E58" s="116">
        <f t="shared" si="10"/>
        <v>9</v>
      </c>
      <c r="F58" s="461" t="s">
        <v>451</v>
      </c>
      <c r="G58" s="461">
        <v>252</v>
      </c>
      <c r="H58" s="475">
        <f>'1461'!H58</f>
        <v>3380</v>
      </c>
      <c r="I58" s="101">
        <f t="shared" ref="I58:I65" si="11">ROUND(E58*H58,2)</f>
        <v>30420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55.5</v>
      </c>
      <c r="D60" s="143">
        <v>0</v>
      </c>
      <c r="E60" s="116">
        <f t="shared" si="10"/>
        <v>111</v>
      </c>
      <c r="F60" s="462" t="s">
        <v>13</v>
      </c>
      <c r="G60" s="461">
        <v>251</v>
      </c>
      <c r="H60" s="475">
        <f>'1461'!H60</f>
        <v>1173</v>
      </c>
      <c r="I60" s="101">
        <f t="shared" si="11"/>
        <v>130203</v>
      </c>
      <c r="N60" s="866"/>
      <c r="O60" s="866"/>
      <c r="P60" s="868"/>
      <c r="Q60" s="868"/>
      <c r="R60" s="40" t="s">
        <v>13</v>
      </c>
      <c r="S60" s="467">
        <v>251</v>
      </c>
      <c r="T60" s="478">
        <f t="shared" si="12"/>
        <v>1173</v>
      </c>
      <c r="U60" s="492">
        <f t="shared" si="13"/>
        <v>0</v>
      </c>
      <c r="V60" s="442"/>
    </row>
    <row r="61" spans="1:22" x14ac:dyDescent="0.25">
      <c r="A61" s="815"/>
      <c r="B61" s="815"/>
      <c r="C61" s="143">
        <v>2</v>
      </c>
      <c r="D61" s="143">
        <v>0</v>
      </c>
      <c r="E61" s="116">
        <f t="shared" si="10"/>
        <v>4</v>
      </c>
      <c r="F61" s="462" t="s">
        <v>13</v>
      </c>
      <c r="G61" s="461">
        <v>252</v>
      </c>
      <c r="H61" s="475">
        <f>'1461'!H61</f>
        <v>3506</v>
      </c>
      <c r="I61" s="101">
        <f t="shared" si="11"/>
        <v>14024</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89.5</v>
      </c>
      <c r="D66" s="97">
        <f>SUM(D57:D65)</f>
        <v>0</v>
      </c>
      <c r="E66" s="97">
        <f>SUM(E57:E65)</f>
        <v>179</v>
      </c>
      <c r="F66" s="816" t="s">
        <v>460</v>
      </c>
      <c r="G66" s="816"/>
      <c r="H66" s="816"/>
      <c r="I66" s="97">
        <f>SUM(I57:I65)</f>
        <v>232232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1047</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4.8630000000000001E-3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1101.7426999999998</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4.81E-3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1047</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5.6239999999999997E-3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1047</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4.8690000000000001E-3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1047</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5.6340000000000001E-3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4.8690000000000001E-3</v>
      </c>
      <c r="I85" s="101">
        <f>ROUND(F85*H85,2)</f>
        <v>230258.65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4.8630000000000001E-3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5.6340000000000001E-3</v>
      </c>
      <c r="I90" s="101">
        <f>ROUND(F90*H90,2)</f>
        <v>107991.84</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5.6239999999999997E-3</v>
      </c>
      <c r="I92" s="101">
        <f t="shared" ref="I92:I96" si="14">ROUND(F92*H92,2)</f>
        <v>64939.7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4.81E-3</v>
      </c>
      <c r="I94" s="101">
        <f t="shared" si="14"/>
        <v>1293006.3</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4.81E-3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4.8630000000000001E-3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524.7989</v>
      </c>
      <c r="D104" s="822"/>
      <c r="E104" s="46">
        <f>H8</f>
        <v>1.0355000000000001</v>
      </c>
      <c r="F104" s="302">
        <f>'1461'!F104</f>
        <v>958.42</v>
      </c>
      <c r="G104" s="39" t="s">
        <v>12</v>
      </c>
      <c r="H104" s="101">
        <f>ROUND(C104*E104*F104,2)</f>
        <v>520833.47</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576.94380000000001</v>
      </c>
      <c r="D105" s="822"/>
      <c r="E105" s="46">
        <f>H8</f>
        <v>1.0355000000000001</v>
      </c>
      <c r="F105" s="302">
        <f>'1461'!F105</f>
        <v>915.09</v>
      </c>
      <c r="G105" s="39" t="s">
        <v>12</v>
      </c>
      <c r="H105" s="101">
        <f>ROUND(C105*E105*F105,2)</f>
        <v>546697.92000000004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1101.7427</v>
      </c>
      <c r="D107" s="812"/>
      <c r="E107" s="123"/>
      <c r="F107" s="123"/>
      <c r="G107" s="123"/>
      <c r="H107" s="124" t="s">
        <v>100</v>
      </c>
      <c r="I107" s="101">
        <f>IF(A1=75,0,H106+H105+H104)</f>
        <v>1067531.3900000001</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90</v>
      </c>
      <c r="D113" s="143">
        <v>101</v>
      </c>
      <c r="E113" s="116">
        <f>(C113+D113)/2</f>
        <v>95.5</v>
      </c>
      <c r="F113" s="126" t="s">
        <v>30</v>
      </c>
      <c r="G113" s="303">
        <f>'1461'!G113</f>
        <v>617</v>
      </c>
      <c r="I113" s="101">
        <f>ROUND(G113*E113,2)</f>
        <v>58923.5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9184238.620000001</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8742312.1100000013</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8742312.1100000013</v>
      </c>
      <c r="I135" s="94">
        <f>ROUND(IF(E30=0,0,IF(E30&gt;250,-(((250/E30)*H135)*IF(G135="H",0.02,0.05)),IF(G135="H",-0.02*H135,-0.05*H135))),2)</f>
        <v>-41749.339999999997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9142489.2800000012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Payments'!Q82</f>
        <v>-750894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8391595.2800000012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762872.3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133096.9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tabColor rgb="FFFFCCCC"/>
  </sheetPr>
  <dimension ref="A1:V221"/>
  <sheetViews>
    <sheetView topLeftCell="A108"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116</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40.93</v>
      </c>
      <c r="D14" s="141">
        <v>0</v>
      </c>
      <c r="E14" s="187">
        <f>IF(D$30=0,C14*2,C14+D14)</f>
        <v>81.86</v>
      </c>
      <c r="F14" s="846">
        <f>'1461'!F14:G14</f>
        <v>1.1080000000000001</v>
      </c>
      <c r="G14" s="846"/>
      <c r="H14" s="145">
        <f>ROUND(E14*F14,4)</f>
        <v>90.700900000000004</v>
      </c>
      <c r="I14" s="111">
        <f>ROUND(ROUND(ROUND(H14*$C$8,4)*($H$8),2)*(MAX($H$9,1)),2)</f>
        <v>504598.79</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7.5</v>
      </c>
      <c r="D15" s="143">
        <v>0</v>
      </c>
      <c r="E15" s="116">
        <f t="shared" ref="E15:E29" si="1">IF(D$30=0,C15*2,C15+D15)</f>
        <v>15</v>
      </c>
      <c r="F15" s="850">
        <f>'1461'!F15:G15</f>
        <v>1.1080000000000001</v>
      </c>
      <c r="G15" s="850"/>
      <c r="H15" s="80">
        <f t="shared" ref="H15:H29" si="2">ROUND(E15*F15,4)</f>
        <v>16.62</v>
      </c>
      <c r="I15" s="101">
        <f t="shared" ref="I15:I29" si="3">ROUND(ROUND(ROUND(H15*$C$8,4)*($H$8),2)*(MAX($H$9,1)),2)</f>
        <v>92462.5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65.63</v>
      </c>
      <c r="D16" s="143">
        <v>0</v>
      </c>
      <c r="E16" s="116">
        <f t="shared" si="1"/>
        <v>131.26</v>
      </c>
      <c r="F16" s="850">
        <f>'1461'!F16:G16</f>
        <v>1</v>
      </c>
      <c r="G16" s="850"/>
      <c r="H16" s="80">
        <f t="shared" si="2"/>
        <v>131.26</v>
      </c>
      <c r="I16" s="101">
        <f t="shared" si="3"/>
        <v>730242.34</v>
      </c>
      <c r="N16" s="851" t="s">
        <v>22</v>
      </c>
      <c r="O16" s="851"/>
      <c r="P16" s="848">
        <f t="shared" si="0"/>
        <v>0</v>
      </c>
      <c r="Q16" s="848"/>
      <c r="R16" s="852">
        <v>1</v>
      </c>
      <c r="S16" s="852"/>
      <c r="T16" s="95">
        <f t="shared" si="4"/>
        <v>0</v>
      </c>
      <c r="U16" s="491">
        <f t="shared" si="5"/>
        <v>0</v>
      </c>
    </row>
    <row r="17" spans="1:21" x14ac:dyDescent="0.25">
      <c r="A17" s="804" t="s">
        <v>23</v>
      </c>
      <c r="B17" s="804"/>
      <c r="C17" s="143">
        <v>16</v>
      </c>
      <c r="D17" s="143">
        <v>0</v>
      </c>
      <c r="E17" s="116">
        <f t="shared" si="1"/>
        <v>32</v>
      </c>
      <c r="F17" s="850">
        <f>'1461'!F17:G17</f>
        <v>1</v>
      </c>
      <c r="G17" s="850"/>
      <c r="H17" s="80">
        <f t="shared" si="2"/>
        <v>32</v>
      </c>
      <c r="I17" s="101">
        <f t="shared" si="3"/>
        <v>178026.47</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0.5</v>
      </c>
      <c r="D20" s="143">
        <v>0</v>
      </c>
      <c r="E20" s="116">
        <f t="shared" si="1"/>
        <v>1</v>
      </c>
      <c r="F20" s="850">
        <f>'1461'!F20:G20</f>
        <v>3.609</v>
      </c>
      <c r="G20" s="850"/>
      <c r="H20" s="80">
        <f t="shared" si="2"/>
        <v>3.609</v>
      </c>
      <c r="I20" s="101">
        <f t="shared" si="3"/>
        <v>20078.05</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4.07</v>
      </c>
      <c r="D26" s="143">
        <v>0</v>
      </c>
      <c r="E26" s="116">
        <f t="shared" si="1"/>
        <v>8.14</v>
      </c>
      <c r="F26" s="850">
        <f>'1461'!F26:G26</f>
        <v>1.165</v>
      </c>
      <c r="G26" s="850"/>
      <c r="H26" s="80">
        <f t="shared" si="2"/>
        <v>9.4831000000000003</v>
      </c>
      <c r="I26" s="101">
        <f t="shared" si="3"/>
        <v>52757.59</v>
      </c>
      <c r="N26" s="851" t="s">
        <v>85</v>
      </c>
      <c r="O26" s="851"/>
      <c r="P26" s="848">
        <f t="shared" si="0"/>
        <v>0</v>
      </c>
      <c r="Q26" s="848"/>
      <c r="R26" s="852">
        <v>1</v>
      </c>
      <c r="S26" s="852"/>
      <c r="T26" s="95">
        <f t="shared" si="4"/>
        <v>0</v>
      </c>
      <c r="U26" s="491">
        <f t="shared" si="5"/>
        <v>0</v>
      </c>
    </row>
    <row r="27" spans="1:21" x14ac:dyDescent="0.25">
      <c r="A27" s="804" t="s">
        <v>86</v>
      </c>
      <c r="B27" s="804"/>
      <c r="C27" s="143">
        <v>0.87</v>
      </c>
      <c r="D27" s="143">
        <v>0</v>
      </c>
      <c r="E27" s="116">
        <f t="shared" si="1"/>
        <v>1.74</v>
      </c>
      <c r="F27" s="850">
        <f>'1461'!F27:G27</f>
        <v>1.165</v>
      </c>
      <c r="G27" s="850"/>
      <c r="H27" s="80">
        <f t="shared" si="2"/>
        <v>2.0270999999999999</v>
      </c>
      <c r="I27" s="101">
        <f t="shared" si="3"/>
        <v>11277.42</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135.5</v>
      </c>
      <c r="D30" s="94">
        <f>SUM(D14:D29)</f>
        <v>0</v>
      </c>
      <c r="E30" s="94">
        <f>SUM(E14:E29)</f>
        <v>271</v>
      </c>
      <c r="F30" s="808"/>
      <c r="G30" s="808"/>
      <c r="H30" s="99">
        <f>SUM(H14:H29)</f>
        <v>285.70009999999996</v>
      </c>
      <c r="I30" s="94">
        <f>SUM(I14:I29)</f>
        <v>1589443.16</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285.70009999999996</v>
      </c>
      <c r="F46" s="34"/>
      <c r="G46" s="106"/>
      <c r="H46" s="107" t="s">
        <v>98</v>
      </c>
      <c r="I46" s="94">
        <f>SUM(I44,I30)</f>
        <v>1589443.16</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1589443.16</v>
      </c>
      <c r="G51" s="109" t="s">
        <v>6</v>
      </c>
      <c r="H51" s="420">
        <f>'1461'!H51</f>
        <v>6.6699999999999995E-2</v>
      </c>
      <c r="I51" s="101">
        <f>ROUND(F51*H51,2)</f>
        <v>106015.86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1589443.16</v>
      </c>
      <c r="G52" s="109" t="s">
        <v>6</v>
      </c>
      <c r="H52" s="420">
        <f>'1461'!H52</f>
        <v>5.4000000000000003E-3</v>
      </c>
      <c r="I52" s="101">
        <f>ROUND(F52*H52,2)</f>
        <v>8582.99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114598.85</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5.5</v>
      </c>
      <c r="D57" s="143">
        <v>0</v>
      </c>
      <c r="E57" s="116">
        <f t="shared" ref="E57:E65" si="10">IF(D$66=0,C57*2,C57+D57)</f>
        <v>11</v>
      </c>
      <c r="F57" s="461" t="s">
        <v>451</v>
      </c>
      <c r="G57" s="461">
        <v>251</v>
      </c>
      <c r="H57" s="475">
        <f>'1461'!H57</f>
        <v>1047</v>
      </c>
      <c r="I57" s="101">
        <f>ROUND(E57*H57,2)</f>
        <v>11517</v>
      </c>
      <c r="N57" s="865" t="s">
        <v>459</v>
      </c>
      <c r="O57" s="865"/>
      <c r="P57" s="867"/>
      <c r="Q57" s="867"/>
      <c r="R57" s="467" t="s">
        <v>451</v>
      </c>
      <c r="S57" s="467">
        <v>251</v>
      </c>
      <c r="T57" s="478">
        <f>H57</f>
        <v>1047</v>
      </c>
      <c r="U57" s="492">
        <f>ROUND(P57*T57,2)</f>
        <v>0</v>
      </c>
      <c r="V57" s="442"/>
    </row>
    <row r="58" spans="1:22" x14ac:dyDescent="0.25">
      <c r="A58" s="815"/>
      <c r="B58" s="815"/>
      <c r="C58" s="143">
        <v>1</v>
      </c>
      <c r="D58" s="143">
        <v>0</v>
      </c>
      <c r="E58" s="116">
        <f t="shared" si="10"/>
        <v>2</v>
      </c>
      <c r="F58" s="461" t="s">
        <v>451</v>
      </c>
      <c r="G58" s="461">
        <v>252</v>
      </c>
      <c r="H58" s="475">
        <f>'1461'!H58</f>
        <v>3380</v>
      </c>
      <c r="I58" s="101">
        <f t="shared" ref="I58:I65" si="11">ROUND(E58*H58,2)</f>
        <v>6760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1</v>
      </c>
      <c r="D59" s="143">
        <v>0</v>
      </c>
      <c r="E59" s="116">
        <f t="shared" si="10"/>
        <v>2</v>
      </c>
      <c r="F59" s="461" t="s">
        <v>451</v>
      </c>
      <c r="G59" s="461">
        <v>253</v>
      </c>
      <c r="H59" s="475">
        <f>'1461'!H59</f>
        <v>6896</v>
      </c>
      <c r="I59" s="101">
        <f t="shared" si="11"/>
        <v>13792</v>
      </c>
      <c r="N59" s="866"/>
      <c r="O59" s="866"/>
      <c r="P59" s="868"/>
      <c r="Q59" s="868"/>
      <c r="R59" s="467" t="s">
        <v>451</v>
      </c>
      <c r="S59" s="467">
        <v>253</v>
      </c>
      <c r="T59" s="478">
        <f t="shared" si="12"/>
        <v>6896</v>
      </c>
      <c r="U59" s="492">
        <f t="shared" si="13"/>
        <v>0</v>
      </c>
      <c r="V59" s="442"/>
    </row>
    <row r="60" spans="1:22" x14ac:dyDescent="0.25">
      <c r="A60" s="815"/>
      <c r="B60" s="815"/>
      <c r="C60" s="143">
        <v>15</v>
      </c>
      <c r="D60" s="143">
        <v>0</v>
      </c>
      <c r="E60" s="116">
        <f t="shared" si="10"/>
        <v>30</v>
      </c>
      <c r="F60" s="462" t="s">
        <v>13</v>
      </c>
      <c r="G60" s="461">
        <v>251</v>
      </c>
      <c r="H60" s="475">
        <f>'1461'!H60</f>
        <v>1173</v>
      </c>
      <c r="I60" s="101">
        <f t="shared" si="11"/>
        <v>35190</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23.5</v>
      </c>
      <c r="D66" s="97">
        <f>SUM(D57:D65)</f>
        <v>0</v>
      </c>
      <c r="E66" s="97">
        <f>SUM(E57:E65)</f>
        <v>47</v>
      </c>
      <c r="F66" s="816" t="s">
        <v>460</v>
      </c>
      <c r="G66" s="816"/>
      <c r="H66" s="816"/>
      <c r="I66" s="97">
        <f>SUM(I57:I65)</f>
        <v>74271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271</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1.2589999999999999E-3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285.70009999999996</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1.2470000000000001E-3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271</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1.456E-3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271</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1.2600000000000001E-3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271</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1.4580000000000001E-3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1.2600000000000001E-3</v>
      </c>
      <c r="I85" s="101">
        <f>ROUND(F85*H85,2)</f>
        <v>59586.34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1.2589999999999999E-3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1.4580000000000001E-3</v>
      </c>
      <c r="I90" s="101">
        <f>ROUND(F90*H90,2)</f>
        <v>27946.77</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1.456E-3</v>
      </c>
      <c r="I92" s="101">
        <f t="shared" ref="I92:I96" si="14">ROUND(F92*H92,2)</f>
        <v>16812.27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1.2470000000000001E-3</v>
      </c>
      <c r="I94" s="101">
        <f t="shared" si="14"/>
        <v>335213.90000000002</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1.2470000000000001E-3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1.2589999999999999E-3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120.41300000000001</v>
      </c>
      <c r="D104" s="822"/>
      <c r="E104" s="46">
        <f>H8</f>
        <v>1.0355000000000001</v>
      </c>
      <c r="F104" s="302">
        <f>'1461'!F104</f>
        <v>958.42</v>
      </c>
      <c r="G104" s="39" t="s">
        <v>12</v>
      </c>
      <c r="H104" s="101">
        <f>ROUND(C104*E104*F104,2)</f>
        <v>119503.15</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165.28709999999998</v>
      </c>
      <c r="D105" s="822"/>
      <c r="E105" s="46">
        <f>H8</f>
        <v>1.0355000000000001</v>
      </c>
      <c r="F105" s="302">
        <f>'1461'!F105</f>
        <v>915.09</v>
      </c>
      <c r="G105" s="39" t="s">
        <v>12</v>
      </c>
      <c r="H105" s="101">
        <f>ROUND(C105*E105*F105,2)</f>
        <v>156622.04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285.70010000000002</v>
      </c>
      <c r="D107" s="812"/>
      <c r="E107" s="123"/>
      <c r="F107" s="123"/>
      <c r="G107" s="123"/>
      <c r="H107" s="124" t="s">
        <v>100</v>
      </c>
      <c r="I107" s="101">
        <f>IF(A1=75,0,H106+H105+H104)</f>
        <v>276125.19</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263</v>
      </c>
      <c r="D113" s="143">
        <v>254</v>
      </c>
      <c r="E113" s="116">
        <f>(C113+D113)/2</f>
        <v>258.5</v>
      </c>
      <c r="F113" s="126" t="s">
        <v>30</v>
      </c>
      <c r="G113" s="303">
        <f>'1461'!G113</f>
        <v>617</v>
      </c>
      <c r="I113" s="101">
        <f>ROUND(G113*E113,2)</f>
        <v>159494.5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2538893.13</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2424294.2799999998</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2424294.2799999998</v>
      </c>
      <c r="I135" s="94">
        <f>ROUND(IF(E30=0,0,IF(E30&gt;250,-(((250/E30)*H135)*IF(G135="H",0.02,0.05)),IF(G135="H",-0.02*H135,-0.05*H135))),2)</f>
        <v>-111821.69</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2427071.44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Payments'!Q83</f>
        <v>-199480.37</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2227591.0699999998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202508.28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9393.02</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CCCC"/>
  </sheetPr>
  <dimension ref="A1:V221"/>
  <sheetViews>
    <sheetView topLeftCell="A114"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117</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0</v>
      </c>
      <c r="D30" s="94">
        <f>SUM(D14:D29)</f>
        <v>0</v>
      </c>
      <c r="E30" s="94">
        <f>SUM(E14:E29)</f>
        <v>0</v>
      </c>
      <c r="F30" s="808"/>
      <c r="G30" s="808"/>
      <c r="H30" s="99">
        <f>SUM(H14:H29)</f>
        <v>0</v>
      </c>
      <c r="I30" s="94">
        <f>SUM(I14:I29)</f>
        <v>0</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0</v>
      </c>
      <c r="F46" s="34"/>
      <c r="G46" s="106"/>
      <c r="H46" s="107" t="s">
        <v>98</v>
      </c>
      <c r="I46" s="94">
        <f>SUM(I44,I30)</f>
        <v>0</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
        <v>519</v>
      </c>
      <c r="C51" s="26"/>
      <c r="D51" s="26"/>
      <c r="E51" s="43" t="s">
        <v>414</v>
      </c>
      <c r="F51" s="419"/>
      <c r="G51" s="109" t="s">
        <v>6</v>
      </c>
      <c r="H51" s="420">
        <v>6.6699999999999995E-2</v>
      </c>
      <c r="I51" s="101">
        <v>0</v>
      </c>
      <c r="N51" s="425"/>
      <c r="O51" s="426" t="s">
        <v>556</v>
      </c>
      <c r="P51" s="28"/>
      <c r="Q51" s="44" t="s">
        <v>414</v>
      </c>
      <c r="R51" s="427">
        <f>U30</f>
        <v>0</v>
      </c>
      <c r="S51" s="428" t="s">
        <v>6</v>
      </c>
      <c r="T51" s="429">
        <v>6.6699999999999995E-2</v>
      </c>
      <c r="U51" s="421">
        <f>ROUND(R51*T51,2)</f>
        <v>0</v>
      </c>
    </row>
    <row r="52" spans="1:22" x14ac:dyDescent="0.25">
      <c r="A52" s="26"/>
      <c r="B52" s="575" t="s">
        <v>522</v>
      </c>
      <c r="C52" s="26"/>
      <c r="D52" s="26"/>
      <c r="E52" s="43" t="s">
        <v>414</v>
      </c>
      <c r="F52" s="419"/>
      <c r="G52" s="109" t="s">
        <v>6</v>
      </c>
      <c r="H52" s="420">
        <v>5.4000000000000003E-3</v>
      </c>
      <c r="I52" s="101">
        <v>0</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0</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0</v>
      </c>
      <c r="D66" s="97">
        <f>SUM(D57:D65)</f>
        <v>0</v>
      </c>
      <c r="E66" s="97">
        <f>SUM(E57:E65)</f>
        <v>0</v>
      </c>
      <c r="F66" s="816" t="s">
        <v>460</v>
      </c>
      <c r="G66" s="816"/>
      <c r="H66" s="816"/>
      <c r="I66" s="97">
        <f>SUM(I57:I65)</f>
        <v>0</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0</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0</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0</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0</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0</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0</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0</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0</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0</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0</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0</v>
      </c>
      <c r="I85" s="101">
        <f>ROUND(F85*H85,2)</f>
        <v>0</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0</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0</v>
      </c>
      <c r="I90" s="101">
        <f>ROUND(F90*H90,2)</f>
        <v>0</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0</v>
      </c>
      <c r="I92" s="101">
        <f t="shared" ref="I92:I96" si="14">ROUND(F92*H92,2)</f>
        <v>0</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0</v>
      </c>
      <c r="I94" s="101">
        <f t="shared" si="14"/>
        <v>0</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0</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0</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0</v>
      </c>
      <c r="D107" s="812"/>
      <c r="E107" s="123"/>
      <c r="F107" s="123"/>
      <c r="G107" s="123"/>
      <c r="H107" s="124" t="s">
        <v>100</v>
      </c>
      <c r="I107" s="101">
        <f>IF(A1=75,0,H106+H105+H104)</f>
        <v>0</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0</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0</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v>1</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0</v>
      </c>
      <c r="I135" s="94">
        <f>ROUND(IF(E30=0,0,IF(E30&gt;250,-(((250/E30)*H135)*IF(G135="H",0.02,0.05)),IF(G135="H",-0.02*H135,-0.05*H135))),2)</f>
        <v>0</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v>0</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Payments'!Q84</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0</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v>0</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N73:S73"/>
    <mergeCell ref="T73:U73"/>
    <mergeCell ref="N76:S76"/>
    <mergeCell ref="T76:U76"/>
    <mergeCell ref="A78:B78"/>
    <mergeCell ref="D78:G78"/>
    <mergeCell ref="N78:O78"/>
    <mergeCell ref="Q78:S78"/>
    <mergeCell ref="T78:U78"/>
    <mergeCell ref="N79:S79"/>
    <mergeCell ref="T79:U79"/>
    <mergeCell ref="A81:B81"/>
    <mergeCell ref="D81:G81"/>
    <mergeCell ref="N81:O81"/>
    <mergeCell ref="Q81:S81"/>
    <mergeCell ref="T81:U81"/>
    <mergeCell ref="N82:S82"/>
    <mergeCell ref="A87:C87"/>
    <mergeCell ref="N87:P87"/>
    <mergeCell ref="T82:U8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A30:B30"/>
    <mergeCell ref="F30:G30"/>
    <mergeCell ref="N30:O30"/>
    <mergeCell ref="P30:Q30"/>
    <mergeCell ref="R30:S30"/>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A14:B14"/>
    <mergeCell ref="F14:G14"/>
    <mergeCell ref="N14:O14"/>
    <mergeCell ref="P14:Q14"/>
    <mergeCell ref="R14:S14"/>
    <mergeCell ref="A13:B13"/>
    <mergeCell ref="A15:B15"/>
    <mergeCell ref="F15:G15"/>
    <mergeCell ref="N15:O15"/>
    <mergeCell ref="P15:Q15"/>
    <mergeCell ref="R15:S15"/>
    <mergeCell ref="B1:I1"/>
    <mergeCell ref="O1:U1"/>
    <mergeCell ref="N2:U2"/>
    <mergeCell ref="N3:U3"/>
    <mergeCell ref="A4:B4"/>
    <mergeCell ref="C4:E4"/>
    <mergeCell ref="N4:O4"/>
    <mergeCell ref="P4:Q4"/>
    <mergeCell ref="A7:I7"/>
    <mergeCell ref="N7:U7"/>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CCCC"/>
  </sheetPr>
  <dimension ref="A1:V221"/>
  <sheetViews>
    <sheetView topLeftCell="A111"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118</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40.119999999999997</v>
      </c>
      <c r="D14" s="141">
        <v>0</v>
      </c>
      <c r="E14" s="187">
        <f>IF(D$30=0,C14*2,C14+D14)</f>
        <v>80.239999999999995</v>
      </c>
      <c r="F14" s="846">
        <f>'1461'!F14:G14</f>
        <v>1.1080000000000001</v>
      </c>
      <c r="G14" s="846"/>
      <c r="H14" s="145">
        <f>ROUND(E14*F14,4)</f>
        <v>88.905900000000003</v>
      </c>
      <c r="I14" s="111">
        <f>ROUND(ROUND(ROUND(H14*$C$8,4)*($H$8),2)*(MAX($H$9,1)),2)</f>
        <v>494612.62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5</v>
      </c>
      <c r="D15" s="143">
        <v>0</v>
      </c>
      <c r="E15" s="116">
        <f t="shared" ref="E15:E29" si="1">IF(D$30=0,C15*2,C15+D15)</f>
        <v>10</v>
      </c>
      <c r="F15" s="850">
        <f>'1461'!F15:G15</f>
        <v>1.1080000000000001</v>
      </c>
      <c r="G15" s="850"/>
      <c r="H15" s="80">
        <f t="shared" ref="H15:H29" si="2">ROUND(E15*F15,4)</f>
        <v>11.08</v>
      </c>
      <c r="I15" s="101">
        <f t="shared" ref="I15:I29" si="3">ROUND(ROUND(ROUND(H15*$C$8,4)*($H$8),2)*(MAX($H$9,1)),2)</f>
        <v>61641.67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17</v>
      </c>
      <c r="D16" s="143">
        <v>0</v>
      </c>
      <c r="E16" s="116">
        <f t="shared" si="1"/>
        <v>34</v>
      </c>
      <c r="F16" s="850">
        <f>'1461'!F16:G16</f>
        <v>1</v>
      </c>
      <c r="G16" s="850"/>
      <c r="H16" s="80">
        <f t="shared" si="2"/>
        <v>34</v>
      </c>
      <c r="I16" s="101">
        <f t="shared" si="3"/>
        <v>189153.13</v>
      </c>
      <c r="N16" s="851" t="s">
        <v>22</v>
      </c>
      <c r="O16" s="851"/>
      <c r="P16" s="848">
        <f t="shared" si="0"/>
        <v>0</v>
      </c>
      <c r="Q16" s="848"/>
      <c r="R16" s="852">
        <v>1</v>
      </c>
      <c r="S16" s="852"/>
      <c r="T16" s="95">
        <f t="shared" si="4"/>
        <v>0</v>
      </c>
      <c r="U16" s="491">
        <f t="shared" si="5"/>
        <v>0</v>
      </c>
    </row>
    <row r="17" spans="1:21" x14ac:dyDescent="0.25">
      <c r="A17" s="804" t="s">
        <v>23</v>
      </c>
      <c r="B17" s="804"/>
      <c r="C17" s="143">
        <v>2.5</v>
      </c>
      <c r="D17" s="143">
        <v>0</v>
      </c>
      <c r="E17" s="116">
        <f t="shared" si="1"/>
        <v>5</v>
      </c>
      <c r="F17" s="850">
        <f>'1461'!F17:G17</f>
        <v>1</v>
      </c>
      <c r="G17" s="850"/>
      <c r="H17" s="80">
        <f t="shared" si="2"/>
        <v>5</v>
      </c>
      <c r="I17" s="101">
        <f t="shared" si="3"/>
        <v>27816.639999999999</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26.379999999999995</v>
      </c>
      <c r="D26" s="143">
        <v>0</v>
      </c>
      <c r="E26" s="116">
        <f t="shared" si="1"/>
        <v>52.759999999999991</v>
      </c>
      <c r="F26" s="850">
        <f>'1461'!F26:G26</f>
        <v>1.165</v>
      </c>
      <c r="G26" s="850"/>
      <c r="H26" s="80">
        <f t="shared" si="2"/>
        <v>61.465400000000002</v>
      </c>
      <c r="I26" s="101">
        <f t="shared" si="3"/>
        <v>341952.14</v>
      </c>
      <c r="N26" s="851" t="s">
        <v>85</v>
      </c>
      <c r="O26" s="851"/>
      <c r="P26" s="848">
        <f t="shared" si="0"/>
        <v>0</v>
      </c>
      <c r="Q26" s="848"/>
      <c r="R26" s="852">
        <v>1</v>
      </c>
      <c r="S26" s="852"/>
      <c r="T26" s="95">
        <f t="shared" si="4"/>
        <v>0</v>
      </c>
      <c r="U26" s="491">
        <f t="shared" si="5"/>
        <v>0</v>
      </c>
    </row>
    <row r="27" spans="1:21" x14ac:dyDescent="0.25">
      <c r="A27" s="804" t="s">
        <v>86</v>
      </c>
      <c r="B27" s="804"/>
      <c r="C27" s="143">
        <v>5</v>
      </c>
      <c r="D27" s="143">
        <v>0</v>
      </c>
      <c r="E27" s="116">
        <f t="shared" si="1"/>
        <v>10</v>
      </c>
      <c r="F27" s="850">
        <f>'1461'!F27:G27</f>
        <v>1.165</v>
      </c>
      <c r="G27" s="850"/>
      <c r="H27" s="80">
        <f t="shared" si="2"/>
        <v>11.65</v>
      </c>
      <c r="I27" s="101">
        <f t="shared" si="3"/>
        <v>64812.76</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96</v>
      </c>
      <c r="D30" s="94">
        <f>SUM(D14:D29)</f>
        <v>0</v>
      </c>
      <c r="E30" s="94">
        <f>SUM(E14:E29)</f>
        <v>192</v>
      </c>
      <c r="F30" s="808"/>
      <c r="G30" s="808"/>
      <c r="H30" s="99">
        <f>SUM(H14:H29)</f>
        <v>212.10130000000001</v>
      </c>
      <c r="I30" s="94">
        <f>SUM(I14:I29)</f>
        <v>1179988.9600000002</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212.10130000000001</v>
      </c>
      <c r="F46" s="34"/>
      <c r="G46" s="106"/>
      <c r="H46" s="107" t="s">
        <v>98</v>
      </c>
      <c r="I46" s="94">
        <f>SUM(I44,I30)</f>
        <v>1179988.9600000002</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1179988.9600000002</v>
      </c>
      <c r="G51" s="109" t="s">
        <v>6</v>
      </c>
      <c r="H51" s="420">
        <f>'1461'!H51</f>
        <v>6.6699999999999995E-2</v>
      </c>
      <c r="I51" s="101">
        <f>ROUND(F51*H51,2)</f>
        <v>78705.259999999995</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1179988.9600000002</v>
      </c>
      <c r="G52" s="109" t="s">
        <v>6</v>
      </c>
      <c r="H52" s="420">
        <f>'1461'!H52</f>
        <v>5.4000000000000003E-3</v>
      </c>
      <c r="I52" s="101">
        <f>ROUND(F52*H52,2)</f>
        <v>6371.94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85077.2</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5</v>
      </c>
      <c r="D57" s="143">
        <v>0</v>
      </c>
      <c r="E57" s="116">
        <f t="shared" ref="E57:E65" si="10">IF(D$66=0,C57*2,C57+D57)</f>
        <v>10</v>
      </c>
      <c r="F57" s="461" t="s">
        <v>451</v>
      </c>
      <c r="G57" s="461">
        <v>251</v>
      </c>
      <c r="H57" s="475">
        <f>'1461'!H57</f>
        <v>1047</v>
      </c>
      <c r="I57" s="101">
        <f>ROUND(E57*H57,2)</f>
        <v>10470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2</v>
      </c>
      <c r="D60" s="143">
        <v>0</v>
      </c>
      <c r="E60" s="116">
        <f t="shared" si="10"/>
        <v>4</v>
      </c>
      <c r="F60" s="462" t="s">
        <v>13</v>
      </c>
      <c r="G60" s="461">
        <v>251</v>
      </c>
      <c r="H60" s="475">
        <f>'1461'!H60</f>
        <v>1173</v>
      </c>
      <c r="I60" s="101">
        <f t="shared" si="11"/>
        <v>4692</v>
      </c>
      <c r="N60" s="866"/>
      <c r="O60" s="866"/>
      <c r="P60" s="868"/>
      <c r="Q60" s="868"/>
      <c r="R60" s="40" t="s">
        <v>13</v>
      </c>
      <c r="S60" s="467">
        <v>251</v>
      </c>
      <c r="T60" s="478">
        <f t="shared" si="12"/>
        <v>1173</v>
      </c>
      <c r="U60" s="492">
        <f t="shared" si="13"/>
        <v>0</v>
      </c>
      <c r="V60" s="442"/>
    </row>
    <row r="61" spans="1:22" x14ac:dyDescent="0.25">
      <c r="A61" s="815"/>
      <c r="B61" s="815"/>
      <c r="C61" s="143">
        <v>0.5</v>
      </c>
      <c r="D61" s="143">
        <v>0</v>
      </c>
      <c r="E61" s="116">
        <f t="shared" si="10"/>
        <v>1</v>
      </c>
      <c r="F61" s="462" t="s">
        <v>13</v>
      </c>
      <c r="G61" s="461">
        <v>252</v>
      </c>
      <c r="H61" s="475">
        <f>'1461'!H61</f>
        <v>3506</v>
      </c>
      <c r="I61" s="101">
        <f t="shared" si="11"/>
        <v>3506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7.5</v>
      </c>
      <c r="D66" s="97">
        <f>SUM(D57:D65)</f>
        <v>0</v>
      </c>
      <c r="E66" s="97">
        <f>SUM(E57:E65)</f>
        <v>15</v>
      </c>
      <c r="F66" s="816" t="s">
        <v>460</v>
      </c>
      <c r="G66" s="816"/>
      <c r="H66" s="816"/>
      <c r="I66" s="97">
        <f>SUM(I57:I65)</f>
        <v>18668</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192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8.92E-4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212.10130000000001</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9.2599999999999996E-4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192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1.031E-3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192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8.9300000000000002E-4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192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1.0330000000000001E-3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8.9300000000000002E-4</v>
      </c>
      <c r="I85" s="101">
        <f>ROUND(F85*H85,2)</f>
        <v>42230.64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8.92E-4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1.0330000000000001E-3</v>
      </c>
      <c r="I90" s="101">
        <f>ROUND(F90*H90,2)</f>
        <v>19800.419999999998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1.031E-3</v>
      </c>
      <c r="I92" s="101">
        <f t="shared" ref="I92:I96" si="14">ROUND(F92*H92,2)</f>
        <v>11904.84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9.2599999999999996E-4</v>
      </c>
      <c r="I94" s="101">
        <f t="shared" si="14"/>
        <v>248923.87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9.2599999999999996E-4</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8.92E-4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161.4513</v>
      </c>
      <c r="D104" s="822"/>
      <c r="E104" s="46">
        <f>H8</f>
        <v>1.0355000000000001</v>
      </c>
      <c r="F104" s="302">
        <f>'1461'!F104</f>
        <v>958.42</v>
      </c>
      <c r="G104" s="39" t="s">
        <v>12</v>
      </c>
      <c r="H104" s="101">
        <f>ROUND(C104*E104*F104,2)</f>
        <v>160231.35999999999</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50.65</v>
      </c>
      <c r="D105" s="822"/>
      <c r="E105" s="46">
        <f>H8</f>
        <v>1.0355000000000001</v>
      </c>
      <c r="F105" s="302">
        <f>'1461'!F105</f>
        <v>915.09</v>
      </c>
      <c r="G105" s="39" t="s">
        <v>12</v>
      </c>
      <c r="H105" s="101">
        <f>ROUND(C105*E105*F105,2)</f>
        <v>47994.71</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212.10130000000001</v>
      </c>
      <c r="D107" s="812"/>
      <c r="E107" s="123"/>
      <c r="F107" s="123"/>
      <c r="G107" s="123"/>
      <c r="H107" s="124" t="s">
        <v>100</v>
      </c>
      <c r="I107" s="101">
        <f>IF(A1=75,0,H106+H105+H104)</f>
        <v>208226.06999999998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9</v>
      </c>
      <c r="D113" s="143">
        <v>10</v>
      </c>
      <c r="E113" s="116">
        <f>(C113+D113)/2</f>
        <v>9.5</v>
      </c>
      <c r="F113" s="126" t="s">
        <v>30</v>
      </c>
      <c r="G113" s="303">
        <f>'1461'!G113</f>
        <v>617</v>
      </c>
      <c r="I113" s="101">
        <f>ROUND(G113*E113,2)</f>
        <v>5861.5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1735604.3</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1650527.1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1650527.1</v>
      </c>
      <c r="I135" s="94">
        <f>ROUND(IF(E30=0,0,IF(E30&gt;250,-(((250/E30)*H135)*IF(G135="H",0.02,0.05)),IF(G135="H",-0.02*H135,-0.05*H135))),2)</f>
        <v>-82526.36</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1653077.94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Payments'!Q85</f>
        <v>-136646.84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1516431.0999999999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137857.37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CCCC"/>
  </sheetPr>
  <dimension ref="A1:V221"/>
  <sheetViews>
    <sheetView topLeftCell="A99"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285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75</v>
      </c>
      <c r="D14" s="141">
        <v>0</v>
      </c>
      <c r="E14" s="187">
        <f>IF(D$30=0,C14*2,C14+D14)</f>
        <v>150</v>
      </c>
      <c r="F14" s="846">
        <f>'1461'!F14:G14</f>
        <v>1.1080000000000001</v>
      </c>
      <c r="G14" s="846"/>
      <c r="H14" s="145">
        <f>ROUND(E14*F14,4)</f>
        <v>166.2</v>
      </c>
      <c r="I14" s="111">
        <f>ROUND(ROUND(ROUND(H14*$C$8,4)*($H$8),2)*(MAX($H$9,1)),2)</f>
        <v>924625</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8</v>
      </c>
      <c r="D15" s="143">
        <v>0</v>
      </c>
      <c r="E15" s="116">
        <f t="shared" ref="E15:E29" si="1">IF(D$30=0,C15*2,C15+D15)</f>
        <v>16</v>
      </c>
      <c r="F15" s="850">
        <f>'1461'!F15:G15</f>
        <v>1.1080000000000001</v>
      </c>
      <c r="G15" s="850"/>
      <c r="H15" s="80">
        <f t="shared" ref="H15:H29" si="2">ROUND(E15*F15,4)</f>
        <v>17.728000000000002</v>
      </c>
      <c r="I15" s="101">
        <f t="shared" ref="I15:I29" si="3">ROUND(ROUND(ROUND(H15*$C$8,4)*($H$8),2)*(MAX($H$9,1)),2)</f>
        <v>98626.67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101.7</v>
      </c>
      <c r="D16" s="143">
        <v>0</v>
      </c>
      <c r="E16" s="116">
        <f t="shared" si="1"/>
        <v>203.4</v>
      </c>
      <c r="F16" s="850">
        <f>'1461'!F16:G16</f>
        <v>1</v>
      </c>
      <c r="G16" s="850"/>
      <c r="H16" s="80">
        <f t="shared" si="2"/>
        <v>203.4</v>
      </c>
      <c r="I16" s="101">
        <f t="shared" si="3"/>
        <v>1131580.77</v>
      </c>
      <c r="N16" s="851" t="s">
        <v>22</v>
      </c>
      <c r="O16" s="851"/>
      <c r="P16" s="848">
        <f t="shared" si="0"/>
        <v>0</v>
      </c>
      <c r="Q16" s="848"/>
      <c r="R16" s="852">
        <v>1</v>
      </c>
      <c r="S16" s="852"/>
      <c r="T16" s="95">
        <f t="shared" si="4"/>
        <v>0</v>
      </c>
      <c r="U16" s="491">
        <f t="shared" si="5"/>
        <v>0</v>
      </c>
    </row>
    <row r="17" spans="1:21" x14ac:dyDescent="0.25">
      <c r="A17" s="804" t="s">
        <v>23</v>
      </c>
      <c r="B17" s="804"/>
      <c r="C17" s="143">
        <v>17.5</v>
      </c>
      <c r="D17" s="143">
        <v>0</v>
      </c>
      <c r="E17" s="116">
        <f t="shared" si="1"/>
        <v>35</v>
      </c>
      <c r="F17" s="850">
        <f>'1461'!F17:G17</f>
        <v>1</v>
      </c>
      <c r="G17" s="850"/>
      <c r="H17" s="80">
        <f t="shared" si="2"/>
        <v>35</v>
      </c>
      <c r="I17" s="101">
        <f t="shared" si="3"/>
        <v>194716.46</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43.5</v>
      </c>
      <c r="D26" s="143">
        <v>0</v>
      </c>
      <c r="E26" s="116">
        <f t="shared" si="1"/>
        <v>87</v>
      </c>
      <c r="F26" s="850">
        <f>'1461'!F26:G26</f>
        <v>1.165</v>
      </c>
      <c r="G26" s="850"/>
      <c r="H26" s="80">
        <f t="shared" si="2"/>
        <v>101.355</v>
      </c>
      <c r="I26" s="101">
        <f t="shared" si="3"/>
        <v>563871.04</v>
      </c>
      <c r="N26" s="851" t="s">
        <v>85</v>
      </c>
      <c r="O26" s="851"/>
      <c r="P26" s="848">
        <f t="shared" si="0"/>
        <v>0</v>
      </c>
      <c r="Q26" s="848"/>
      <c r="R26" s="852">
        <v>1</v>
      </c>
      <c r="S26" s="852"/>
      <c r="T26" s="95">
        <f t="shared" si="4"/>
        <v>0</v>
      </c>
      <c r="U26" s="491">
        <f t="shared" si="5"/>
        <v>0</v>
      </c>
    </row>
    <row r="27" spans="1:21" x14ac:dyDescent="0.25">
      <c r="A27" s="804" t="s">
        <v>86</v>
      </c>
      <c r="B27" s="804"/>
      <c r="C27" s="143">
        <v>11.81</v>
      </c>
      <c r="D27" s="143">
        <v>0</v>
      </c>
      <c r="E27" s="116">
        <f t="shared" si="1"/>
        <v>23.62</v>
      </c>
      <c r="F27" s="850">
        <f>'1461'!F27:G27</f>
        <v>1.165</v>
      </c>
      <c r="G27" s="850"/>
      <c r="H27" s="80">
        <f t="shared" si="2"/>
        <v>27.517299999999999</v>
      </c>
      <c r="I27" s="101">
        <f t="shared" si="3"/>
        <v>153087.75</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257.51</v>
      </c>
      <c r="D30" s="94">
        <f>SUM(D14:D29)</f>
        <v>0</v>
      </c>
      <c r="E30" s="94">
        <f>SUM(E14:E29)</f>
        <v>515.02</v>
      </c>
      <c r="F30" s="808"/>
      <c r="G30" s="808"/>
      <c r="H30" s="99">
        <f>SUM(H14:H29)</f>
        <v>551.20029999999997</v>
      </c>
      <c r="I30" s="94">
        <f>SUM(I14:I29)</f>
        <v>3066507.69</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551.20029999999997</v>
      </c>
      <c r="F46" s="34"/>
      <c r="G46" s="106"/>
      <c r="H46" s="107" t="s">
        <v>98</v>
      </c>
      <c r="I46" s="94">
        <f>SUM(I44,I30)</f>
        <v>3066507.69</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3066507.69</v>
      </c>
      <c r="G51" s="109" t="s">
        <v>6</v>
      </c>
      <c r="H51" s="420">
        <f>'1461'!H51</f>
        <v>6.6699999999999995E-2</v>
      </c>
      <c r="I51" s="101">
        <f>ROUND(F51*H51,2)</f>
        <v>204536.06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3066507.69</v>
      </c>
      <c r="G52" s="109" t="s">
        <v>6</v>
      </c>
      <c r="H52" s="420">
        <f>'1461'!H52</f>
        <v>5.4000000000000003E-3</v>
      </c>
      <c r="I52" s="101">
        <f>ROUND(F52*H52,2)</f>
        <v>16559.14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221095.2</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7.5</v>
      </c>
      <c r="D57" s="143">
        <v>0</v>
      </c>
      <c r="E57" s="116">
        <f t="shared" ref="E57:E65" si="10">IF(D$66=0,C57*2,C57+D57)</f>
        <v>15</v>
      </c>
      <c r="F57" s="461" t="s">
        <v>451</v>
      </c>
      <c r="G57" s="461">
        <v>251</v>
      </c>
      <c r="H57" s="475">
        <f>'1461'!H57</f>
        <v>1047</v>
      </c>
      <c r="I57" s="101">
        <f>ROUND(E57*H57,2)</f>
        <v>15705</v>
      </c>
      <c r="N57" s="865" t="s">
        <v>459</v>
      </c>
      <c r="O57" s="865"/>
      <c r="P57" s="867"/>
      <c r="Q57" s="867"/>
      <c r="R57" s="467" t="s">
        <v>451</v>
      </c>
      <c r="S57" s="467">
        <v>251</v>
      </c>
      <c r="T57" s="478">
        <f>H57</f>
        <v>1047</v>
      </c>
      <c r="U57" s="492">
        <f>ROUND(P57*T57,2)</f>
        <v>0</v>
      </c>
      <c r="V57" s="442"/>
    </row>
    <row r="58" spans="1:22" x14ac:dyDescent="0.25">
      <c r="A58" s="815"/>
      <c r="B58" s="815"/>
      <c r="C58" s="143">
        <v>0.5</v>
      </c>
      <c r="D58" s="143">
        <v>0</v>
      </c>
      <c r="E58" s="116">
        <f t="shared" si="10"/>
        <v>1</v>
      </c>
      <c r="F58" s="461" t="s">
        <v>451</v>
      </c>
      <c r="G58" s="461">
        <v>252</v>
      </c>
      <c r="H58" s="475">
        <f>'1461'!H58</f>
        <v>3380</v>
      </c>
      <c r="I58" s="101">
        <f t="shared" ref="I58:I65" si="11">ROUND(E58*H58,2)</f>
        <v>3380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16.5</v>
      </c>
      <c r="D60" s="143">
        <v>0</v>
      </c>
      <c r="E60" s="116">
        <f t="shared" si="10"/>
        <v>33</v>
      </c>
      <c r="F60" s="462" t="s">
        <v>13</v>
      </c>
      <c r="G60" s="461">
        <v>251</v>
      </c>
      <c r="H60" s="475">
        <f>'1461'!H60</f>
        <v>1173</v>
      </c>
      <c r="I60" s="101">
        <f t="shared" si="11"/>
        <v>38709</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25.5</v>
      </c>
      <c r="D66" s="97">
        <f>SUM(D57:D65)</f>
        <v>0</v>
      </c>
      <c r="E66" s="97">
        <f>SUM(E57:E65)</f>
        <v>51</v>
      </c>
      <c r="F66" s="816" t="s">
        <v>460</v>
      </c>
      <c r="G66" s="816"/>
      <c r="H66" s="816"/>
      <c r="I66" s="97">
        <f>SUM(I57:I65)</f>
        <v>64806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515.02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2.392E-3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551.20029999999997</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2.4060000000000002E-3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515.02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2.7669999999999999E-3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515.02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2.395E-3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515.02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2.771E-3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2.395E-3</v>
      </c>
      <c r="I85" s="101">
        <f>ROUND(F85*H85,2)</f>
        <v>113261.34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2.392E-3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2.771E-3</v>
      </c>
      <c r="I90" s="101">
        <f>ROUND(F90*H90,2)</f>
        <v>53114.2</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2.7669999999999999E-3</v>
      </c>
      <c r="I92" s="101">
        <f t="shared" ref="I92:I96" si="14">ROUND(F92*H92,2)</f>
        <v>31950.240000000002</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2.4060000000000002E-3</v>
      </c>
      <c r="I94" s="101">
        <f t="shared" si="14"/>
        <v>646771.96</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2.4060000000000002E-3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2.392E-3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285.28300000000002</v>
      </c>
      <c r="D104" s="822"/>
      <c r="E104" s="46">
        <f>H8</f>
        <v>1.0355000000000001</v>
      </c>
      <c r="F104" s="302">
        <f>'1461'!F104</f>
        <v>958.42</v>
      </c>
      <c r="G104" s="39" t="s">
        <v>12</v>
      </c>
      <c r="H104" s="101">
        <f>ROUND(C104*E104*F104,2)</f>
        <v>283127.38</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265.91730000000001</v>
      </c>
      <c r="D105" s="822"/>
      <c r="E105" s="46">
        <f>H8</f>
        <v>1.0355000000000001</v>
      </c>
      <c r="F105" s="302">
        <f>'1461'!F105</f>
        <v>915.09</v>
      </c>
      <c r="G105" s="39" t="s">
        <v>12</v>
      </c>
      <c r="H105" s="101">
        <f>ROUND(C105*E105*F105,2)</f>
        <v>251976.77</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551.20029999999997</v>
      </c>
      <c r="D107" s="812"/>
      <c r="E107" s="123"/>
      <c r="F107" s="123"/>
      <c r="G107" s="123"/>
      <c r="H107" s="124" t="s">
        <v>100</v>
      </c>
      <c r="I107" s="101">
        <f>IF(A1=75,0,H106+H105+H104)</f>
        <v>535104.15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17</v>
      </c>
      <c r="D113" s="143">
        <v>18</v>
      </c>
      <c r="E113" s="116">
        <f>(C113+D113)/2</f>
        <v>17.5</v>
      </c>
      <c r="F113" s="126" t="s">
        <v>30</v>
      </c>
      <c r="G113" s="303">
        <f>'1461'!G113</f>
        <v>617</v>
      </c>
      <c r="I113" s="101">
        <f>ROUND(G113*E113,2)</f>
        <v>10797.5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4522313.08</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4301217.88</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4301217.88</v>
      </c>
      <c r="I135" s="94">
        <f>ROUND(IF(E30=0,0,IF(E30&gt;250,-(((250/E30)*H135)*IF(G135="H",0.02,0.05)),IF(G135="H",-0.02*H135,-0.05*H135))),2)</f>
        <v>-104394.44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4417918.6399999997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Payments'!Q86</f>
        <v>-363962.87</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4053955.7699999996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368541.43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110666.45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CCCC"/>
  </sheetPr>
  <dimension ref="A1:V221"/>
  <sheetViews>
    <sheetView topLeftCell="A111"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119</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61.03</v>
      </c>
      <c r="D16" s="143">
        <v>0</v>
      </c>
      <c r="E16" s="116">
        <f t="shared" si="1"/>
        <v>122.06</v>
      </c>
      <c r="F16" s="850">
        <f>'1461'!F16:G16</f>
        <v>1</v>
      </c>
      <c r="G16" s="850"/>
      <c r="H16" s="80">
        <f t="shared" si="2"/>
        <v>122.06</v>
      </c>
      <c r="I16" s="101">
        <f t="shared" si="3"/>
        <v>679059.73</v>
      </c>
      <c r="N16" s="851" t="s">
        <v>22</v>
      </c>
      <c r="O16" s="851"/>
      <c r="P16" s="848">
        <f t="shared" si="0"/>
        <v>0</v>
      </c>
      <c r="Q16" s="848"/>
      <c r="R16" s="852">
        <v>1</v>
      </c>
      <c r="S16" s="852"/>
      <c r="T16" s="95">
        <f t="shared" si="4"/>
        <v>0</v>
      </c>
      <c r="U16" s="491">
        <f t="shared" si="5"/>
        <v>0</v>
      </c>
    </row>
    <row r="17" spans="1:21" x14ac:dyDescent="0.25">
      <c r="A17" s="804" t="s">
        <v>23</v>
      </c>
      <c r="B17" s="804"/>
      <c r="C17" s="143">
        <v>8</v>
      </c>
      <c r="D17" s="143">
        <v>0</v>
      </c>
      <c r="E17" s="116">
        <f t="shared" si="1"/>
        <v>16</v>
      </c>
      <c r="F17" s="850">
        <f>'1461'!F17:G17</f>
        <v>1</v>
      </c>
      <c r="G17" s="850"/>
      <c r="H17" s="80">
        <f t="shared" si="2"/>
        <v>16</v>
      </c>
      <c r="I17" s="101">
        <f t="shared" si="3"/>
        <v>89013.24</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210.2</v>
      </c>
      <c r="D18" s="143">
        <v>0</v>
      </c>
      <c r="E18" s="116">
        <f t="shared" si="1"/>
        <v>420.4</v>
      </c>
      <c r="F18" s="850">
        <f>'1461'!F18:G18</f>
        <v>0.97199999999999998</v>
      </c>
      <c r="G18" s="850"/>
      <c r="H18" s="80">
        <f t="shared" si="2"/>
        <v>408.62880000000001</v>
      </c>
      <c r="I18" s="101">
        <f t="shared" si="3"/>
        <v>2273335.7599999998</v>
      </c>
      <c r="N18" s="851" t="s">
        <v>24</v>
      </c>
      <c r="O18" s="851"/>
      <c r="P18" s="848">
        <f t="shared" si="0"/>
        <v>0</v>
      </c>
      <c r="Q18" s="848"/>
      <c r="R18" s="852">
        <v>1</v>
      </c>
      <c r="S18" s="852"/>
      <c r="T18" s="95">
        <f t="shared" si="4"/>
        <v>0</v>
      </c>
      <c r="U18" s="491">
        <f t="shared" si="5"/>
        <v>0</v>
      </c>
    </row>
    <row r="19" spans="1:21" x14ac:dyDescent="0.25">
      <c r="A19" s="804" t="s">
        <v>25</v>
      </c>
      <c r="B19" s="804"/>
      <c r="C19" s="143">
        <v>37.5</v>
      </c>
      <c r="D19" s="143">
        <v>0</v>
      </c>
      <c r="E19" s="116">
        <f t="shared" si="1"/>
        <v>75</v>
      </c>
      <c r="F19" s="850">
        <f>'1461'!F19:G19</f>
        <v>0.97199999999999998</v>
      </c>
      <c r="G19" s="850"/>
      <c r="H19" s="80">
        <f t="shared" si="2"/>
        <v>72.900000000000006</v>
      </c>
      <c r="I19" s="101">
        <f t="shared" si="3"/>
        <v>405566.56</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4.79</v>
      </c>
      <c r="D27" s="143">
        <v>0</v>
      </c>
      <c r="E27" s="116">
        <f t="shared" si="1"/>
        <v>9.58</v>
      </c>
      <c r="F27" s="850">
        <f>'1461'!F27:G27</f>
        <v>1.165</v>
      </c>
      <c r="G27" s="850"/>
      <c r="H27" s="80">
        <f t="shared" si="2"/>
        <v>11.1607</v>
      </c>
      <c r="I27" s="101">
        <f t="shared" si="3"/>
        <v>62090.63</v>
      </c>
      <c r="N27" s="851" t="s">
        <v>86</v>
      </c>
      <c r="O27" s="851"/>
      <c r="P27" s="848">
        <f t="shared" si="0"/>
        <v>0</v>
      </c>
      <c r="Q27" s="848"/>
      <c r="R27" s="852">
        <v>1</v>
      </c>
      <c r="S27" s="852"/>
      <c r="T27" s="95">
        <f t="shared" si="4"/>
        <v>0</v>
      </c>
      <c r="U27" s="491">
        <f t="shared" si="5"/>
        <v>0</v>
      </c>
    </row>
    <row r="28" spans="1:21" x14ac:dyDescent="0.25">
      <c r="A28" s="804" t="s">
        <v>87</v>
      </c>
      <c r="B28" s="804"/>
      <c r="C28" s="143">
        <v>9.27</v>
      </c>
      <c r="D28" s="143">
        <v>0</v>
      </c>
      <c r="E28" s="116">
        <f t="shared" si="1"/>
        <v>18.54</v>
      </c>
      <c r="F28" s="850">
        <f>'1461'!F28:G28</f>
        <v>1.165</v>
      </c>
      <c r="G28" s="850"/>
      <c r="H28" s="80">
        <f t="shared" si="2"/>
        <v>21.5991</v>
      </c>
      <c r="I28" s="101">
        <f t="shared" si="3"/>
        <v>120162.86</v>
      </c>
      <c r="N28" s="851" t="s">
        <v>87</v>
      </c>
      <c r="O28" s="851"/>
      <c r="P28" s="848">
        <f t="shared" si="0"/>
        <v>0</v>
      </c>
      <c r="Q28" s="848"/>
      <c r="R28" s="852">
        <v>1</v>
      </c>
      <c r="S28" s="852"/>
      <c r="T28" s="95">
        <f t="shared" si="4"/>
        <v>0</v>
      </c>
      <c r="U28" s="491">
        <f t="shared" si="5"/>
        <v>0</v>
      </c>
    </row>
    <row r="29" spans="1:21" x14ac:dyDescent="0.25">
      <c r="A29" s="804" t="s">
        <v>88</v>
      </c>
      <c r="B29" s="804"/>
      <c r="C29" s="110">
        <v>22.65</v>
      </c>
      <c r="D29" s="110">
        <v>0</v>
      </c>
      <c r="E29" s="116">
        <f t="shared" si="1"/>
        <v>45.3</v>
      </c>
      <c r="F29" s="850">
        <f>'1461'!F29:G29</f>
        <v>1.081</v>
      </c>
      <c r="G29" s="850"/>
      <c r="H29" s="93">
        <f t="shared" si="2"/>
        <v>48.969299999999997</v>
      </c>
      <c r="I29" s="94">
        <f t="shared" si="3"/>
        <v>272432.24</v>
      </c>
      <c r="N29" s="853" t="s">
        <v>88</v>
      </c>
      <c r="O29" s="853"/>
      <c r="P29" s="848">
        <f t="shared" si="0"/>
        <v>0</v>
      </c>
      <c r="Q29" s="848"/>
      <c r="R29" s="854">
        <v>1</v>
      </c>
      <c r="S29" s="854"/>
      <c r="T29" s="95">
        <f t="shared" si="4"/>
        <v>0</v>
      </c>
      <c r="U29" s="491">
        <f t="shared" si="5"/>
        <v>0</v>
      </c>
    </row>
    <row r="30" spans="1:21" x14ac:dyDescent="0.25">
      <c r="A30" s="816" t="s">
        <v>5</v>
      </c>
      <c r="B30" s="816"/>
      <c r="C30" s="94">
        <f>SUM(C14:C29)</f>
        <v>353.44</v>
      </c>
      <c r="D30" s="94">
        <f>SUM(D14:D29)</f>
        <v>0</v>
      </c>
      <c r="E30" s="97">
        <f>SUM(E14:E29)</f>
        <v>706.88</v>
      </c>
      <c r="F30" s="808"/>
      <c r="G30" s="808"/>
      <c r="H30" s="99">
        <f>SUM(H14:H29)</f>
        <v>701.31790000000001</v>
      </c>
      <c r="I30" s="94">
        <f>SUM(I14:I29)</f>
        <v>3901661.0199999996</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701.31790000000001</v>
      </c>
      <c r="F46" s="34"/>
      <c r="G46" s="106"/>
      <c r="H46" s="107" t="s">
        <v>98</v>
      </c>
      <c r="I46" s="94">
        <f>SUM(I44,I30)</f>
        <v>3901661.0199999996</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3901661.0199999996</v>
      </c>
      <c r="G51" s="109" t="s">
        <v>6</v>
      </c>
      <c r="H51" s="420">
        <f>'1461'!H51</f>
        <v>6.6699999999999995E-2</v>
      </c>
      <c r="I51" s="101">
        <f>ROUND(F51*H51,2)</f>
        <v>260240.79</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3901661.0199999996</v>
      </c>
      <c r="G52" s="109" t="s">
        <v>6</v>
      </c>
      <c r="H52" s="420">
        <f>'1461'!H52</f>
        <v>5.4000000000000003E-3</v>
      </c>
      <c r="I52" s="101">
        <f>ROUND(F52*H52,2)</f>
        <v>21068.97</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281309.76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7.5</v>
      </c>
      <c r="D60" s="143">
        <v>0</v>
      </c>
      <c r="E60" s="116">
        <f t="shared" si="10"/>
        <v>15</v>
      </c>
      <c r="F60" s="462" t="s">
        <v>13</v>
      </c>
      <c r="G60" s="461">
        <v>251</v>
      </c>
      <c r="H60" s="475">
        <f>'1461'!H60</f>
        <v>1173</v>
      </c>
      <c r="I60" s="101">
        <f t="shared" si="11"/>
        <v>17595</v>
      </c>
      <c r="N60" s="866"/>
      <c r="O60" s="866"/>
      <c r="P60" s="868"/>
      <c r="Q60" s="868"/>
      <c r="R60" s="40" t="s">
        <v>13</v>
      </c>
      <c r="S60" s="467">
        <v>251</v>
      </c>
      <c r="T60" s="478">
        <f t="shared" si="12"/>
        <v>1173</v>
      </c>
      <c r="U60" s="492">
        <f t="shared" si="13"/>
        <v>0</v>
      </c>
      <c r="V60" s="442"/>
    </row>
    <row r="61" spans="1:22" x14ac:dyDescent="0.25">
      <c r="A61" s="815"/>
      <c r="B61" s="815"/>
      <c r="C61" s="143">
        <v>0.5</v>
      </c>
      <c r="D61" s="143">
        <v>0</v>
      </c>
      <c r="E61" s="116">
        <f t="shared" si="10"/>
        <v>1</v>
      </c>
      <c r="F61" s="462" t="s">
        <v>13</v>
      </c>
      <c r="G61" s="461">
        <v>252</v>
      </c>
      <c r="H61" s="475">
        <f>'1461'!H61</f>
        <v>3506</v>
      </c>
      <c r="I61" s="101">
        <f t="shared" si="11"/>
        <v>3506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36.5</v>
      </c>
      <c r="D63" s="143">
        <v>0</v>
      </c>
      <c r="E63" s="116">
        <f t="shared" si="10"/>
        <v>73</v>
      </c>
      <c r="F63" s="462" t="s">
        <v>14</v>
      </c>
      <c r="G63" s="461">
        <v>251</v>
      </c>
      <c r="H63" s="475">
        <f>'1461'!H63</f>
        <v>835</v>
      </c>
      <c r="I63" s="101">
        <f t="shared" si="11"/>
        <v>60955</v>
      </c>
      <c r="N63" s="866"/>
      <c r="O63" s="866"/>
      <c r="P63" s="868"/>
      <c r="Q63" s="868"/>
      <c r="R63" s="40" t="s">
        <v>14</v>
      </c>
      <c r="S63" s="467">
        <v>251</v>
      </c>
      <c r="T63" s="478">
        <f t="shared" si="12"/>
        <v>835</v>
      </c>
      <c r="U63" s="492">
        <f t="shared" si="13"/>
        <v>0</v>
      </c>
      <c r="V63" s="442"/>
    </row>
    <row r="64" spans="1:22" x14ac:dyDescent="0.25">
      <c r="A64" s="815"/>
      <c r="B64" s="815"/>
      <c r="C64" s="143">
        <v>1</v>
      </c>
      <c r="D64" s="143">
        <v>0</v>
      </c>
      <c r="E64" s="116">
        <f t="shared" si="10"/>
        <v>2</v>
      </c>
      <c r="F64" s="462" t="s">
        <v>14</v>
      </c>
      <c r="G64" s="461">
        <v>252</v>
      </c>
      <c r="H64" s="475">
        <f>'1461'!H64</f>
        <v>3168</v>
      </c>
      <c r="I64" s="101">
        <f t="shared" si="11"/>
        <v>6336</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45.5</v>
      </c>
      <c r="D66" s="97">
        <f>SUM(D57:D65)</f>
        <v>0</v>
      </c>
      <c r="E66" s="97">
        <f>SUM(E57:E65)</f>
        <v>91</v>
      </c>
      <c r="F66" s="816" t="s">
        <v>460</v>
      </c>
      <c r="G66" s="816"/>
      <c r="H66" s="816"/>
      <c r="I66" s="97">
        <f>SUM(I57:I65)</f>
        <v>88392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706.88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3.2829999999999999E-3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701.31790000000001</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3.0620000000000001E-3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706.88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3.797E-3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706.88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3.2880000000000001E-3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706.88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3.803E-3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3.2880000000000001E-3</v>
      </c>
      <c r="I85" s="101">
        <f>ROUND(F85*H85,2)</f>
        <v>155491.98000000001</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3.2829999999999999E-3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3.803E-3</v>
      </c>
      <c r="I90" s="101">
        <f>ROUND(F90*H90,2)</f>
        <v>72895.45</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3.797E-3</v>
      </c>
      <c r="I92" s="101">
        <f t="shared" ref="I92:I96" si="14">ROUND(F92*H92,2)</f>
        <v>43843.54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3.0620000000000001E-3</v>
      </c>
      <c r="I94" s="101">
        <f t="shared" si="14"/>
        <v>823115.44</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3.0620000000000001E-3</v>
      </c>
      <c r="I96" s="101">
        <f t="shared" si="14"/>
        <v>0</v>
      </c>
      <c r="N96" s="870" t="s">
        <v>436</v>
      </c>
      <c r="O96" s="851"/>
      <c r="P96" s="851"/>
      <c r="Q96" s="44"/>
      <c r="R96" s="437">
        <f t="shared" si="15"/>
        <v>0</v>
      </c>
      <c r="S96" s="38" t="s">
        <v>6</v>
      </c>
      <c r="T96" s="439">
        <f>T73</f>
        <v>0</v>
      </c>
      <c r="U96" s="491">
        <f>ROUND(R96*T96,2)</f>
        <v>0</v>
      </c>
    </row>
    <row r="97" spans="1:21" x14ac:dyDescent="0.25">
      <c r="A97" s="547"/>
      <c r="B97" s="546"/>
      <c r="C97" s="546"/>
      <c r="D97" s="546"/>
      <c r="E97" s="544"/>
      <c r="F97" s="117"/>
      <c r="G97" s="545"/>
      <c r="H97" s="440"/>
      <c r="I97" s="101"/>
      <c r="N97" s="550"/>
      <c r="O97" s="549"/>
      <c r="P97" s="549"/>
      <c r="Q97" s="44"/>
      <c r="R97" s="552"/>
      <c r="S97" s="551"/>
      <c r="T97" s="439"/>
      <c r="U97" s="495"/>
    </row>
    <row r="98" spans="1:21" x14ac:dyDescent="0.25">
      <c r="A98" s="547" t="s">
        <v>507</v>
      </c>
      <c r="B98" s="546"/>
      <c r="C98" s="546"/>
      <c r="D98" s="546"/>
      <c r="E98" s="544" t="s">
        <v>3</v>
      </c>
      <c r="F98" s="301">
        <f>'1461'!F98</f>
        <v>0</v>
      </c>
      <c r="G98" s="545" t="s">
        <v>6</v>
      </c>
      <c r="H98" s="440">
        <f>H70</f>
        <v>3.2829999999999999E-3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437</v>
      </c>
      <c r="N101" s="426" t="s">
        <v>437</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149.22069999999999</v>
      </c>
      <c r="D105" s="822"/>
      <c r="E105" s="46">
        <f>H8</f>
        <v>1.0355000000000001</v>
      </c>
      <c r="F105" s="302">
        <f>'1461'!F105</f>
        <v>915.09</v>
      </c>
      <c r="G105" s="39" t="s">
        <v>12</v>
      </c>
      <c r="H105" s="101">
        <f>ROUND(C105*E105*F105,2)</f>
        <v>141397.91</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552.09720000000004</v>
      </c>
      <c r="D106" s="822"/>
      <c r="E106" s="46">
        <f>H8</f>
        <v>1.0355000000000001</v>
      </c>
      <c r="F106" s="302">
        <f>'1461'!F106</f>
        <v>917.3</v>
      </c>
      <c r="G106" s="39" t="s">
        <v>12</v>
      </c>
      <c r="H106" s="94">
        <f>ROUND(C106*E106*F106,2)</f>
        <v>524417.34</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701.31790000000001</v>
      </c>
      <c r="D107" s="812"/>
      <c r="E107" s="123"/>
      <c r="F107" s="123"/>
      <c r="G107" s="123"/>
      <c r="H107" s="124" t="s">
        <v>100</v>
      </c>
      <c r="I107" s="101">
        <f>IF(A1=75,0,H106+H105+H104)</f>
        <v>665815.25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81" t="s">
        <v>442</v>
      </c>
      <c r="C110" s="43"/>
      <c r="D110" s="69"/>
      <c r="E110" s="43" t="s">
        <v>32</v>
      </c>
      <c r="F110" s="782"/>
      <c r="G110" s="782"/>
      <c r="H110" s="782"/>
      <c r="I110" s="782"/>
      <c r="N110" s="870" t="s">
        <v>442</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239</v>
      </c>
      <c r="D113" s="143">
        <v>266</v>
      </c>
      <c r="E113" s="116">
        <f>(C113+D113)/2</f>
        <v>252.5</v>
      </c>
      <c r="F113" s="126" t="s">
        <v>30</v>
      </c>
      <c r="G113" s="303">
        <f>'1461'!G113</f>
        <v>617</v>
      </c>
      <c r="I113" s="101">
        <f>ROUND(G113*E113,2)</f>
        <v>155792.5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515</v>
      </c>
      <c r="B126" s="804"/>
      <c r="C126" s="804"/>
      <c r="D126" s="69"/>
      <c r="E126" s="68" t="s">
        <v>34</v>
      </c>
      <c r="F126" s="823"/>
      <c r="G126" s="823"/>
      <c r="H126" s="823"/>
      <c r="I126" s="154">
        <v>0</v>
      </c>
      <c r="N126" s="870" t="s">
        <v>515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5907007.1799999997</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5625697.4199999999</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5625697.4199999999</v>
      </c>
      <c r="I135" s="94">
        <f>ROUND(IF(E30=0,0,IF(E30&gt;250,-(((250/E30)*H135)*IF(G135="H",0.02,0.05)),IF(G135="H",-0.02*H135,-0.05*H135))),2)</f>
        <v>-39792.449999999997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5867214.7299999995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Payments'!Q87</f>
        <v>-481353.82</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5385860.9099999992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489623.72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72721.5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B12"/>
    <mergeCell ref="A132:G132"/>
    <mergeCell ref="N136:U136"/>
    <mergeCell ref="A133:G133"/>
    <mergeCell ref="R123:S123"/>
    <mergeCell ref="A121:B121"/>
    <mergeCell ref="F121:G121"/>
    <mergeCell ref="N121:O121"/>
    <mergeCell ref="A122:B122"/>
    <mergeCell ref="F122:G122"/>
    <mergeCell ref="N122:O122"/>
    <mergeCell ref="P122:Q122"/>
    <mergeCell ref="R122:S122"/>
    <mergeCell ref="C118:E118"/>
    <mergeCell ref="F119:G119"/>
    <mergeCell ref="A120:B120"/>
    <mergeCell ref="F120:G120"/>
    <mergeCell ref="N120:O120"/>
    <mergeCell ref="P120:Q120"/>
    <mergeCell ref="R120:S120"/>
    <mergeCell ref="P121:Q121"/>
    <mergeCell ref="R121:S121"/>
    <mergeCell ref="A117:C117"/>
    <mergeCell ref="F117:I117"/>
    <mergeCell ref="N117:U117"/>
    <mergeCell ref="N155:U155"/>
    <mergeCell ref="N135:U135"/>
    <mergeCell ref="N126:P126"/>
    <mergeCell ref="A126:C126"/>
    <mergeCell ref="F126:H126"/>
    <mergeCell ref="N130:T130"/>
    <mergeCell ref="A128:H128"/>
    <mergeCell ref="A123:B123"/>
    <mergeCell ref="F123:G123"/>
    <mergeCell ref="N123:O123"/>
    <mergeCell ref="P123:Q123"/>
    <mergeCell ref="A124:B124"/>
    <mergeCell ref="N124:O124"/>
    <mergeCell ref="N132:T132"/>
    <mergeCell ref="N133:T133"/>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F13:G13"/>
    <mergeCell ref="N13:O13"/>
    <mergeCell ref="P13:Q13"/>
    <mergeCell ref="R13:S13"/>
    <mergeCell ref="A14:B14"/>
    <mergeCell ref="F14:G14"/>
    <mergeCell ref="N14:O14"/>
    <mergeCell ref="P14:Q14"/>
    <mergeCell ref="R14:S14"/>
    <mergeCell ref="A13:B13"/>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CCCC"/>
  </sheetPr>
  <dimension ref="A1:V221"/>
  <sheetViews>
    <sheetView topLeftCell="A105"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120</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8</v>
      </c>
      <c r="D16" s="143">
        <v>0</v>
      </c>
      <c r="E16" s="116">
        <f t="shared" si="1"/>
        <v>16</v>
      </c>
      <c r="F16" s="850">
        <f>'1461'!F16:G16</f>
        <v>1</v>
      </c>
      <c r="G16" s="850"/>
      <c r="H16" s="80">
        <f t="shared" si="2"/>
        <v>16</v>
      </c>
      <c r="I16" s="101">
        <f t="shared" si="3"/>
        <v>89013.24</v>
      </c>
      <c r="N16" s="851" t="s">
        <v>22</v>
      </c>
      <c r="O16" s="851"/>
      <c r="P16" s="848">
        <f t="shared" si="0"/>
        <v>0</v>
      </c>
      <c r="Q16" s="848"/>
      <c r="R16" s="852">
        <v>1</v>
      </c>
      <c r="S16" s="852"/>
      <c r="T16" s="95">
        <f t="shared" si="4"/>
        <v>0</v>
      </c>
      <c r="U16" s="491">
        <f t="shared" si="5"/>
        <v>0</v>
      </c>
    </row>
    <row r="17" spans="1:21" x14ac:dyDescent="0.25">
      <c r="A17" s="804" t="s">
        <v>23</v>
      </c>
      <c r="B17" s="804"/>
      <c r="C17" s="143">
        <v>1</v>
      </c>
      <c r="D17" s="143">
        <v>0</v>
      </c>
      <c r="E17" s="116">
        <f t="shared" si="1"/>
        <v>2</v>
      </c>
      <c r="F17" s="850">
        <f>'1461'!F17:G17</f>
        <v>1</v>
      </c>
      <c r="G17" s="850"/>
      <c r="H17" s="80">
        <f t="shared" si="2"/>
        <v>2</v>
      </c>
      <c r="I17" s="101">
        <f t="shared" si="3"/>
        <v>11126.65</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36.11</v>
      </c>
      <c r="D18" s="143">
        <v>0</v>
      </c>
      <c r="E18" s="116">
        <f t="shared" si="1"/>
        <v>72.22</v>
      </c>
      <c r="F18" s="850">
        <f>'1461'!F18:G18</f>
        <v>0.97199999999999998</v>
      </c>
      <c r="G18" s="850"/>
      <c r="H18" s="80">
        <f t="shared" si="2"/>
        <v>70.197800000000001</v>
      </c>
      <c r="I18" s="101">
        <f t="shared" si="3"/>
        <v>390533.34</v>
      </c>
      <c r="N18" s="851" t="s">
        <v>24</v>
      </c>
      <c r="O18" s="851"/>
      <c r="P18" s="848">
        <f t="shared" si="0"/>
        <v>0</v>
      </c>
      <c r="Q18" s="848"/>
      <c r="R18" s="852">
        <v>1</v>
      </c>
      <c r="S18" s="852"/>
      <c r="T18" s="95">
        <f t="shared" si="4"/>
        <v>0</v>
      </c>
      <c r="U18" s="491">
        <f t="shared" si="5"/>
        <v>0</v>
      </c>
    </row>
    <row r="19" spans="1:21" x14ac:dyDescent="0.25">
      <c r="A19" s="804" t="s">
        <v>25</v>
      </c>
      <c r="B19" s="804"/>
      <c r="C19" s="143">
        <v>9.68</v>
      </c>
      <c r="D19" s="143">
        <v>0</v>
      </c>
      <c r="E19" s="116">
        <f t="shared" si="1"/>
        <v>19.36</v>
      </c>
      <c r="F19" s="850">
        <f>'1461'!F19:G19</f>
        <v>0.97199999999999998</v>
      </c>
      <c r="G19" s="850"/>
      <c r="H19" s="80">
        <f t="shared" si="2"/>
        <v>18.817900000000002</v>
      </c>
      <c r="I19" s="101">
        <f t="shared" si="3"/>
        <v>104690.14</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0.83</v>
      </c>
      <c r="D28" s="143">
        <v>0</v>
      </c>
      <c r="E28" s="116">
        <f t="shared" si="1"/>
        <v>1.66</v>
      </c>
      <c r="F28" s="850">
        <f>'1461'!F28:G28</f>
        <v>1.165</v>
      </c>
      <c r="G28" s="850"/>
      <c r="H28" s="80">
        <f t="shared" si="2"/>
        <v>1.9339</v>
      </c>
      <c r="I28" s="101">
        <f t="shared" si="3"/>
        <v>10758.92</v>
      </c>
      <c r="N28" s="851" t="s">
        <v>87</v>
      </c>
      <c r="O28" s="851"/>
      <c r="P28" s="848">
        <f t="shared" si="0"/>
        <v>0</v>
      </c>
      <c r="Q28" s="848"/>
      <c r="R28" s="852">
        <v>1</v>
      </c>
      <c r="S28" s="852"/>
      <c r="T28" s="95">
        <f t="shared" si="4"/>
        <v>0</v>
      </c>
      <c r="U28" s="491">
        <f t="shared" si="5"/>
        <v>0</v>
      </c>
    </row>
    <row r="29" spans="1:21" x14ac:dyDescent="0.25">
      <c r="A29" s="804" t="s">
        <v>88</v>
      </c>
      <c r="B29" s="804"/>
      <c r="C29" s="110">
        <v>0.97</v>
      </c>
      <c r="D29" s="110">
        <v>0</v>
      </c>
      <c r="E29" s="116">
        <f t="shared" si="1"/>
        <v>1.94</v>
      </c>
      <c r="F29" s="850">
        <f>'1461'!F29:G29</f>
        <v>1.081</v>
      </c>
      <c r="G29" s="850"/>
      <c r="H29" s="93">
        <f t="shared" si="2"/>
        <v>2.0971000000000002</v>
      </c>
      <c r="I29" s="94">
        <f t="shared" si="3"/>
        <v>11666.85</v>
      </c>
      <c r="N29" s="853" t="s">
        <v>88</v>
      </c>
      <c r="O29" s="853"/>
      <c r="P29" s="848">
        <f t="shared" si="0"/>
        <v>0</v>
      </c>
      <c r="Q29" s="848"/>
      <c r="R29" s="854">
        <v>1</v>
      </c>
      <c r="S29" s="854"/>
      <c r="T29" s="95">
        <f t="shared" si="4"/>
        <v>0</v>
      </c>
      <c r="U29" s="491">
        <f t="shared" si="5"/>
        <v>0</v>
      </c>
    </row>
    <row r="30" spans="1:21" x14ac:dyDescent="0.25">
      <c r="A30" s="816" t="s">
        <v>5</v>
      </c>
      <c r="B30" s="816"/>
      <c r="C30" s="94">
        <f>SUM(C14:C29)</f>
        <v>56.589999999999996</v>
      </c>
      <c r="D30" s="94">
        <f>SUM(D14:D29)</f>
        <v>0</v>
      </c>
      <c r="E30" s="97">
        <f>SUM(E14:E29)</f>
        <v>113.17999999999999</v>
      </c>
      <c r="F30" s="808"/>
      <c r="G30" s="808"/>
      <c r="H30" s="99">
        <f>SUM(H14:H29)</f>
        <v>111.0467</v>
      </c>
      <c r="I30" s="94">
        <f>SUM(I14:I29)</f>
        <v>617789.14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111.0467</v>
      </c>
      <c r="F46" s="34"/>
      <c r="G46" s="106"/>
      <c r="H46" s="107" t="s">
        <v>98</v>
      </c>
      <c r="I46" s="94">
        <f>SUM(I44,I30)</f>
        <v>617789.14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617789.14</v>
      </c>
      <c r="G51" s="109" t="s">
        <v>6</v>
      </c>
      <c r="H51" s="420">
        <f>'1461'!H51</f>
        <v>6.6699999999999995E-2</v>
      </c>
      <c r="I51" s="101">
        <f>ROUND(F51*H51,2)</f>
        <v>41206.54</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617789.14</v>
      </c>
      <c r="G52" s="109" t="s">
        <v>6</v>
      </c>
      <c r="H52" s="420">
        <f>'1461'!H52</f>
        <v>5.4000000000000003E-3</v>
      </c>
      <c r="I52" s="101">
        <f>ROUND(F52*H52,2)</f>
        <v>3336.06</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44542.6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v>
      </c>
      <c r="D60" s="143">
        <v>0</v>
      </c>
      <c r="E60" s="116">
        <f t="shared" si="10"/>
        <v>2</v>
      </c>
      <c r="F60" s="462" t="s">
        <v>13</v>
      </c>
      <c r="G60" s="461">
        <v>251</v>
      </c>
      <c r="H60" s="475">
        <f>'1461'!H60</f>
        <v>1173</v>
      </c>
      <c r="I60" s="101">
        <f t="shared" si="11"/>
        <v>2346</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9.18</v>
      </c>
      <c r="D63" s="143">
        <v>0</v>
      </c>
      <c r="E63" s="116">
        <f t="shared" si="10"/>
        <v>18.36</v>
      </c>
      <c r="F63" s="462" t="s">
        <v>14</v>
      </c>
      <c r="G63" s="461">
        <v>251</v>
      </c>
      <c r="H63" s="475">
        <f>'1461'!H63</f>
        <v>835</v>
      </c>
      <c r="I63" s="101">
        <f t="shared" si="11"/>
        <v>15330.6</v>
      </c>
      <c r="N63" s="866"/>
      <c r="O63" s="866"/>
      <c r="P63" s="868"/>
      <c r="Q63" s="868"/>
      <c r="R63" s="40" t="s">
        <v>14</v>
      </c>
      <c r="S63" s="467">
        <v>251</v>
      </c>
      <c r="T63" s="478">
        <f t="shared" si="12"/>
        <v>835</v>
      </c>
      <c r="U63" s="492">
        <f t="shared" si="13"/>
        <v>0</v>
      </c>
      <c r="V63" s="442"/>
    </row>
    <row r="64" spans="1:22" x14ac:dyDescent="0.25">
      <c r="A64" s="815"/>
      <c r="B64" s="815"/>
      <c r="C64" s="143">
        <v>0.5</v>
      </c>
      <c r="D64" s="143">
        <v>0</v>
      </c>
      <c r="E64" s="116">
        <f t="shared" si="10"/>
        <v>1</v>
      </c>
      <c r="F64" s="462" t="s">
        <v>14</v>
      </c>
      <c r="G64" s="461">
        <v>252</v>
      </c>
      <c r="H64" s="475">
        <f>'1461'!H64</f>
        <v>3168</v>
      </c>
      <c r="I64" s="101">
        <f t="shared" si="11"/>
        <v>3168</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10.68</v>
      </c>
      <c r="D66" s="97">
        <f>SUM(D57:D65)</f>
        <v>0</v>
      </c>
      <c r="E66" s="97">
        <f>SUM(E57:E65)</f>
        <v>21.36</v>
      </c>
      <c r="F66" s="816" t="s">
        <v>460</v>
      </c>
      <c r="G66" s="816"/>
      <c r="H66" s="816"/>
      <c r="I66" s="97">
        <f>SUM(I57:I65)</f>
        <v>20844.599999999999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113.17999999999999</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5.2599999999999999E-4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111.0467</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4.8500000000000003E-4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113.17999999999999</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6.0800000000000003E-4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113.17999999999999</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5.2599999999999999E-4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113.17999999999999</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6.0899999999999995E-4</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5.2599999999999999E-4</v>
      </c>
      <c r="I85" s="101">
        <f>ROUND(F85*H85,2)</f>
        <v>24874.93</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5.2599999999999999E-4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6.0899999999999995E-4</v>
      </c>
      <c r="I90" s="101">
        <f>ROUND(F90*H90,2)</f>
        <v>11673.24</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6.0800000000000003E-4</v>
      </c>
      <c r="I92" s="101">
        <f t="shared" ref="I92:I96" si="14">ROUND(F92*H92,2)</f>
        <v>7020.51</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4.8500000000000003E-4</v>
      </c>
      <c r="I94" s="101">
        <f t="shared" si="14"/>
        <v>130375.89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4.8500000000000003E-4</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5.2599999999999999E-4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18</v>
      </c>
      <c r="D105" s="822"/>
      <c r="E105" s="46">
        <f>H8</f>
        <v>1.0355000000000001</v>
      </c>
      <c r="F105" s="302">
        <f>'1461'!F105</f>
        <v>915.09</v>
      </c>
      <c r="G105" s="39" t="s">
        <v>12</v>
      </c>
      <c r="H105" s="101">
        <f>ROUND(C105*E105*F105,2)</f>
        <v>17056.36</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93.046700000000001</v>
      </c>
      <c r="D106" s="822"/>
      <c r="E106" s="46">
        <f>H8</f>
        <v>1.0355000000000001</v>
      </c>
      <c r="F106" s="302">
        <f>'1461'!F106</f>
        <v>917.3</v>
      </c>
      <c r="G106" s="39" t="s">
        <v>12</v>
      </c>
      <c r="H106" s="94">
        <f>ROUND(C106*E106*F106,2)</f>
        <v>88381.72</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111.0467</v>
      </c>
      <c r="D107" s="812"/>
      <c r="E107" s="123"/>
      <c r="F107" s="123"/>
      <c r="G107" s="123"/>
      <c r="H107" s="124" t="s">
        <v>100</v>
      </c>
      <c r="I107" s="101">
        <f>IF(A1=75,0,H106+H105+H104)</f>
        <v>105438.08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73</v>
      </c>
      <c r="D113" s="143">
        <v>82</v>
      </c>
      <c r="E113" s="116">
        <f>(C113+D113)/2</f>
        <v>77.5</v>
      </c>
      <c r="F113" s="126" t="s">
        <v>30</v>
      </c>
      <c r="G113" s="303">
        <f>'1461'!G113</f>
        <v>617</v>
      </c>
      <c r="I113" s="101">
        <f>ROUND(G113*E113,2)</f>
        <v>47817.5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965833.89</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921291.29</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921291.29</v>
      </c>
      <c r="I135" s="94">
        <f>ROUND(IF(E30=0,0,IF(E30&gt;250,-(((250/E30)*H135)*IF(G135="H",0.02,0.05)),IF(G135="H",-0.02*H135,-0.05*H135))),2)</f>
        <v>-46064.56</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919769.33000000007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Payments'!Q88</f>
        <v>-75370.149999999994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844399.18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76763.56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CCCC"/>
  </sheetPr>
  <dimension ref="A1:V221"/>
  <sheetViews>
    <sheetView topLeftCell="A108"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112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2.5</v>
      </c>
      <c r="D17" s="143">
        <v>0</v>
      </c>
      <c r="E17" s="116">
        <f t="shared" si="1"/>
        <v>5</v>
      </c>
      <c r="F17" s="850">
        <f>'1461'!F17:G17</f>
        <v>1</v>
      </c>
      <c r="G17" s="850"/>
      <c r="H17" s="80">
        <f t="shared" si="2"/>
        <v>5</v>
      </c>
      <c r="I17" s="101">
        <f t="shared" si="3"/>
        <v>27816.639999999999</v>
      </c>
      <c r="J17" s="65" t="str">
        <f>IF(ROUND(E17,2)=ROUND(SUM(E60:E62),2)," ","CHECK 4-8 LINES BELOW")</f>
        <v xml:space="preserve"> </v>
      </c>
      <c r="N17" s="851" t="s">
        <v>23</v>
      </c>
      <c r="O17" s="851"/>
      <c r="P17" s="848">
        <f t="shared" si="0"/>
        <v>5</v>
      </c>
      <c r="Q17" s="848"/>
      <c r="R17" s="852">
        <v>1</v>
      </c>
      <c r="S17" s="852"/>
      <c r="T17" s="95">
        <f t="shared" si="4"/>
        <v>5</v>
      </c>
      <c r="U17" s="491">
        <f t="shared" si="5"/>
        <v>27816.639999999999</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45.43</v>
      </c>
      <c r="D19" s="143">
        <v>0</v>
      </c>
      <c r="E19" s="116">
        <f t="shared" si="1"/>
        <v>90.86</v>
      </c>
      <c r="F19" s="850">
        <f>'1461'!F19:G19</f>
        <v>0.97199999999999998</v>
      </c>
      <c r="G19" s="850"/>
      <c r="H19" s="80">
        <f t="shared" si="2"/>
        <v>88.315899999999999</v>
      </c>
      <c r="I19" s="101">
        <f>ROUND(ROUND(ROUND(H19*$C$8,4)*($H$8),2)*(MAX($H$9,1)),2)</f>
        <v>491330.26</v>
      </c>
      <c r="J19" s="65" t="str">
        <f>IF(ROUND(E19,2)=ROUND(SUM(E63:E65),2)," ","CHECK 4-8 LINES BELOW")</f>
        <v xml:space="preserve"> </v>
      </c>
      <c r="N19" s="851" t="s">
        <v>25</v>
      </c>
      <c r="O19" s="851"/>
      <c r="P19" s="848">
        <f t="shared" si="0"/>
        <v>90.86</v>
      </c>
      <c r="Q19" s="848"/>
      <c r="R19" s="852">
        <v>1</v>
      </c>
      <c r="S19" s="852"/>
      <c r="T19" s="95">
        <f t="shared" si="4"/>
        <v>90.86</v>
      </c>
      <c r="U19" s="490">
        <f t="shared" si="5"/>
        <v>505483.92</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47.93</v>
      </c>
      <c r="D30" s="94">
        <f>SUM(D14:D29)</f>
        <v>0</v>
      </c>
      <c r="E30" s="94">
        <f>SUM(E14:E29)</f>
        <v>95.86</v>
      </c>
      <c r="F30" s="808"/>
      <c r="G30" s="808"/>
      <c r="H30" s="99">
        <f>SUM(H14:H29)</f>
        <v>93.315899999999999</v>
      </c>
      <c r="I30" s="94">
        <f>SUM(I14:I29)</f>
        <v>519146.9</v>
      </c>
      <c r="N30" s="855" t="s">
        <v>5</v>
      </c>
      <c r="O30" s="855"/>
      <c r="P30" s="856">
        <f>SUM(P14:P29)</f>
        <v>95.86</v>
      </c>
      <c r="Q30" s="856"/>
      <c r="R30" s="857"/>
      <c r="S30" s="857"/>
      <c r="T30" s="100">
        <f>SUM(T14:T29)</f>
        <v>95.86</v>
      </c>
      <c r="U30" s="491">
        <f>SUM(U14:U29)</f>
        <v>533300.55999999994</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93.315899999999999</v>
      </c>
      <c r="F46" s="34"/>
      <c r="G46" s="106"/>
      <c r="H46" s="107" t="s">
        <v>98</v>
      </c>
      <c r="I46" s="94">
        <f>SUM(I44,I30)</f>
        <v>519146.9</v>
      </c>
      <c r="N46" s="863" t="s">
        <v>44</v>
      </c>
      <c r="O46" s="863"/>
      <c r="P46" s="863"/>
      <c r="Q46" s="863"/>
      <c r="R46" s="35">
        <f>R44+T30</f>
        <v>95.86</v>
      </c>
      <c r="S46" s="857" t="s">
        <v>42</v>
      </c>
      <c r="T46" s="857"/>
      <c r="U46" s="108">
        <f>SUM(U44,U30)</f>
        <v>533300.55999999994</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519146.9</v>
      </c>
      <c r="G51" s="109" t="s">
        <v>6</v>
      </c>
      <c r="H51" s="420">
        <f>'1461'!H51</f>
        <v>6.6699999999999995E-2</v>
      </c>
      <c r="I51" s="101">
        <f>ROUND(F51*H51,2)</f>
        <v>34627.1</v>
      </c>
      <c r="N51" s="425"/>
      <c r="O51" s="426" t="s">
        <v>556</v>
      </c>
      <c r="P51" s="28"/>
      <c r="Q51" s="44" t="s">
        <v>414</v>
      </c>
      <c r="R51" s="427">
        <f>U30</f>
        <v>533300.55999999994</v>
      </c>
      <c r="S51" s="428" t="s">
        <v>6</v>
      </c>
      <c r="T51" s="429">
        <v>6.6699999999999995E-2</v>
      </c>
      <c r="U51" s="421">
        <f>ROUND(R51*T51,2)</f>
        <v>35571.15</v>
      </c>
    </row>
    <row r="52" spans="1:22" x14ac:dyDescent="0.25">
      <c r="A52" s="26"/>
      <c r="B52" s="575" t="str">
        <f>'1461'!B52</f>
        <v>Growth Portion (0.54% of Conference Funding)</v>
      </c>
      <c r="C52" s="26"/>
      <c r="D52" s="26"/>
      <c r="E52" s="43" t="s">
        <v>414</v>
      </c>
      <c r="F52" s="419">
        <v>519146.9</v>
      </c>
      <c r="G52" s="109" t="s">
        <v>6</v>
      </c>
      <c r="H52" s="420">
        <f>'1461'!H52</f>
        <v>5.4000000000000003E-3</v>
      </c>
      <c r="I52" s="101">
        <f>ROUND(F52*H52,2)</f>
        <v>2803.39</v>
      </c>
      <c r="N52" s="28"/>
      <c r="O52" s="757" t="s">
        <v>560</v>
      </c>
      <c r="P52" s="28"/>
      <c r="Q52" s="44" t="s">
        <v>414</v>
      </c>
      <c r="R52" s="427">
        <f>U30</f>
        <v>533300.55999999994</v>
      </c>
      <c r="S52" s="428" t="s">
        <v>6</v>
      </c>
      <c r="T52" s="429">
        <v>5.4000000000000003E-3</v>
      </c>
      <c r="U52" s="430">
        <f>ROUND(R52*T52,2)</f>
        <v>2879.82</v>
      </c>
    </row>
    <row r="53" spans="1:22" x14ac:dyDescent="0.25">
      <c r="A53" s="26"/>
      <c r="B53" s="81" t="s">
        <v>415</v>
      </c>
      <c r="C53" s="26"/>
      <c r="D53" s="26"/>
      <c r="E53" s="43"/>
      <c r="F53" s="419"/>
      <c r="G53" s="109"/>
      <c r="H53" s="420"/>
      <c r="I53" s="97">
        <f>SUM(I51:I52)</f>
        <v>37430.49</v>
      </c>
      <c r="N53" s="28"/>
      <c r="O53" s="402" t="s">
        <v>415</v>
      </c>
      <c r="P53" s="28"/>
      <c r="Q53" s="44"/>
      <c r="R53" s="427"/>
      <c r="S53" s="428"/>
      <c r="T53" s="429"/>
      <c r="U53" s="421">
        <f>SUM(U51:U52)</f>
        <v>38450.97</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2.5</v>
      </c>
      <c r="D61" s="143">
        <v>0</v>
      </c>
      <c r="E61" s="116">
        <f t="shared" si="10"/>
        <v>5</v>
      </c>
      <c r="F61" s="462" t="s">
        <v>13</v>
      </c>
      <c r="G61" s="461">
        <v>252</v>
      </c>
      <c r="H61" s="475">
        <f>'1461'!H61</f>
        <v>3506</v>
      </c>
      <c r="I61" s="101">
        <f t="shared" si="11"/>
        <v>17530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0.4</v>
      </c>
      <c r="D63" s="143">
        <v>0</v>
      </c>
      <c r="E63" s="116">
        <f t="shared" si="10"/>
        <v>0.8</v>
      </c>
      <c r="F63" s="462" t="s">
        <v>14</v>
      </c>
      <c r="G63" s="461">
        <v>251</v>
      </c>
      <c r="H63" s="475">
        <f>'1461'!H63</f>
        <v>835</v>
      </c>
      <c r="I63" s="101">
        <f t="shared" si="11"/>
        <v>668</v>
      </c>
      <c r="N63" s="866"/>
      <c r="O63" s="866"/>
      <c r="P63" s="868"/>
      <c r="Q63" s="868"/>
      <c r="R63" s="40" t="s">
        <v>14</v>
      </c>
      <c r="S63" s="467">
        <v>251</v>
      </c>
      <c r="T63" s="478">
        <f t="shared" si="12"/>
        <v>835</v>
      </c>
      <c r="U63" s="492">
        <f t="shared" si="13"/>
        <v>0</v>
      </c>
      <c r="V63" s="442"/>
    </row>
    <row r="64" spans="1:22" x14ac:dyDescent="0.25">
      <c r="A64" s="815"/>
      <c r="B64" s="815"/>
      <c r="C64" s="143">
        <v>32.520000000000003</v>
      </c>
      <c r="D64" s="143">
        <v>0</v>
      </c>
      <c r="E64" s="116">
        <f t="shared" si="10"/>
        <v>65.040000000000006</v>
      </c>
      <c r="F64" s="462" t="s">
        <v>14</v>
      </c>
      <c r="G64" s="461">
        <v>252</v>
      </c>
      <c r="H64" s="475">
        <f>'1461'!H64</f>
        <v>3168</v>
      </c>
      <c r="I64" s="101">
        <f t="shared" si="11"/>
        <v>206046.72</v>
      </c>
      <c r="N64" s="866"/>
      <c r="O64" s="866"/>
      <c r="P64" s="868"/>
      <c r="Q64" s="868"/>
      <c r="R64" s="40" t="s">
        <v>14</v>
      </c>
      <c r="S64" s="467">
        <v>252</v>
      </c>
      <c r="T64" s="478">
        <f t="shared" si="12"/>
        <v>3168</v>
      </c>
      <c r="U64" s="492">
        <f t="shared" si="13"/>
        <v>0</v>
      </c>
      <c r="V64" s="442"/>
    </row>
    <row r="65" spans="1:22" ht="16.5" thickBot="1" x14ac:dyDescent="0.3">
      <c r="A65" s="815"/>
      <c r="B65" s="815"/>
      <c r="C65" s="143">
        <v>12.51</v>
      </c>
      <c r="D65" s="143">
        <v>0</v>
      </c>
      <c r="E65" s="116">
        <f t="shared" si="10"/>
        <v>25.02</v>
      </c>
      <c r="F65" s="462" t="s">
        <v>14</v>
      </c>
      <c r="G65" s="461">
        <v>253</v>
      </c>
      <c r="H65" s="475">
        <f>'1461'!H65</f>
        <v>6685</v>
      </c>
      <c r="I65" s="101">
        <f t="shared" si="11"/>
        <v>167258.70000000001</v>
      </c>
      <c r="N65" s="866"/>
      <c r="O65" s="866"/>
      <c r="P65" s="874"/>
      <c r="Q65" s="874"/>
      <c r="R65" s="40" t="s">
        <v>14</v>
      </c>
      <c r="S65" s="467">
        <v>253</v>
      </c>
      <c r="T65" s="478">
        <f t="shared" si="12"/>
        <v>6685</v>
      </c>
      <c r="U65" s="493">
        <f t="shared" si="13"/>
        <v>0</v>
      </c>
      <c r="V65" s="442"/>
    </row>
    <row r="66" spans="1:22" ht="16.5" thickBot="1" x14ac:dyDescent="0.3">
      <c r="A66" s="458"/>
      <c r="C66" s="97">
        <f>SUM(C57:C65)</f>
        <v>47.93</v>
      </c>
      <c r="D66" s="97">
        <f>SUM(D57:D65)</f>
        <v>0</v>
      </c>
      <c r="E66" s="97">
        <f>SUM(E57:E65)</f>
        <v>95.86</v>
      </c>
      <c r="F66" s="816" t="s">
        <v>460</v>
      </c>
      <c r="G66" s="816"/>
      <c r="H66" s="816"/>
      <c r="I66" s="97">
        <f>SUM(I57:I65)</f>
        <v>391503.42000000004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95.86</v>
      </c>
      <c r="D69" s="791" t="s">
        <v>427</v>
      </c>
      <c r="E69" s="791"/>
      <c r="F69" s="791"/>
      <c r="G69" s="791"/>
      <c r="H69" s="299">
        <f>'1461'!H69</f>
        <v>215320.92</v>
      </c>
      <c r="I69" s="113"/>
      <c r="N69" s="870" t="s">
        <v>420</v>
      </c>
      <c r="O69" s="851"/>
      <c r="P69" s="41">
        <f>P30</f>
        <v>95.86</v>
      </c>
      <c r="Q69" s="871" t="s">
        <v>422</v>
      </c>
      <c r="R69" s="872"/>
      <c r="S69" s="872"/>
      <c r="T69" s="873">
        <f>H69</f>
        <v>215320.92</v>
      </c>
      <c r="U69" s="873"/>
    </row>
    <row r="70" spans="1:22" x14ac:dyDescent="0.25">
      <c r="B70" s="69"/>
      <c r="G70" s="42" t="s">
        <v>12</v>
      </c>
      <c r="H70" s="114">
        <f>ROUND(C69/H69,6)</f>
        <v>4.4499999999999997E-4</v>
      </c>
      <c r="I70" s="115"/>
      <c r="N70" s="851"/>
      <c r="O70" s="851"/>
      <c r="P70" s="851"/>
      <c r="Q70" s="851"/>
      <c r="R70" s="851"/>
      <c r="S70" s="851"/>
      <c r="T70" s="869">
        <f>ROUND(P69/T69,6)</f>
        <v>4.4499999999999997E-4</v>
      </c>
      <c r="U70" s="869"/>
    </row>
    <row r="71" spans="1:22" x14ac:dyDescent="0.25">
      <c r="A71" s="460" t="s">
        <v>463</v>
      </c>
      <c r="N71" s="471" t="s">
        <v>471</v>
      </c>
      <c r="O71" s="51"/>
      <c r="P71" s="51"/>
      <c r="Q71" s="51"/>
      <c r="R71" s="51"/>
      <c r="S71" s="51"/>
      <c r="T71" s="51"/>
      <c r="U71" s="51"/>
    </row>
    <row r="72" spans="1:22" x14ac:dyDescent="0.25">
      <c r="A72" s="810" t="s">
        <v>417</v>
      </c>
      <c r="B72" s="804"/>
      <c r="C72" s="112">
        <f>H30</f>
        <v>93.315899999999999</v>
      </c>
      <c r="D72" s="791" t="s">
        <v>428</v>
      </c>
      <c r="E72" s="791"/>
      <c r="F72" s="791"/>
      <c r="G72" s="791"/>
      <c r="H72" s="300">
        <f>'1461'!H72</f>
        <v>229051.25000000003</v>
      </c>
      <c r="I72" s="116"/>
      <c r="N72" s="870" t="s">
        <v>421</v>
      </c>
      <c r="O72" s="851"/>
      <c r="P72" s="41">
        <f>T30</f>
        <v>95.86</v>
      </c>
      <c r="Q72" s="871" t="s">
        <v>423</v>
      </c>
      <c r="R72" s="872"/>
      <c r="S72" s="872"/>
      <c r="T72" s="873">
        <f>H72</f>
        <v>229051.25000000003</v>
      </c>
      <c r="U72" s="873"/>
    </row>
    <row r="73" spans="1:22" x14ac:dyDescent="0.25">
      <c r="G73" s="42" t="s">
        <v>12</v>
      </c>
      <c r="H73" s="114">
        <f>ROUND(C72/H72,6)</f>
        <v>4.0700000000000003E-4</v>
      </c>
      <c r="I73" s="114"/>
      <c r="N73" s="851"/>
      <c r="O73" s="851"/>
      <c r="P73" s="851"/>
      <c r="Q73" s="851"/>
      <c r="R73" s="851"/>
      <c r="S73" s="851"/>
      <c r="T73" s="869">
        <f>ROUND(P72/T72,6)</f>
        <v>4.1899999999999999E-4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95.86</v>
      </c>
      <c r="D75" s="783" t="s">
        <v>429</v>
      </c>
      <c r="E75" s="783"/>
      <c r="F75" s="783"/>
      <c r="G75" s="783"/>
      <c r="H75" s="299">
        <f>'1461'!H75</f>
        <v>186156.17</v>
      </c>
      <c r="I75" s="113"/>
      <c r="N75" s="870" t="s">
        <v>419</v>
      </c>
      <c r="O75" s="851"/>
      <c r="P75" s="41">
        <f>P30</f>
        <v>95.86</v>
      </c>
      <c r="Q75" s="878" t="s">
        <v>424</v>
      </c>
      <c r="R75" s="879"/>
      <c r="S75" s="879"/>
      <c r="T75" s="873">
        <f>H75</f>
        <v>186156.17</v>
      </c>
      <c r="U75" s="873"/>
    </row>
    <row r="76" spans="1:22" x14ac:dyDescent="0.25">
      <c r="B76" s="69"/>
      <c r="G76" s="42" t="s">
        <v>12</v>
      </c>
      <c r="H76" s="114">
        <f>ROUND(C75/H75,6)</f>
        <v>5.1500000000000005E-4</v>
      </c>
      <c r="I76" s="115"/>
      <c r="N76" s="851"/>
      <c r="O76" s="851"/>
      <c r="P76" s="851"/>
      <c r="Q76" s="851"/>
      <c r="R76" s="851"/>
      <c r="S76" s="851"/>
      <c r="T76" s="869">
        <f>ROUND(P75/T75,6)</f>
        <v>5.1500000000000005E-4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95.86</v>
      </c>
      <c r="D78" s="811" t="s">
        <v>430</v>
      </c>
      <c r="E78" s="811"/>
      <c r="F78" s="811"/>
      <c r="G78" s="811"/>
      <c r="H78" s="299">
        <f>'1461'!H78</f>
        <v>215016.58000000002</v>
      </c>
      <c r="I78" s="113"/>
      <c r="N78" s="870" t="s">
        <v>419</v>
      </c>
      <c r="O78" s="851"/>
      <c r="P78" s="41">
        <f>P30</f>
        <v>95.86</v>
      </c>
      <c r="Q78" s="876" t="s">
        <v>425</v>
      </c>
      <c r="R78" s="877"/>
      <c r="S78" s="877"/>
      <c r="T78" s="873">
        <f>H78</f>
        <v>215016.58000000002</v>
      </c>
      <c r="U78" s="873"/>
    </row>
    <row r="79" spans="1:22" x14ac:dyDescent="0.25">
      <c r="B79" s="69"/>
      <c r="G79" s="42" t="s">
        <v>12</v>
      </c>
      <c r="H79" s="114">
        <f>ROUND(C78/H78,6)</f>
        <v>4.46E-4</v>
      </c>
      <c r="I79" s="115"/>
      <c r="N79" s="851"/>
      <c r="O79" s="851"/>
      <c r="P79" s="851"/>
      <c r="Q79" s="851"/>
      <c r="R79" s="851"/>
      <c r="S79" s="851"/>
      <c r="T79" s="869">
        <f>ROUND(P78/T78,6)</f>
        <v>4.46E-4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95.86</v>
      </c>
      <c r="D81" s="783" t="s">
        <v>431</v>
      </c>
      <c r="E81" s="783"/>
      <c r="F81" s="783"/>
      <c r="G81" s="783"/>
      <c r="H81" s="299">
        <f>'1461'!H81</f>
        <v>185851.83000000002</v>
      </c>
      <c r="I81" s="113"/>
      <c r="N81" s="870" t="s">
        <v>432</v>
      </c>
      <c r="O81" s="851"/>
      <c r="P81" s="41">
        <f>P30</f>
        <v>95.86</v>
      </c>
      <c r="Q81" s="878" t="s">
        <v>433</v>
      </c>
      <c r="R81" s="879"/>
      <c r="S81" s="879"/>
      <c r="T81" s="873">
        <f>H81</f>
        <v>185851.83000000002</v>
      </c>
      <c r="U81" s="873"/>
    </row>
    <row r="82" spans="1:21" x14ac:dyDescent="0.25">
      <c r="B82" s="69"/>
      <c r="G82" s="42" t="s">
        <v>12</v>
      </c>
      <c r="H82" s="114">
        <f>ROUND(C81/H81,6)</f>
        <v>5.1599999999999997E-4</v>
      </c>
      <c r="I82" s="115"/>
      <c r="N82" s="851"/>
      <c r="O82" s="851"/>
      <c r="P82" s="851"/>
      <c r="Q82" s="851"/>
      <c r="R82" s="851"/>
      <c r="S82" s="851"/>
      <c r="T82" s="869">
        <f>ROUND(P81/T81,6)</f>
        <v>5.1599999999999997E-4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4.46E-4</v>
      </c>
      <c r="I85" s="101">
        <f>ROUND(F85*H85,2)</f>
        <v>21091.67</v>
      </c>
      <c r="N85" s="471" t="s">
        <v>467</v>
      </c>
      <c r="O85" s="51"/>
      <c r="P85" s="51"/>
      <c r="Q85" s="44"/>
      <c r="R85" s="437">
        <f>F85</f>
        <v>47290747</v>
      </c>
      <c r="S85" s="38" t="s">
        <v>6</v>
      </c>
      <c r="T85" s="439">
        <f>T79</f>
        <v>4.46E-4</v>
      </c>
      <c r="U85" s="491">
        <f>ROUND(R85*T85,2)</f>
        <v>21091.67</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4.4499999999999997E-4</v>
      </c>
      <c r="I88" s="101">
        <f>ROUND(F88*H88,2)</f>
        <v>0</v>
      </c>
      <c r="N88" s="880" t="s">
        <v>99</v>
      </c>
      <c r="O88" s="851"/>
      <c r="P88" s="851"/>
      <c r="Q88" s="44"/>
      <c r="R88" s="437">
        <f>F88</f>
        <v>0</v>
      </c>
      <c r="S88" s="38" t="s">
        <v>6</v>
      </c>
      <c r="T88" s="439">
        <f>T70</f>
        <v>4.4499999999999997E-4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5.1599999999999997E-4</v>
      </c>
      <c r="I90" s="101">
        <f>ROUND(F90*H90,2)</f>
        <v>9890.6299999999992</v>
      </c>
      <c r="N90" s="471" t="s">
        <v>468</v>
      </c>
      <c r="O90" s="51"/>
      <c r="P90" s="51"/>
      <c r="Q90" s="44"/>
      <c r="R90" s="437">
        <f>F90</f>
        <v>19167881</v>
      </c>
      <c r="S90" s="38" t="s">
        <v>6</v>
      </c>
      <c r="T90" s="439">
        <f>T82</f>
        <v>5.1599999999999997E-4</v>
      </c>
      <c r="U90" s="491">
        <f>ROUND(R90*T90,2)</f>
        <v>9890.6299999999992</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5.1500000000000005E-4</v>
      </c>
      <c r="I92" s="101">
        <f t="shared" ref="I92:I96" si="14">ROUND(F92*H92,2)</f>
        <v>5946.65</v>
      </c>
      <c r="N92" s="471" t="s">
        <v>469</v>
      </c>
      <c r="O92" s="51"/>
      <c r="P92" s="51"/>
      <c r="Q92" s="44"/>
      <c r="R92" s="437">
        <f t="shared" ref="R92:R96" si="15">F92</f>
        <v>11546889</v>
      </c>
      <c r="S92" s="38" t="s">
        <v>6</v>
      </c>
      <c r="T92" s="439">
        <f>T76</f>
        <v>5.1500000000000005E-4</v>
      </c>
      <c r="U92" s="491">
        <f>ROUND(R92*T92,2)</f>
        <v>5946.65</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4.0700000000000003E-4</v>
      </c>
      <c r="I94" s="101">
        <f t="shared" si="14"/>
        <v>109408.23</v>
      </c>
      <c r="N94" s="851" t="s">
        <v>435</v>
      </c>
      <c r="O94" s="851"/>
      <c r="P94" s="851"/>
      <c r="Q94" s="44"/>
      <c r="R94" s="437">
        <f t="shared" si="15"/>
        <v>268816278</v>
      </c>
      <c r="S94" s="38" t="s">
        <v>6</v>
      </c>
      <c r="T94" s="439">
        <f>T73</f>
        <v>4.1899999999999999E-4</v>
      </c>
      <c r="U94" s="491">
        <f>ROUND(R94*T94,2)</f>
        <v>112634.02</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4.0700000000000003E-4</v>
      </c>
      <c r="I96" s="101">
        <f t="shared" si="14"/>
        <v>0</v>
      </c>
      <c r="N96" s="870" t="s">
        <v>436</v>
      </c>
      <c r="O96" s="851"/>
      <c r="P96" s="851"/>
      <c r="Q96" s="44"/>
      <c r="R96" s="437">
        <f t="shared" si="15"/>
        <v>0</v>
      </c>
      <c r="S96" s="38" t="s">
        <v>6</v>
      </c>
      <c r="T96" s="439">
        <f>T73</f>
        <v>4.1899999999999999E-4</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4.4499999999999997E-4</v>
      </c>
      <c r="I98" s="101">
        <f t="shared" ref="I98" si="16">ROUND(F98*H98,2)</f>
        <v>0</v>
      </c>
      <c r="N98" s="550" t="s">
        <v>507</v>
      </c>
      <c r="O98" s="550"/>
      <c r="P98" s="550"/>
      <c r="Q98" s="44"/>
      <c r="R98" s="553">
        <f>F98</f>
        <v>0</v>
      </c>
      <c r="S98" s="551" t="s">
        <v>6</v>
      </c>
      <c r="T98" s="439">
        <f>T70</f>
        <v>4.4499999999999997E-4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v>
      </c>
      <c r="D105" s="822"/>
      <c r="E105" s="46">
        <f>H8</f>
        <v>1.0355000000000001</v>
      </c>
      <c r="F105" s="302">
        <f>'1461'!F105</f>
        <v>915.09</v>
      </c>
      <c r="G105" s="39" t="s">
        <v>12</v>
      </c>
      <c r="H105" s="101">
        <f>ROUND(C105*E105*F105,2)</f>
        <v>4737.88</v>
      </c>
      <c r="N105" s="50" t="s">
        <v>13</v>
      </c>
      <c r="O105" s="47">
        <f>T16+T17+T21+T24+T27</f>
        <v>5</v>
      </c>
      <c r="P105" s="881">
        <f>T8</f>
        <v>1.0355000000000001</v>
      </c>
      <c r="Q105" s="881"/>
      <c r="R105" s="48">
        <f>F105</f>
        <v>915.09</v>
      </c>
      <c r="S105" s="40" t="s">
        <v>12</v>
      </c>
      <c r="T105" s="497">
        <f>ROUND(O105*P105*R105,2)</f>
        <v>4737.88</v>
      </c>
      <c r="U105" s="51"/>
    </row>
    <row r="106" spans="1:21" ht="16.5" thickBot="1" x14ac:dyDescent="0.3">
      <c r="A106" s="52"/>
      <c r="B106" s="52" t="s">
        <v>103</v>
      </c>
      <c r="C106" s="822">
        <f>H18+H19+H22+H25+H28+H29</f>
        <v>88.315899999999999</v>
      </c>
      <c r="D106" s="822"/>
      <c r="E106" s="46">
        <f>H8</f>
        <v>1.0355000000000001</v>
      </c>
      <c r="F106" s="302">
        <f>'1461'!F106</f>
        <v>917.3</v>
      </c>
      <c r="G106" s="39" t="s">
        <v>12</v>
      </c>
      <c r="H106" s="94">
        <f>ROUND(C106*E106*F106,2)</f>
        <v>83888.11</v>
      </c>
      <c r="N106" s="53" t="s">
        <v>14</v>
      </c>
      <c r="O106" s="54">
        <f>T18+T19+T22+T25+T28+T29</f>
        <v>90.86</v>
      </c>
      <c r="P106" s="881">
        <f>T8</f>
        <v>1.0355000000000001</v>
      </c>
      <c r="Q106" s="881"/>
      <c r="R106" s="48">
        <f>F106</f>
        <v>917.3</v>
      </c>
      <c r="S106" s="40" t="s">
        <v>12</v>
      </c>
      <c r="T106" s="497">
        <f>ROUND(O106*P106*R106,2)</f>
        <v>86304.66</v>
      </c>
      <c r="U106" s="51"/>
    </row>
    <row r="107" spans="1:21" ht="16.5" thickBot="1" x14ac:dyDescent="0.3">
      <c r="A107" s="55"/>
      <c r="B107" s="122" t="s">
        <v>102</v>
      </c>
      <c r="C107" s="812">
        <f>SUM(C104:C106)</f>
        <v>93.315899999999999</v>
      </c>
      <c r="D107" s="812"/>
      <c r="E107" s="123"/>
      <c r="F107" s="123"/>
      <c r="G107" s="123"/>
      <c r="H107" s="124" t="s">
        <v>100</v>
      </c>
      <c r="I107" s="101">
        <f>IF(A1=75,0,H106+H105+H104)</f>
        <v>88625.99</v>
      </c>
      <c r="N107" s="56" t="s">
        <v>89</v>
      </c>
      <c r="O107" s="57">
        <f>SUM(O104:O106)</f>
        <v>95.86</v>
      </c>
      <c r="P107" s="887" t="s">
        <v>16</v>
      </c>
      <c r="Q107" s="888"/>
      <c r="R107" s="888"/>
      <c r="S107" s="888"/>
      <c r="T107" s="888"/>
      <c r="U107" s="491">
        <f>IF(N1=75,0,T106+T105+T104)</f>
        <v>91042.540000000008</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40</v>
      </c>
      <c r="D113" s="143">
        <v>41</v>
      </c>
      <c r="E113" s="116">
        <f>(C113+D113)/2</f>
        <v>40.5</v>
      </c>
      <c r="F113" s="126" t="s">
        <v>30</v>
      </c>
      <c r="G113" s="303">
        <f>'1461'!G113</f>
        <v>617</v>
      </c>
      <c r="I113" s="101">
        <f>ROUND(G113*E113,2)</f>
        <v>24988.5</v>
      </c>
      <c r="N113" s="885" t="s">
        <v>52</v>
      </c>
      <c r="O113" s="885"/>
      <c r="P113" s="886">
        <f>IF(H133=1,E113,0)</f>
        <v>40.5</v>
      </c>
      <c r="Q113" s="886"/>
      <c r="R113" s="886"/>
      <c r="S113" s="83" t="s">
        <v>30</v>
      </c>
      <c r="T113" s="58">
        <f>G113</f>
        <v>617</v>
      </c>
      <c r="U113" s="491">
        <f>ROUND(T113*P113,2)</f>
        <v>24988.5</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1170601.9900000002</v>
      </c>
      <c r="N128" s="471"/>
      <c r="O128" s="470"/>
      <c r="P128" s="470"/>
      <c r="Q128" s="305"/>
      <c r="R128" s="305"/>
      <c r="S128" s="305"/>
      <c r="T128" s="305"/>
      <c r="U128" s="498">
        <f>SUM(U30,U85,U88,U90,U92,U94,U96,U107,U113,U114,U124,U126)</f>
        <v>798894.57000000007</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1133171.5000000002</v>
      </c>
      <c r="N130" s="851" t="s">
        <v>447</v>
      </c>
      <c r="O130" s="851"/>
      <c r="P130" s="851"/>
      <c r="Q130" s="851"/>
      <c r="R130" s="851"/>
      <c r="S130" s="851"/>
      <c r="T130" s="851"/>
      <c r="U130" s="132">
        <f>U128-U53</f>
        <v>760443.60000000009</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760443.60000000009</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760443.60000000009</v>
      </c>
      <c r="I135" s="94">
        <f>ROUND(IF(E30=0,0,IF(E30&gt;250,-(((250/E30)*H135)*IF(G135="H",0.02,0.05)),IF(G135="H",-0.02*H135,-0.05*H135))),2)</f>
        <v>-38022.18</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1132579.8100000003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Payments'!Q89</f>
        <v>-93540.76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1039039.0500000003</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94458.1</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N130:T130"/>
    <mergeCell ref="A128:H128"/>
    <mergeCell ref="A132:G132"/>
    <mergeCell ref="A123:B123"/>
    <mergeCell ref="F123:G123"/>
    <mergeCell ref="N123:O123"/>
    <mergeCell ref="P123:Q123"/>
    <mergeCell ref="F126:H126"/>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CCCC"/>
  </sheetPr>
  <dimension ref="A1:V221"/>
  <sheetViews>
    <sheetView topLeftCell="A105"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121</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0.5</v>
      </c>
      <c r="D16" s="143">
        <v>0</v>
      </c>
      <c r="E16" s="116">
        <f t="shared" si="1"/>
        <v>1</v>
      </c>
      <c r="F16" s="850">
        <f>'1461'!F16:G16</f>
        <v>1</v>
      </c>
      <c r="G16" s="850"/>
      <c r="H16" s="80">
        <f t="shared" si="2"/>
        <v>1</v>
      </c>
      <c r="I16" s="101">
        <f t="shared" si="3"/>
        <v>5563.33</v>
      </c>
      <c r="N16" s="851" t="s">
        <v>22</v>
      </c>
      <c r="O16" s="851"/>
      <c r="P16" s="848">
        <f t="shared" si="0"/>
        <v>0</v>
      </c>
      <c r="Q16" s="848"/>
      <c r="R16" s="852">
        <v>1</v>
      </c>
      <c r="S16" s="852"/>
      <c r="T16" s="95">
        <f t="shared" si="4"/>
        <v>0</v>
      </c>
      <c r="U16" s="491">
        <f t="shared" si="5"/>
        <v>0</v>
      </c>
    </row>
    <row r="17" spans="1:21" x14ac:dyDescent="0.25">
      <c r="A17" s="804" t="s">
        <v>23</v>
      </c>
      <c r="B17" s="804"/>
      <c r="C17" s="143">
        <v>0.5</v>
      </c>
      <c r="D17" s="143">
        <v>0</v>
      </c>
      <c r="E17" s="116">
        <f t="shared" si="1"/>
        <v>1</v>
      </c>
      <c r="F17" s="850">
        <f>'1461'!F17:G17</f>
        <v>1</v>
      </c>
      <c r="G17" s="850"/>
      <c r="H17" s="80">
        <f t="shared" si="2"/>
        <v>1</v>
      </c>
      <c r="I17" s="101">
        <f t="shared" si="3"/>
        <v>5563.33</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159.38</v>
      </c>
      <c r="D18" s="143">
        <v>0</v>
      </c>
      <c r="E18" s="116">
        <f t="shared" si="1"/>
        <v>318.76</v>
      </c>
      <c r="F18" s="850">
        <f>'1461'!F18:G18</f>
        <v>0.97199999999999998</v>
      </c>
      <c r="G18" s="850"/>
      <c r="H18" s="80">
        <f t="shared" si="2"/>
        <v>309.8347</v>
      </c>
      <c r="I18" s="101">
        <f t="shared" si="3"/>
        <v>1723711.84</v>
      </c>
      <c r="N18" s="851" t="s">
        <v>24</v>
      </c>
      <c r="O18" s="851"/>
      <c r="P18" s="848">
        <f t="shared" si="0"/>
        <v>0</v>
      </c>
      <c r="Q18" s="848"/>
      <c r="R18" s="852">
        <v>1</v>
      </c>
      <c r="S18" s="852"/>
      <c r="T18" s="95">
        <f t="shared" si="4"/>
        <v>0</v>
      </c>
      <c r="U18" s="491">
        <f t="shared" si="5"/>
        <v>0</v>
      </c>
    </row>
    <row r="19" spans="1:21" x14ac:dyDescent="0.25">
      <c r="A19" s="804" t="s">
        <v>25</v>
      </c>
      <c r="B19" s="804"/>
      <c r="C19" s="143">
        <v>39.5</v>
      </c>
      <c r="D19" s="143">
        <v>0</v>
      </c>
      <c r="E19" s="116">
        <f t="shared" si="1"/>
        <v>79</v>
      </c>
      <c r="F19" s="850">
        <f>'1461'!F19:G19</f>
        <v>0.97199999999999998</v>
      </c>
      <c r="G19" s="850"/>
      <c r="H19" s="80">
        <f t="shared" si="2"/>
        <v>76.787999999999997</v>
      </c>
      <c r="I19" s="101">
        <f t="shared" si="3"/>
        <v>427196.78</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11.26</v>
      </c>
      <c r="D28" s="143">
        <v>0</v>
      </c>
      <c r="E28" s="116">
        <f t="shared" si="1"/>
        <v>22.52</v>
      </c>
      <c r="F28" s="850">
        <f>'1461'!F28:G28</f>
        <v>1.165</v>
      </c>
      <c r="G28" s="850"/>
      <c r="H28" s="80">
        <f t="shared" si="2"/>
        <v>26.235800000000001</v>
      </c>
      <c r="I28" s="101">
        <f t="shared" si="3"/>
        <v>145958.34</v>
      </c>
      <c r="N28" s="851" t="s">
        <v>87</v>
      </c>
      <c r="O28" s="851"/>
      <c r="P28" s="848">
        <f t="shared" si="0"/>
        <v>0</v>
      </c>
      <c r="Q28" s="848"/>
      <c r="R28" s="852">
        <v>1</v>
      </c>
      <c r="S28" s="852"/>
      <c r="T28" s="95">
        <f t="shared" si="4"/>
        <v>0</v>
      </c>
      <c r="U28" s="491">
        <f t="shared" si="5"/>
        <v>0</v>
      </c>
    </row>
    <row r="29" spans="1:21" x14ac:dyDescent="0.25">
      <c r="A29" s="804" t="s">
        <v>88</v>
      </c>
      <c r="B29" s="804"/>
      <c r="C29" s="110">
        <v>1.7</v>
      </c>
      <c r="D29" s="110">
        <v>0</v>
      </c>
      <c r="E29" s="154">
        <f t="shared" si="1"/>
        <v>3.4</v>
      </c>
      <c r="F29" s="850">
        <f>'1461'!F29:G29</f>
        <v>1.081</v>
      </c>
      <c r="G29" s="850"/>
      <c r="H29" s="93">
        <f t="shared" si="2"/>
        <v>3.6753999999999998</v>
      </c>
      <c r="I29" s="94">
        <f t="shared" si="3"/>
        <v>20447.45</v>
      </c>
      <c r="N29" s="853" t="s">
        <v>88</v>
      </c>
      <c r="O29" s="853"/>
      <c r="P29" s="848">
        <f t="shared" si="0"/>
        <v>0</v>
      </c>
      <c r="Q29" s="848"/>
      <c r="R29" s="854">
        <v>1</v>
      </c>
      <c r="S29" s="854"/>
      <c r="T29" s="95">
        <f t="shared" si="4"/>
        <v>0</v>
      </c>
      <c r="U29" s="491">
        <f t="shared" si="5"/>
        <v>0</v>
      </c>
    </row>
    <row r="30" spans="1:21" x14ac:dyDescent="0.25">
      <c r="A30" s="816" t="s">
        <v>5</v>
      </c>
      <c r="B30" s="816"/>
      <c r="C30" s="94">
        <f>SUM(C14:C29)</f>
        <v>212.83999999999997</v>
      </c>
      <c r="D30" s="94">
        <f>SUM(D14:D29)</f>
        <v>0</v>
      </c>
      <c r="E30" s="94">
        <f>SUM(E14:E29)</f>
        <v>425.67999999999995</v>
      </c>
      <c r="F30" s="808"/>
      <c r="G30" s="808"/>
      <c r="H30" s="99">
        <f>SUM(H14:H29)</f>
        <v>418.53390000000002</v>
      </c>
      <c r="I30" s="94">
        <f>SUM(I14:I29)</f>
        <v>2328441.0700000003</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418.53390000000002</v>
      </c>
      <c r="F46" s="34"/>
      <c r="G46" s="106"/>
      <c r="H46" s="107" t="s">
        <v>98</v>
      </c>
      <c r="I46" s="94">
        <f>SUM(I44,I30)</f>
        <v>2328441.0700000003</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2328441.0700000003</v>
      </c>
      <c r="G51" s="109" t="s">
        <v>6</v>
      </c>
      <c r="H51" s="420">
        <f>'1461'!H51</f>
        <v>6.6699999999999995E-2</v>
      </c>
      <c r="I51" s="101">
        <f>ROUND(F51*H51,2)</f>
        <v>155307.01999999999</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2328441.0700000003</v>
      </c>
      <c r="G52" s="109" t="s">
        <v>6</v>
      </c>
      <c r="H52" s="420">
        <f>'1461'!H52</f>
        <v>5.4000000000000003E-3</v>
      </c>
      <c r="I52" s="101">
        <f>ROUND(F52*H52,2)</f>
        <v>12573.58</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167880.59999999998</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0.5</v>
      </c>
      <c r="D60" s="143">
        <v>0</v>
      </c>
      <c r="E60" s="116">
        <f t="shared" si="10"/>
        <v>1</v>
      </c>
      <c r="F60" s="462" t="s">
        <v>13</v>
      </c>
      <c r="G60" s="461">
        <v>251</v>
      </c>
      <c r="H60" s="475">
        <f>'1461'!H60</f>
        <v>1173</v>
      </c>
      <c r="I60" s="101">
        <f t="shared" si="11"/>
        <v>1173</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35</v>
      </c>
      <c r="D63" s="143">
        <v>0</v>
      </c>
      <c r="E63" s="116">
        <f t="shared" si="10"/>
        <v>70</v>
      </c>
      <c r="F63" s="462" t="s">
        <v>14</v>
      </c>
      <c r="G63" s="461">
        <v>251</v>
      </c>
      <c r="H63" s="475">
        <f>'1461'!H63</f>
        <v>835</v>
      </c>
      <c r="I63" s="101">
        <f t="shared" si="11"/>
        <v>58450</v>
      </c>
      <c r="N63" s="866"/>
      <c r="O63" s="866"/>
      <c r="P63" s="868"/>
      <c r="Q63" s="868"/>
      <c r="R63" s="40" t="s">
        <v>14</v>
      </c>
      <c r="S63" s="467">
        <v>251</v>
      </c>
      <c r="T63" s="478">
        <f t="shared" si="12"/>
        <v>835</v>
      </c>
      <c r="U63" s="492">
        <f t="shared" si="13"/>
        <v>0</v>
      </c>
      <c r="V63" s="442"/>
    </row>
    <row r="64" spans="1:22" x14ac:dyDescent="0.25">
      <c r="A64" s="815"/>
      <c r="B64" s="815"/>
      <c r="C64" s="143">
        <v>4</v>
      </c>
      <c r="D64" s="143">
        <v>0</v>
      </c>
      <c r="E64" s="116">
        <f t="shared" si="10"/>
        <v>8</v>
      </c>
      <c r="F64" s="462" t="s">
        <v>14</v>
      </c>
      <c r="G64" s="461">
        <v>252</v>
      </c>
      <c r="H64" s="475">
        <f>'1461'!H64</f>
        <v>3168</v>
      </c>
      <c r="I64" s="101">
        <f t="shared" si="11"/>
        <v>25344</v>
      </c>
      <c r="N64" s="866"/>
      <c r="O64" s="866"/>
      <c r="P64" s="868"/>
      <c r="Q64" s="868"/>
      <c r="R64" s="40" t="s">
        <v>14</v>
      </c>
      <c r="S64" s="467">
        <v>252</v>
      </c>
      <c r="T64" s="478">
        <f t="shared" si="12"/>
        <v>3168</v>
      </c>
      <c r="U64" s="492">
        <f t="shared" si="13"/>
        <v>0</v>
      </c>
      <c r="V64" s="442"/>
    </row>
    <row r="65" spans="1:22" ht="16.5" thickBot="1" x14ac:dyDescent="0.3">
      <c r="A65" s="815"/>
      <c r="B65" s="815"/>
      <c r="C65" s="143">
        <v>0.5</v>
      </c>
      <c r="D65" s="143">
        <v>0</v>
      </c>
      <c r="E65" s="116">
        <f t="shared" si="10"/>
        <v>1</v>
      </c>
      <c r="F65" s="462" t="s">
        <v>14</v>
      </c>
      <c r="G65" s="461">
        <v>253</v>
      </c>
      <c r="H65" s="475">
        <f>'1461'!H65</f>
        <v>6685</v>
      </c>
      <c r="I65" s="101">
        <f t="shared" si="11"/>
        <v>6685</v>
      </c>
      <c r="N65" s="866"/>
      <c r="O65" s="866"/>
      <c r="P65" s="874"/>
      <c r="Q65" s="874"/>
      <c r="R65" s="40" t="s">
        <v>14</v>
      </c>
      <c r="S65" s="467">
        <v>253</v>
      </c>
      <c r="T65" s="478">
        <f t="shared" si="12"/>
        <v>6685</v>
      </c>
      <c r="U65" s="493">
        <f t="shared" si="13"/>
        <v>0</v>
      </c>
      <c r="V65" s="442"/>
    </row>
    <row r="66" spans="1:22" ht="16.5" thickBot="1" x14ac:dyDescent="0.3">
      <c r="A66" s="458"/>
      <c r="C66" s="97">
        <f>SUM(C57:C65)</f>
        <v>40</v>
      </c>
      <c r="D66" s="97">
        <f>SUM(D57:D65)</f>
        <v>0</v>
      </c>
      <c r="E66" s="97">
        <f>SUM(E57:E65)</f>
        <v>80</v>
      </c>
      <c r="F66" s="816" t="s">
        <v>460</v>
      </c>
      <c r="G66" s="816"/>
      <c r="H66" s="816"/>
      <c r="I66" s="97">
        <f>SUM(I57:I65)</f>
        <v>91652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425.67999999999995</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1.977E-3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418.53390000000002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1.8270000000000001E-3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425.67999999999995</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2.287E-3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425.67999999999995</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1.98E-3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425.67999999999995</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2.2899999999999999E-3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1.98E-3</v>
      </c>
      <c r="I85" s="101">
        <f>ROUND(F85*H85,2)</f>
        <v>93635.68</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1.977E-3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2.2899999999999999E-3</v>
      </c>
      <c r="I90" s="101">
        <f>ROUND(F90*H90,2)</f>
        <v>43894.45</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2.287E-3</v>
      </c>
      <c r="I92" s="101">
        <f t="shared" ref="I92:I96" si="14">ROUND(F92*H92,2)</f>
        <v>26407.74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1.8270000000000001E-3</v>
      </c>
      <c r="I94" s="101">
        <f t="shared" si="14"/>
        <v>491127.34</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1.8270000000000001E-3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1.977E-3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2</v>
      </c>
      <c r="D105" s="822"/>
      <c r="E105" s="46">
        <f>H8</f>
        <v>1.0355000000000001</v>
      </c>
      <c r="F105" s="302">
        <f>'1461'!F105</f>
        <v>915.09</v>
      </c>
      <c r="G105" s="39" t="s">
        <v>12</v>
      </c>
      <c r="H105" s="101">
        <f>ROUND(C105*E105*F105,2)</f>
        <v>1895.15</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416.53390000000002</v>
      </c>
      <c r="D106" s="822"/>
      <c r="E106" s="46">
        <f>H8</f>
        <v>1.0355000000000001</v>
      </c>
      <c r="F106" s="302">
        <f>'1461'!F106</f>
        <v>917.3</v>
      </c>
      <c r="G106" s="39" t="s">
        <v>12</v>
      </c>
      <c r="H106" s="94">
        <f>ROUND(C106*E106*F106,2)</f>
        <v>395650.62</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418.53390000000002</v>
      </c>
      <c r="D107" s="812"/>
      <c r="E107" s="123"/>
      <c r="F107" s="123"/>
      <c r="G107" s="123"/>
      <c r="H107" s="124" t="s">
        <v>100</v>
      </c>
      <c r="I107" s="101">
        <f>IF(A1=75,0,H106+H105+H104)</f>
        <v>397545.77</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276</v>
      </c>
      <c r="D113" s="143">
        <v>308</v>
      </c>
      <c r="E113" s="116">
        <f>(C113+D113)/2</f>
        <v>292</v>
      </c>
      <c r="F113" s="126" t="s">
        <v>30</v>
      </c>
      <c r="G113" s="303">
        <f>'1461'!G113</f>
        <v>617</v>
      </c>
      <c r="I113" s="101">
        <f>ROUND(G113*E113,2)</f>
        <v>180164</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3652868.0500000007</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3484987.4500000007</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3484987.4500000007</v>
      </c>
      <c r="I135" s="94">
        <f>ROUND(IF(E30=0,0,IF(E30&gt;250,-(((250/E30)*H135)*IF(G135="H",0.02,0.05)),IF(G135="H",-0.02*H135,-0.05*H135))),2)</f>
        <v>-102335.89</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3550532.1600000006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Payments'!Q90</f>
        <v>-291401.55</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3259130.6100000008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296284.59999999998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71913.48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CCCC"/>
  </sheetPr>
  <dimension ref="A1:V221"/>
  <sheetViews>
    <sheetView topLeftCell="A105"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99.81</v>
      </c>
      <c r="D14" s="141">
        <v>0</v>
      </c>
      <c r="E14" s="187">
        <f>IF(D$30=0,C14*2,C14+D14)</f>
        <v>199.62</v>
      </c>
      <c r="F14" s="846">
        <f>'1461'!F14:G14</f>
        <v>1.1080000000000001</v>
      </c>
      <c r="G14" s="846"/>
      <c r="H14" s="145">
        <f>ROUND(E14*F14,4)</f>
        <v>221.179</v>
      </c>
      <c r="I14" s="111">
        <f>ROUND(ROUND(ROUND(H14*$C$8,4)*($H$8),2)*(MAX($H$9,1)),2)</f>
        <v>1230491.17</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18</v>
      </c>
      <c r="D15" s="143">
        <v>0</v>
      </c>
      <c r="E15" s="116">
        <f t="shared" ref="E15:E29" si="1">IF(D$30=0,C15*2,C15+D15)</f>
        <v>36</v>
      </c>
      <c r="F15" s="850">
        <f>'1461'!F15:G15</f>
        <v>1.1080000000000001</v>
      </c>
      <c r="G15" s="850"/>
      <c r="H15" s="80">
        <f t="shared" ref="H15:H29" si="2">ROUND(E15*F15,4)</f>
        <v>39.887999999999998</v>
      </c>
      <c r="I15" s="101">
        <f t="shared" ref="I15:I29" si="3">ROUND(ROUND(ROUND(H15*$C$8,4)*($H$8),2)*(MAX($H$9,1)),2)</f>
        <v>221910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47.68</v>
      </c>
      <c r="D16" s="143">
        <v>0</v>
      </c>
      <c r="E16" s="116">
        <f t="shared" si="1"/>
        <v>95.36</v>
      </c>
      <c r="F16" s="850">
        <f>'1461'!F16:G16</f>
        <v>1</v>
      </c>
      <c r="G16" s="850"/>
      <c r="H16" s="80">
        <f t="shared" si="2"/>
        <v>95.36</v>
      </c>
      <c r="I16" s="101">
        <f t="shared" si="3"/>
        <v>530518.89</v>
      </c>
      <c r="N16" s="851" t="s">
        <v>22</v>
      </c>
      <c r="O16" s="851"/>
      <c r="P16" s="848">
        <f t="shared" si="0"/>
        <v>0</v>
      </c>
      <c r="Q16" s="848"/>
      <c r="R16" s="852">
        <v>1</v>
      </c>
      <c r="S16" s="852"/>
      <c r="T16" s="95">
        <f t="shared" si="4"/>
        <v>0</v>
      </c>
      <c r="U16" s="491">
        <f t="shared" si="5"/>
        <v>0</v>
      </c>
    </row>
    <row r="17" spans="1:21" x14ac:dyDescent="0.25">
      <c r="A17" s="804" t="s">
        <v>23</v>
      </c>
      <c r="B17" s="804"/>
      <c r="C17" s="143">
        <v>15</v>
      </c>
      <c r="D17" s="143">
        <v>0</v>
      </c>
      <c r="E17" s="116">
        <f t="shared" si="1"/>
        <v>30</v>
      </c>
      <c r="F17" s="850">
        <f>'1461'!F17:G17</f>
        <v>1</v>
      </c>
      <c r="G17" s="850"/>
      <c r="H17" s="80">
        <f t="shared" si="2"/>
        <v>30</v>
      </c>
      <c r="I17" s="101">
        <f t="shared" si="3"/>
        <v>166899.82</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11.690000000000001</v>
      </c>
      <c r="D26" s="143">
        <v>0</v>
      </c>
      <c r="E26" s="116">
        <f t="shared" si="1"/>
        <v>23.380000000000003</v>
      </c>
      <c r="F26" s="850">
        <f>'1461'!F26:G26</f>
        <v>1.165</v>
      </c>
      <c r="G26" s="850"/>
      <c r="H26" s="80">
        <f t="shared" si="2"/>
        <v>27.2377</v>
      </c>
      <c r="I26" s="101">
        <f t="shared" si="3"/>
        <v>151532.24</v>
      </c>
      <c r="N26" s="851" t="s">
        <v>85</v>
      </c>
      <c r="O26" s="851"/>
      <c r="P26" s="848">
        <f t="shared" si="0"/>
        <v>0</v>
      </c>
      <c r="Q26" s="848"/>
      <c r="R26" s="852">
        <v>1</v>
      </c>
      <c r="S26" s="852"/>
      <c r="T26" s="95">
        <f t="shared" si="4"/>
        <v>0</v>
      </c>
      <c r="U26" s="491">
        <f t="shared" si="5"/>
        <v>0</v>
      </c>
    </row>
    <row r="27" spans="1:21" x14ac:dyDescent="0.25">
      <c r="A27" s="804" t="s">
        <v>86</v>
      </c>
      <c r="B27" s="804"/>
      <c r="C27" s="143">
        <v>2.83</v>
      </c>
      <c r="D27" s="143">
        <v>0</v>
      </c>
      <c r="E27" s="116">
        <f t="shared" si="1"/>
        <v>5.66</v>
      </c>
      <c r="F27" s="850">
        <f>'1461'!F27:G27</f>
        <v>1.165</v>
      </c>
      <c r="G27" s="850"/>
      <c r="H27" s="80">
        <f t="shared" si="2"/>
        <v>6.5938999999999997</v>
      </c>
      <c r="I27" s="101">
        <f t="shared" si="3"/>
        <v>36684.019999999997</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195.01000000000002</v>
      </c>
      <c r="D30" s="94">
        <f>SUM(D14:D29)</f>
        <v>0</v>
      </c>
      <c r="E30" s="94">
        <f>SUM(E14:E29)</f>
        <v>390.02000000000004</v>
      </c>
      <c r="F30" s="808"/>
      <c r="G30" s="808"/>
      <c r="H30" s="99">
        <f>SUM(H14:H29)</f>
        <v>420.25860000000006</v>
      </c>
      <c r="I30" s="94">
        <f>SUM(I14:I29)</f>
        <v>2338036.14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420.25860000000006</v>
      </c>
      <c r="F46" s="34"/>
      <c r="G46" s="106"/>
      <c r="H46" s="107" t="s">
        <v>98</v>
      </c>
      <c r="I46" s="94">
        <f>SUM(I44,I30)</f>
        <v>2338036.14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2338036.14</v>
      </c>
      <c r="G51" s="109" t="s">
        <v>6</v>
      </c>
      <c r="H51" s="420">
        <f>'1461'!H51</f>
        <v>6.6699999999999995E-2</v>
      </c>
      <c r="I51" s="101">
        <f>ROUND(F51*H51,2)</f>
        <v>155947.01</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2338036.14</v>
      </c>
      <c r="G52" s="109" t="s">
        <v>6</v>
      </c>
      <c r="H52" s="420">
        <f>'1461'!H52</f>
        <v>5.4000000000000003E-3</v>
      </c>
      <c r="I52" s="101">
        <f>ROUND(F52*H52,2)</f>
        <v>12625.4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168572.41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16.5</v>
      </c>
      <c r="D57" s="143">
        <v>0</v>
      </c>
      <c r="E57" s="116">
        <f t="shared" ref="E57:E65" si="10">IF(D$66=0,C57*2,C57+D57)</f>
        <v>33</v>
      </c>
      <c r="F57" s="461" t="s">
        <v>451</v>
      </c>
      <c r="G57" s="461">
        <v>251</v>
      </c>
      <c r="H57" s="475">
        <f>'1461'!H57</f>
        <v>1047</v>
      </c>
      <c r="I57" s="101">
        <f>ROUND(E57*H57,2)</f>
        <v>34551</v>
      </c>
      <c r="N57" s="865" t="s">
        <v>459</v>
      </c>
      <c r="O57" s="865"/>
      <c r="P57" s="867"/>
      <c r="Q57" s="867"/>
      <c r="R57" s="467" t="s">
        <v>451</v>
      </c>
      <c r="S57" s="467">
        <v>251</v>
      </c>
      <c r="T57" s="478">
        <f>H57</f>
        <v>1047</v>
      </c>
      <c r="U57" s="492">
        <f>ROUND(P57*T57,2)</f>
        <v>0</v>
      </c>
      <c r="V57" s="442"/>
    </row>
    <row r="58" spans="1:22" x14ac:dyDescent="0.25">
      <c r="A58" s="815"/>
      <c r="B58" s="815"/>
      <c r="C58" s="143">
        <v>1.5</v>
      </c>
      <c r="D58" s="143">
        <v>0</v>
      </c>
      <c r="E58" s="116">
        <f t="shared" si="10"/>
        <v>3</v>
      </c>
      <c r="F58" s="461" t="s">
        <v>451</v>
      </c>
      <c r="G58" s="461">
        <v>252</v>
      </c>
      <c r="H58" s="475">
        <f>'1461'!H58</f>
        <v>3380</v>
      </c>
      <c r="I58" s="101">
        <f t="shared" ref="I58:I65" si="11">ROUND(E58*H58,2)</f>
        <v>10140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14</v>
      </c>
      <c r="D60" s="143">
        <v>0</v>
      </c>
      <c r="E60" s="116">
        <f t="shared" si="10"/>
        <v>28</v>
      </c>
      <c r="F60" s="462" t="s">
        <v>13</v>
      </c>
      <c r="G60" s="461">
        <v>251</v>
      </c>
      <c r="H60" s="475">
        <f>'1461'!H60</f>
        <v>1173</v>
      </c>
      <c r="I60" s="101">
        <f t="shared" si="11"/>
        <v>32844</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33</v>
      </c>
      <c r="D66" s="97">
        <f>SUM(D57:D65)</f>
        <v>0</v>
      </c>
      <c r="E66" s="97">
        <f>SUM(E57:E65)</f>
        <v>66</v>
      </c>
      <c r="F66" s="816" t="s">
        <v>460</v>
      </c>
      <c r="G66" s="816"/>
      <c r="H66" s="816"/>
      <c r="I66" s="97">
        <f>SUM(I57:I65)</f>
        <v>84547</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390.02000000000004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1.8109999999999999E-3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420.25860000000006</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1.835E-3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390.02000000000004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2.0950000000000001E-3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390.02000000000004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1.8140000000000001E-3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390.02000000000004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2.0990000000000002E-3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1.8140000000000001E-3</v>
      </c>
      <c r="I85" s="101">
        <f>ROUND(F85*H85,2)</f>
        <v>85785.42</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1.8109999999999999E-3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2.0990000000000002E-3</v>
      </c>
      <c r="I90" s="101">
        <f>ROUND(F90*H90,2)</f>
        <v>40233.379999999997</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2.0950000000000001E-3</v>
      </c>
      <c r="I92" s="101">
        <f t="shared" ref="I92:I96" si="14">ROUND(F92*H92,2)</f>
        <v>24190.73</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1.835E-3</v>
      </c>
      <c r="I94" s="101">
        <f t="shared" si="14"/>
        <v>493277.87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1.835E-3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1.8109999999999999E-3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288.30470000000003</v>
      </c>
      <c r="D104" s="822"/>
      <c r="E104" s="46">
        <f>H8</f>
        <v>1.0355000000000001</v>
      </c>
      <c r="F104" s="302">
        <f>'1461'!F104</f>
        <v>958.42</v>
      </c>
      <c r="G104" s="39" t="s">
        <v>12</v>
      </c>
      <c r="H104" s="101">
        <f>ROUND(C104*E104*F104,2)</f>
        <v>286126.24</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131.9539</v>
      </c>
      <c r="D105" s="822"/>
      <c r="E105" s="46">
        <f>H8</f>
        <v>1.0355000000000001</v>
      </c>
      <c r="F105" s="302">
        <f>'1461'!F105</f>
        <v>915.09</v>
      </c>
      <c r="G105" s="39" t="s">
        <v>12</v>
      </c>
      <c r="H105" s="101">
        <f>ROUND(C105*E105*F105,2)</f>
        <v>125036.31</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420.2586</v>
      </c>
      <c r="D107" s="812"/>
      <c r="E107" s="123"/>
      <c r="F107" s="123"/>
      <c r="G107" s="123"/>
      <c r="H107" s="124" t="s">
        <v>100</v>
      </c>
      <c r="I107" s="101">
        <f>IF(A1=75,0,H106+H105+H104)</f>
        <v>411162.55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3477233.09</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3308660.6799999997</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3308660.6799999997</v>
      </c>
      <c r="I135" s="94">
        <f>ROUND(IF(E30=0,0,IF(E30&gt;250,-(((250/E30)*H135)*IF(G135="H",0.02,0.05)),IF(G135="H",-0.02*H135,-0.05*H135))),2)</f>
        <v>-42416.55</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3434816.54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Payments'!Q91</f>
        <v>-282765.64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3152050.9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286550.08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23756.66</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CCCC"/>
  </sheetPr>
  <dimension ref="A1:V221"/>
  <sheetViews>
    <sheetView topLeftCell="A105"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187.9</v>
      </c>
      <c r="D18" s="143">
        <v>0</v>
      </c>
      <c r="E18" s="116">
        <f t="shared" si="1"/>
        <v>375.8</v>
      </c>
      <c r="F18" s="850">
        <f>'1461'!F18:G18</f>
        <v>0.97199999999999998</v>
      </c>
      <c r="G18" s="850"/>
      <c r="H18" s="80">
        <f t="shared" si="2"/>
        <v>365.27760000000001</v>
      </c>
      <c r="I18" s="101">
        <f t="shared" si="3"/>
        <v>2032158.84</v>
      </c>
      <c r="N18" s="851" t="s">
        <v>24</v>
      </c>
      <c r="O18" s="851"/>
      <c r="P18" s="848">
        <f t="shared" si="0"/>
        <v>0</v>
      </c>
      <c r="Q18" s="848"/>
      <c r="R18" s="852">
        <v>1</v>
      </c>
      <c r="S18" s="852"/>
      <c r="T18" s="95">
        <f t="shared" si="4"/>
        <v>0</v>
      </c>
      <c r="U18" s="491">
        <f t="shared" si="5"/>
        <v>0</v>
      </c>
    </row>
    <row r="19" spans="1:21" x14ac:dyDescent="0.25">
      <c r="A19" s="804" t="s">
        <v>25</v>
      </c>
      <c r="B19" s="804"/>
      <c r="C19" s="143">
        <v>44.34</v>
      </c>
      <c r="D19" s="143">
        <v>0</v>
      </c>
      <c r="E19" s="116">
        <f t="shared" si="1"/>
        <v>88.68</v>
      </c>
      <c r="F19" s="850">
        <f>'1461'!F19:G19</f>
        <v>0.97199999999999998</v>
      </c>
      <c r="G19" s="850"/>
      <c r="H19" s="80">
        <f t="shared" si="2"/>
        <v>86.197000000000003</v>
      </c>
      <c r="I19" s="101">
        <f t="shared" si="3"/>
        <v>479542.12</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4.45</v>
      </c>
      <c r="D28" s="143">
        <v>0</v>
      </c>
      <c r="E28" s="116">
        <f t="shared" si="1"/>
        <v>8.9</v>
      </c>
      <c r="F28" s="850">
        <f>'1461'!F28:G28</f>
        <v>1.165</v>
      </c>
      <c r="G28" s="850"/>
      <c r="H28" s="80">
        <f t="shared" si="2"/>
        <v>10.368499999999999</v>
      </c>
      <c r="I28" s="101">
        <f t="shared" si="3"/>
        <v>57683.360000000001</v>
      </c>
      <c r="N28" s="851" t="s">
        <v>87</v>
      </c>
      <c r="O28" s="851"/>
      <c r="P28" s="848">
        <f t="shared" si="0"/>
        <v>0</v>
      </c>
      <c r="Q28" s="848"/>
      <c r="R28" s="852">
        <v>1</v>
      </c>
      <c r="S28" s="852"/>
      <c r="T28" s="95">
        <f t="shared" si="4"/>
        <v>0</v>
      </c>
      <c r="U28" s="491">
        <f t="shared" si="5"/>
        <v>0</v>
      </c>
    </row>
    <row r="29" spans="1:21" x14ac:dyDescent="0.25">
      <c r="A29" s="804" t="s">
        <v>88</v>
      </c>
      <c r="B29" s="804"/>
      <c r="C29" s="110">
        <v>2.9</v>
      </c>
      <c r="D29" s="110">
        <v>0</v>
      </c>
      <c r="E29" s="154">
        <f t="shared" si="1"/>
        <v>5.8</v>
      </c>
      <c r="F29" s="850">
        <f>'1461'!F29:G29</f>
        <v>1.081</v>
      </c>
      <c r="G29" s="850"/>
      <c r="H29" s="93">
        <f t="shared" si="2"/>
        <v>6.2698</v>
      </c>
      <c r="I29" s="94">
        <f t="shared" si="3"/>
        <v>34880.949999999997</v>
      </c>
      <c r="N29" s="853" t="s">
        <v>88</v>
      </c>
      <c r="O29" s="853"/>
      <c r="P29" s="848">
        <f t="shared" si="0"/>
        <v>0</v>
      </c>
      <c r="Q29" s="848"/>
      <c r="R29" s="854">
        <v>1</v>
      </c>
      <c r="S29" s="854"/>
      <c r="T29" s="95">
        <f t="shared" si="4"/>
        <v>0</v>
      </c>
      <c r="U29" s="491">
        <f t="shared" si="5"/>
        <v>0</v>
      </c>
    </row>
    <row r="30" spans="1:21" x14ac:dyDescent="0.25">
      <c r="A30" s="816" t="s">
        <v>5</v>
      </c>
      <c r="B30" s="816"/>
      <c r="C30" s="94">
        <f>SUM(C14:C29)</f>
        <v>239.59</v>
      </c>
      <c r="D30" s="94">
        <f>SUM(D14:D29)</f>
        <v>0</v>
      </c>
      <c r="E30" s="94">
        <f>SUM(E14:E29)</f>
        <v>479.18</v>
      </c>
      <c r="F30" s="808"/>
      <c r="G30" s="808"/>
      <c r="H30" s="99">
        <f>SUM(H14:H29)</f>
        <v>468.11289999999997</v>
      </c>
      <c r="I30" s="94">
        <f>SUM(I14:I29)</f>
        <v>2604265.27</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468.11289999999997</v>
      </c>
      <c r="F46" s="34"/>
      <c r="G46" s="106"/>
      <c r="H46" s="107" t="s">
        <v>98</v>
      </c>
      <c r="I46" s="94">
        <f>SUM(I44,I30)</f>
        <v>2604265.27</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2604265.27</v>
      </c>
      <c r="G51" s="109" t="s">
        <v>6</v>
      </c>
      <c r="H51" s="420">
        <f>'1461'!H51</f>
        <v>6.6699999999999995E-2</v>
      </c>
      <c r="I51" s="101">
        <f>ROUND(F51*H51,2)</f>
        <v>173704.49</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2604265.27</v>
      </c>
      <c r="G52" s="109" t="s">
        <v>6</v>
      </c>
      <c r="H52" s="420">
        <f>'1461'!H52</f>
        <v>5.4000000000000003E-3</v>
      </c>
      <c r="I52" s="101">
        <f>ROUND(F52*H52,2)</f>
        <v>14063.03</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187767.52</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39.83</v>
      </c>
      <c r="D63" s="143">
        <v>0</v>
      </c>
      <c r="E63" s="116">
        <f t="shared" si="10"/>
        <v>79.66</v>
      </c>
      <c r="F63" s="462" t="s">
        <v>14</v>
      </c>
      <c r="G63" s="461">
        <v>251</v>
      </c>
      <c r="H63" s="475">
        <f>'1461'!H63</f>
        <v>835</v>
      </c>
      <c r="I63" s="101">
        <f t="shared" si="11"/>
        <v>66516.100000000006</v>
      </c>
      <c r="N63" s="866"/>
      <c r="O63" s="866"/>
      <c r="P63" s="868"/>
      <c r="Q63" s="868"/>
      <c r="R63" s="40" t="s">
        <v>14</v>
      </c>
      <c r="S63" s="467">
        <v>251</v>
      </c>
      <c r="T63" s="478">
        <f t="shared" si="12"/>
        <v>835</v>
      </c>
      <c r="U63" s="492">
        <f t="shared" si="13"/>
        <v>0</v>
      </c>
      <c r="V63" s="442"/>
    </row>
    <row r="64" spans="1:22" x14ac:dyDescent="0.25">
      <c r="A64" s="815"/>
      <c r="B64" s="815"/>
      <c r="C64" s="143">
        <v>4.01</v>
      </c>
      <c r="D64" s="143">
        <v>0</v>
      </c>
      <c r="E64" s="116">
        <f t="shared" si="10"/>
        <v>8.02</v>
      </c>
      <c r="F64" s="462" t="s">
        <v>14</v>
      </c>
      <c r="G64" s="461">
        <v>252</v>
      </c>
      <c r="H64" s="475">
        <f>'1461'!H64</f>
        <v>3168</v>
      </c>
      <c r="I64" s="101">
        <f t="shared" si="11"/>
        <v>25407.360000000001</v>
      </c>
      <c r="N64" s="866"/>
      <c r="O64" s="866"/>
      <c r="P64" s="868"/>
      <c r="Q64" s="868"/>
      <c r="R64" s="40" t="s">
        <v>14</v>
      </c>
      <c r="S64" s="467">
        <v>252</v>
      </c>
      <c r="T64" s="478">
        <f t="shared" si="12"/>
        <v>3168</v>
      </c>
      <c r="U64" s="492">
        <f t="shared" si="13"/>
        <v>0</v>
      </c>
      <c r="V64" s="442"/>
    </row>
    <row r="65" spans="1:22" ht="16.5" thickBot="1" x14ac:dyDescent="0.3">
      <c r="A65" s="815"/>
      <c r="B65" s="815"/>
      <c r="C65" s="143">
        <v>0.5</v>
      </c>
      <c r="D65" s="143">
        <v>0</v>
      </c>
      <c r="E65" s="116">
        <f t="shared" si="10"/>
        <v>1</v>
      </c>
      <c r="F65" s="462" t="s">
        <v>14</v>
      </c>
      <c r="G65" s="461">
        <v>253</v>
      </c>
      <c r="H65" s="475">
        <f>'1461'!H65</f>
        <v>6685</v>
      </c>
      <c r="I65" s="101">
        <f t="shared" si="11"/>
        <v>6685</v>
      </c>
      <c r="N65" s="866"/>
      <c r="O65" s="866"/>
      <c r="P65" s="874"/>
      <c r="Q65" s="874"/>
      <c r="R65" s="40" t="s">
        <v>14</v>
      </c>
      <c r="S65" s="467">
        <v>253</v>
      </c>
      <c r="T65" s="478">
        <f t="shared" si="12"/>
        <v>6685</v>
      </c>
      <c r="U65" s="493">
        <f t="shared" si="13"/>
        <v>0</v>
      </c>
      <c r="V65" s="442"/>
    </row>
    <row r="66" spans="1:22" ht="16.5" thickBot="1" x14ac:dyDescent="0.3">
      <c r="A66" s="458"/>
      <c r="C66" s="97">
        <f>SUM(C57:C65)</f>
        <v>44.339999999999996</v>
      </c>
      <c r="D66" s="97">
        <f>SUM(D57:D65)</f>
        <v>0</v>
      </c>
      <c r="E66" s="97">
        <f>SUM(E57:E65)</f>
        <v>88.679999999999993</v>
      </c>
      <c r="F66" s="816" t="s">
        <v>460</v>
      </c>
      <c r="G66" s="816"/>
      <c r="H66" s="816"/>
      <c r="I66" s="97">
        <f>SUM(I57:I65)</f>
        <v>98608.46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479.18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2.225E-3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468.11289999999997</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2.0439999999999998E-3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479.18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2.5739999999999999E-3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479.18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2.2290000000000001E-3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479.18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2.578E-3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2.2290000000000001E-3</v>
      </c>
      <c r="I85" s="101">
        <f>ROUND(F85*H85,2)</f>
        <v>105411.08</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2.225E-3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2.578E-3</v>
      </c>
      <c r="I90" s="101">
        <f>ROUND(F90*H90,2)</f>
        <v>49414.8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2.5739999999999999E-3</v>
      </c>
      <c r="I92" s="101">
        <f t="shared" ref="I92:I96" si="14">ROUND(F92*H92,2)</f>
        <v>29721.69</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2.0439999999999998E-3</v>
      </c>
      <c r="I94" s="101">
        <f t="shared" si="14"/>
        <v>549460.47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2.0439999999999998E-3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2.225E-3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468.11289999999997</v>
      </c>
      <c r="D106" s="822"/>
      <c r="E106" s="46">
        <f>H8</f>
        <v>1.0355000000000001</v>
      </c>
      <c r="F106" s="302">
        <f>'1461'!F106</f>
        <v>917.3</v>
      </c>
      <c r="G106" s="39" t="s">
        <v>12</v>
      </c>
      <c r="H106" s="94">
        <f>ROUND(C106*E106*F106,2)</f>
        <v>444643.66</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468.11289999999997</v>
      </c>
      <c r="D107" s="812"/>
      <c r="E107" s="123"/>
      <c r="F107" s="123"/>
      <c r="G107" s="123"/>
      <c r="H107" s="124" t="s">
        <v>100</v>
      </c>
      <c r="I107" s="101">
        <f>IF(A1=75,0,H106+H105+H104)</f>
        <v>444643.66</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149</v>
      </c>
      <c r="D113" s="143">
        <v>39</v>
      </c>
      <c r="E113" s="116">
        <f>(C113+D113)/2</f>
        <v>94</v>
      </c>
      <c r="F113" s="126" t="s">
        <v>30</v>
      </c>
      <c r="G113" s="303">
        <f>'1461'!G113</f>
        <v>617</v>
      </c>
      <c r="I113" s="101">
        <f>ROUND(G113*E113,2)</f>
        <v>57998</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3939523.4299999997</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3751755.9099999997</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3751755.9099999997</v>
      </c>
      <c r="I135" s="94">
        <f>ROUND(IF(E30=0,0,IF(E30&gt;250,-(((250/E30)*H135)*IF(G135="H",0.02,0.05)),IF(G135="H",-0.02*H135,-0.05*H135))),2)</f>
        <v>-97869.17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3841654.26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Payments'!Q92</f>
        <v>-318686.65000000002</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3522967.61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320269.78000000003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89718.63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CCCC"/>
  </sheetPr>
  <dimension ref="A1:V221"/>
  <sheetViews>
    <sheetView topLeftCell="A105" workbookViewId="0">
      <selection activeCell="F51" sqref="F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124</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182.6</v>
      </c>
      <c r="D14" s="141">
        <v>0</v>
      </c>
      <c r="E14" s="187">
        <f>IF(D$30=0,C14*2,C14+D14)</f>
        <v>365.2</v>
      </c>
      <c r="F14" s="846">
        <f>'1461'!F14:G14</f>
        <v>1.1080000000000001</v>
      </c>
      <c r="G14" s="846"/>
      <c r="H14" s="145">
        <f>ROUND(E14*F14,4)</f>
        <v>404.64159999999998</v>
      </c>
      <c r="I14" s="111">
        <f>ROUND(ROUND(ROUND(H14*$C$8,4)*($H$8),2)*(MAX($H$9,1)),2)</f>
        <v>2251153.66</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28.5</v>
      </c>
      <c r="D15" s="143">
        <v>0</v>
      </c>
      <c r="E15" s="116">
        <f t="shared" ref="E15:E29" si="1">IF(D$30=0,C15*2,C15+D15)</f>
        <v>57</v>
      </c>
      <c r="F15" s="850">
        <f>'1461'!F15:G15</f>
        <v>1.1080000000000001</v>
      </c>
      <c r="G15" s="850"/>
      <c r="H15" s="80">
        <f t="shared" ref="H15:H29" si="2">ROUND(E15*F15,4)</f>
        <v>63.155999999999999</v>
      </c>
      <c r="I15" s="101">
        <f t="shared" ref="I15:I29" si="3">ROUND(ROUND(ROUND(H15*$C$8,4)*($H$8),2)*(MAX($H$9,1)),2)</f>
        <v>351357.5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218.4</v>
      </c>
      <c r="D16" s="143">
        <v>0</v>
      </c>
      <c r="E16" s="116">
        <f t="shared" si="1"/>
        <v>436.8</v>
      </c>
      <c r="F16" s="850">
        <f>'1461'!F16:G16</f>
        <v>1</v>
      </c>
      <c r="G16" s="850"/>
      <c r="H16" s="80">
        <f t="shared" si="2"/>
        <v>436.8</v>
      </c>
      <c r="I16" s="101">
        <f t="shared" si="3"/>
        <v>2430061.36</v>
      </c>
      <c r="N16" s="851" t="s">
        <v>22</v>
      </c>
      <c r="O16" s="851"/>
      <c r="P16" s="848">
        <f t="shared" si="0"/>
        <v>0</v>
      </c>
      <c r="Q16" s="848"/>
      <c r="R16" s="852">
        <v>1</v>
      </c>
      <c r="S16" s="852"/>
      <c r="T16" s="95">
        <f t="shared" si="4"/>
        <v>0</v>
      </c>
      <c r="U16" s="491">
        <f t="shared" si="5"/>
        <v>0</v>
      </c>
    </row>
    <row r="17" spans="1:21" x14ac:dyDescent="0.25">
      <c r="A17" s="804" t="s">
        <v>23</v>
      </c>
      <c r="B17" s="804"/>
      <c r="C17" s="143">
        <v>33.5</v>
      </c>
      <c r="D17" s="143">
        <v>0</v>
      </c>
      <c r="E17" s="116">
        <f t="shared" si="1"/>
        <v>67</v>
      </c>
      <c r="F17" s="850">
        <f>'1461'!F17:G17</f>
        <v>1</v>
      </c>
      <c r="G17" s="850"/>
      <c r="H17" s="80">
        <f t="shared" si="2"/>
        <v>67</v>
      </c>
      <c r="I17" s="101">
        <f t="shared" si="3"/>
        <v>372742.93</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34.4</v>
      </c>
      <c r="D26" s="143">
        <v>0</v>
      </c>
      <c r="E26" s="116">
        <f t="shared" si="1"/>
        <v>68.8</v>
      </c>
      <c r="F26" s="850">
        <f>'1461'!F26:G26</f>
        <v>1.165</v>
      </c>
      <c r="G26" s="850"/>
      <c r="H26" s="80">
        <f t="shared" si="2"/>
        <v>80.152000000000001</v>
      </c>
      <c r="I26" s="101">
        <f t="shared" si="3"/>
        <v>445911.81</v>
      </c>
      <c r="N26" s="851" t="s">
        <v>85</v>
      </c>
      <c r="O26" s="851"/>
      <c r="P26" s="848">
        <f t="shared" si="0"/>
        <v>0</v>
      </c>
      <c r="Q26" s="848"/>
      <c r="R26" s="852">
        <v>1</v>
      </c>
      <c r="S26" s="852"/>
      <c r="T26" s="95">
        <f t="shared" si="4"/>
        <v>0</v>
      </c>
      <c r="U26" s="491">
        <f t="shared" si="5"/>
        <v>0</v>
      </c>
    </row>
    <row r="27" spans="1:21" x14ac:dyDescent="0.25">
      <c r="A27" s="804" t="s">
        <v>86</v>
      </c>
      <c r="B27" s="804"/>
      <c r="C27" s="143">
        <v>9.5399999999999991</v>
      </c>
      <c r="D27" s="143">
        <v>0</v>
      </c>
      <c r="E27" s="116">
        <f t="shared" si="1"/>
        <v>19.079999999999998</v>
      </c>
      <c r="F27" s="850">
        <f>'1461'!F27:G27</f>
        <v>1.165</v>
      </c>
      <c r="G27" s="850"/>
      <c r="H27" s="80">
        <f t="shared" si="2"/>
        <v>22.228200000000001</v>
      </c>
      <c r="I27" s="101">
        <f t="shared" si="3"/>
        <v>123662.75</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506.94</v>
      </c>
      <c r="D30" s="94">
        <f>SUM(D14:D29)</f>
        <v>0</v>
      </c>
      <c r="E30" s="94">
        <f>SUM(E14:E29)</f>
        <v>1013.88</v>
      </c>
      <c r="F30" s="808"/>
      <c r="G30" s="808"/>
      <c r="H30" s="99">
        <f>SUM(H14:H29)</f>
        <v>1073.9778000000001</v>
      </c>
      <c r="I30" s="94">
        <f>SUM(I14:I29)</f>
        <v>5974890.0099999988</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1073.9778000000001</v>
      </c>
      <c r="F46" s="34"/>
      <c r="G46" s="106"/>
      <c r="H46" s="107" t="s">
        <v>98</v>
      </c>
      <c r="I46" s="94">
        <f>SUM(I44,I30)</f>
        <v>5974890.0099999988</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5974890.0099999988</v>
      </c>
      <c r="G51" s="109" t="s">
        <v>6</v>
      </c>
      <c r="H51" s="420">
        <f>'1461'!H51</f>
        <v>6.6699999999999995E-2</v>
      </c>
      <c r="I51" s="101">
        <f>ROUND(F51*H51,2)</f>
        <v>398525.16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5974890.0099999988</v>
      </c>
      <c r="G52" s="109" t="s">
        <v>6</v>
      </c>
      <c r="H52" s="420">
        <f>'1461'!H52</f>
        <v>5.4000000000000003E-3</v>
      </c>
      <c r="I52" s="101">
        <f>ROUND(F52*H52,2)</f>
        <v>32264.41</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430789.56999999995</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24.5</v>
      </c>
      <c r="D57" s="143">
        <v>0</v>
      </c>
      <c r="E57" s="116">
        <f t="shared" ref="E57:E65" si="10">IF(D$66=0,C57*2,C57+D57)</f>
        <v>49</v>
      </c>
      <c r="F57" s="461" t="s">
        <v>451</v>
      </c>
      <c r="G57" s="461">
        <v>251</v>
      </c>
      <c r="H57" s="475">
        <f>'1461'!H57</f>
        <v>1047</v>
      </c>
      <c r="I57" s="101">
        <f>ROUND(E57*H57,2)</f>
        <v>51303</v>
      </c>
      <c r="N57" s="865" t="s">
        <v>459</v>
      </c>
      <c r="O57" s="865"/>
      <c r="P57" s="867"/>
      <c r="Q57" s="867"/>
      <c r="R57" s="467" t="s">
        <v>451</v>
      </c>
      <c r="S57" s="467">
        <v>251</v>
      </c>
      <c r="T57" s="478">
        <f>H57</f>
        <v>1047</v>
      </c>
      <c r="U57" s="492">
        <f>ROUND(P57*T57,2)</f>
        <v>0</v>
      </c>
      <c r="V57" s="442"/>
    </row>
    <row r="58" spans="1:22" x14ac:dyDescent="0.25">
      <c r="A58" s="815"/>
      <c r="B58" s="815"/>
      <c r="C58" s="143">
        <v>3.5</v>
      </c>
      <c r="D58" s="143">
        <v>0</v>
      </c>
      <c r="E58" s="116">
        <f t="shared" si="10"/>
        <v>7</v>
      </c>
      <c r="F58" s="461" t="s">
        <v>451</v>
      </c>
      <c r="G58" s="461">
        <v>252</v>
      </c>
      <c r="H58" s="475">
        <f>'1461'!H58</f>
        <v>3380</v>
      </c>
      <c r="I58" s="101">
        <f t="shared" ref="I58:I65" si="11">ROUND(E58*H58,2)</f>
        <v>23660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0.5</v>
      </c>
      <c r="D59" s="143">
        <v>0</v>
      </c>
      <c r="E59" s="116">
        <f t="shared" si="10"/>
        <v>1</v>
      </c>
      <c r="F59" s="461" t="s">
        <v>451</v>
      </c>
      <c r="G59" s="461">
        <v>253</v>
      </c>
      <c r="H59" s="475">
        <f>'1461'!H59</f>
        <v>6896</v>
      </c>
      <c r="I59" s="101">
        <f t="shared" si="11"/>
        <v>6896</v>
      </c>
      <c r="N59" s="866"/>
      <c r="O59" s="866"/>
      <c r="P59" s="868"/>
      <c r="Q59" s="868"/>
      <c r="R59" s="467" t="s">
        <v>451</v>
      </c>
      <c r="S59" s="467">
        <v>253</v>
      </c>
      <c r="T59" s="478">
        <f t="shared" si="12"/>
        <v>6896</v>
      </c>
      <c r="U59" s="492">
        <f t="shared" si="13"/>
        <v>0</v>
      </c>
      <c r="V59" s="442"/>
    </row>
    <row r="60" spans="1:22" x14ac:dyDescent="0.25">
      <c r="A60" s="815"/>
      <c r="B60" s="815"/>
      <c r="C60" s="143">
        <v>27</v>
      </c>
      <c r="D60" s="143">
        <v>0</v>
      </c>
      <c r="E60" s="116">
        <f t="shared" si="10"/>
        <v>54</v>
      </c>
      <c r="F60" s="462" t="s">
        <v>13</v>
      </c>
      <c r="G60" s="461">
        <v>251</v>
      </c>
      <c r="H60" s="475">
        <f>'1461'!H60</f>
        <v>1173</v>
      </c>
      <c r="I60" s="101">
        <f t="shared" si="11"/>
        <v>63342</v>
      </c>
      <c r="N60" s="866"/>
      <c r="O60" s="866"/>
      <c r="P60" s="868"/>
      <c r="Q60" s="868"/>
      <c r="R60" s="40" t="s">
        <v>13</v>
      </c>
      <c r="S60" s="467">
        <v>251</v>
      </c>
      <c r="T60" s="478">
        <f t="shared" si="12"/>
        <v>1173</v>
      </c>
      <c r="U60" s="492">
        <f t="shared" si="13"/>
        <v>0</v>
      </c>
      <c r="V60" s="442"/>
    </row>
    <row r="61" spans="1:22" x14ac:dyDescent="0.25">
      <c r="A61" s="815"/>
      <c r="B61" s="815"/>
      <c r="C61" s="143">
        <v>6.5</v>
      </c>
      <c r="D61" s="143">
        <v>0</v>
      </c>
      <c r="E61" s="116">
        <f t="shared" si="10"/>
        <v>13</v>
      </c>
      <c r="F61" s="462" t="s">
        <v>13</v>
      </c>
      <c r="G61" s="461">
        <v>252</v>
      </c>
      <c r="H61" s="475">
        <f>'1461'!H61</f>
        <v>3506</v>
      </c>
      <c r="I61" s="101">
        <f t="shared" si="11"/>
        <v>45578</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62</v>
      </c>
      <c r="D66" s="97">
        <f>SUM(D57:D65)</f>
        <v>0</v>
      </c>
      <c r="E66" s="97">
        <f>SUM(E57:E65)</f>
        <v>124</v>
      </c>
      <c r="F66" s="816" t="s">
        <v>460</v>
      </c>
      <c r="G66" s="816"/>
      <c r="H66" s="816"/>
      <c r="I66" s="97">
        <f>SUM(I57:I65)</f>
        <v>190779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1013.88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4.7089999999999996E-3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1073.9778000000001</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4.6889999999999996E-3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1013.88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5.4460000000000003E-3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1013.88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4.7149999999999996E-3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1013.88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5.4549999999999998E-3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4.7149999999999996E-3</v>
      </c>
      <c r="I85" s="101">
        <f>ROUND(F85*H85,2)</f>
        <v>222975.87</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4.7089999999999996E-3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5.4549999999999998E-3</v>
      </c>
      <c r="I90" s="101">
        <f>ROUND(F90*H90,2)</f>
        <v>104560.79</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5.4460000000000003E-3</v>
      </c>
      <c r="I92" s="101">
        <f t="shared" ref="I92:I96" si="14">ROUND(F92*H92,2)</f>
        <v>62884.36</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4.6889999999999996E-3</v>
      </c>
      <c r="I94" s="101">
        <f t="shared" si="14"/>
        <v>1260479.53</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4.6889999999999996E-3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4.7089999999999996E-3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547.94960000000003</v>
      </c>
      <c r="D104" s="822"/>
      <c r="E104" s="46">
        <f>H8</f>
        <v>1.0355000000000001</v>
      </c>
      <c r="F104" s="302">
        <f>'1461'!F104</f>
        <v>958.42</v>
      </c>
      <c r="G104" s="39" t="s">
        <v>12</v>
      </c>
      <c r="H104" s="101">
        <f>ROUND(C104*E104*F104,2)</f>
        <v>543809.24</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526.02819999999997</v>
      </c>
      <c r="D105" s="822"/>
      <c r="E105" s="46">
        <f>H8</f>
        <v>1.0355000000000001</v>
      </c>
      <c r="F105" s="302">
        <f>'1461'!F105</f>
        <v>915.09</v>
      </c>
      <c r="G105" s="39" t="s">
        <v>12</v>
      </c>
      <c r="H105" s="101">
        <f>ROUND(C105*E105*F105,2)</f>
        <v>498451.54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1073.9778000000001</v>
      </c>
      <c r="D107" s="812"/>
      <c r="E107" s="123"/>
      <c r="F107" s="123"/>
      <c r="G107" s="123"/>
      <c r="H107" s="124" t="s">
        <v>100</v>
      </c>
      <c r="I107" s="101">
        <f>IF(A1=75,0,H106+H105+H104)</f>
        <v>1042260.78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45</v>
      </c>
      <c r="D113" s="143">
        <v>35</v>
      </c>
      <c r="E113" s="116">
        <f>(C113+D113)/2</f>
        <v>40</v>
      </c>
      <c r="F113" s="126" t="s">
        <v>30</v>
      </c>
      <c r="G113" s="303">
        <f>'1461'!G113</f>
        <v>617</v>
      </c>
      <c r="I113" s="101">
        <f>ROUND(G113*E113,2)</f>
        <v>24680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8883510.3399999999</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8452720.7699999996</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8452720.7699999996</v>
      </c>
      <c r="I135" s="94">
        <f>ROUND(IF(E30=0,0,IF(E30&gt;250,-(((250/E30)*H135)*IF(G135="H",0.02,0.05)),IF(G135="H",-0.02*H135,-0.05*H135))),2)</f>
        <v>-41685.019999999997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8841825.3200000003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Payments'!Q93</f>
        <v>-727291.13</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8114534.1900000004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737684.93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127369.4</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P122:Q122"/>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R122:S122"/>
    <mergeCell ref="N132:T132"/>
    <mergeCell ref="N133:T133"/>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tabColor rgb="FFFFCCCC"/>
  </sheetPr>
  <dimension ref="A1:V221"/>
  <sheetViews>
    <sheetView topLeftCell="A108" workbookViewId="0">
      <selection activeCell="J115" sqref="J11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285" t="s">
        <v>125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J10" s="253"/>
      <c r="K10" s="65"/>
      <c r="L10" s="65"/>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J11" s="255"/>
      <c r="K11" s="254"/>
      <c r="L11" s="254"/>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J12" s="253"/>
      <c r="K12" s="254"/>
      <c r="L12" s="254"/>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K13" s="254"/>
      <c r="L13" s="254"/>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226.6</v>
      </c>
      <c r="D16" s="143">
        <v>0</v>
      </c>
      <c r="E16" s="116">
        <f t="shared" si="1"/>
        <v>453.2</v>
      </c>
      <c r="F16" s="850">
        <f>'1461'!F16:G16</f>
        <v>1</v>
      </c>
      <c r="G16" s="850"/>
      <c r="H16" s="80">
        <f t="shared" si="2"/>
        <v>453.2</v>
      </c>
      <c r="I16" s="101">
        <f t="shared" si="3"/>
        <v>2521299.9300000002</v>
      </c>
      <c r="N16" s="851" t="s">
        <v>22</v>
      </c>
      <c r="O16" s="851"/>
      <c r="P16" s="848">
        <f t="shared" si="0"/>
        <v>0</v>
      </c>
      <c r="Q16" s="848"/>
      <c r="R16" s="852">
        <v>1</v>
      </c>
      <c r="S16" s="852"/>
      <c r="T16" s="95">
        <f t="shared" si="4"/>
        <v>0</v>
      </c>
      <c r="U16" s="491">
        <f t="shared" si="5"/>
        <v>0</v>
      </c>
    </row>
    <row r="17" spans="1:21" x14ac:dyDescent="0.25">
      <c r="A17" s="804" t="s">
        <v>23</v>
      </c>
      <c r="B17" s="804"/>
      <c r="C17" s="143">
        <v>29</v>
      </c>
      <c r="D17" s="143">
        <v>0</v>
      </c>
      <c r="E17" s="116">
        <f t="shared" si="1"/>
        <v>58</v>
      </c>
      <c r="F17" s="850">
        <f>'1461'!F17:G17</f>
        <v>1</v>
      </c>
      <c r="G17" s="850"/>
      <c r="H17" s="80">
        <f t="shared" si="2"/>
        <v>58</v>
      </c>
      <c r="I17" s="101">
        <f t="shared" si="3"/>
        <v>322672.98</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8.1999999999999993</v>
      </c>
      <c r="D27" s="143">
        <v>0</v>
      </c>
      <c r="E27" s="116">
        <f t="shared" si="1"/>
        <v>16.399999999999999</v>
      </c>
      <c r="F27" s="850">
        <f>'1461'!F27:G27</f>
        <v>1.165</v>
      </c>
      <c r="G27" s="850"/>
      <c r="H27" s="80">
        <f t="shared" si="2"/>
        <v>19.106000000000002</v>
      </c>
      <c r="I27" s="101">
        <f t="shared" si="3"/>
        <v>106292.93</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263.8</v>
      </c>
      <c r="D30" s="94">
        <f>SUM(D14:D29)</f>
        <v>0</v>
      </c>
      <c r="E30" s="94">
        <f>SUM(E14:E29)</f>
        <v>527.6</v>
      </c>
      <c r="F30" s="808"/>
      <c r="G30" s="808"/>
      <c r="H30" s="99">
        <f>SUM(H14:H29)</f>
        <v>530.30600000000004</v>
      </c>
      <c r="I30" s="94">
        <f>SUM(I14:I29)</f>
        <v>2950265.8400000003</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530.30600000000004</v>
      </c>
      <c r="F46" s="34"/>
      <c r="G46" s="106"/>
      <c r="H46" s="107" t="s">
        <v>98</v>
      </c>
      <c r="I46" s="94">
        <f>SUM(I44,I30)</f>
        <v>2950265.8400000003</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2950265.8400000003</v>
      </c>
      <c r="G51" s="109" t="s">
        <v>6</v>
      </c>
      <c r="H51" s="420">
        <f>'1461'!H51</f>
        <v>6.6699999999999995E-2</v>
      </c>
      <c r="I51" s="101">
        <f>ROUND(F51*H51,2)</f>
        <v>196782.73</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2950265.8400000003</v>
      </c>
      <c r="G52" s="109" t="s">
        <v>6</v>
      </c>
      <c r="H52" s="420">
        <f>'1461'!H52</f>
        <v>5.4000000000000003E-3</v>
      </c>
      <c r="I52" s="101">
        <f>ROUND(F52*H52,2)</f>
        <v>15931.44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212714.17</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29</v>
      </c>
      <c r="D60" s="143">
        <v>0</v>
      </c>
      <c r="E60" s="116">
        <f t="shared" si="10"/>
        <v>58</v>
      </c>
      <c r="F60" s="462" t="s">
        <v>13</v>
      </c>
      <c r="G60" s="461">
        <v>251</v>
      </c>
      <c r="H60" s="475">
        <f>'1461'!H60</f>
        <v>1173</v>
      </c>
      <c r="I60" s="101">
        <f t="shared" si="11"/>
        <v>68034</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29</v>
      </c>
      <c r="D66" s="97">
        <f>SUM(D57:D65)</f>
        <v>0</v>
      </c>
      <c r="E66" s="97">
        <f>SUM(E57:E65)</f>
        <v>58</v>
      </c>
      <c r="F66" s="816" t="s">
        <v>460</v>
      </c>
      <c r="G66" s="816"/>
      <c r="H66" s="816"/>
      <c r="I66" s="97">
        <f>SUM(I57:I65)</f>
        <v>68034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527.6</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2.4499999999999999E-3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530.30600000000004</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2.3149999999999998E-3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527.6</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2.8340000000000001E-3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527.6</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2.454E-3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527.6</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2.8389999999999999E-3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2.454E-3</v>
      </c>
      <c r="I85" s="101">
        <f>ROUND(F85*H85,2)</f>
        <v>116051.49</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2.4499999999999999E-3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2.8389999999999999E-3</v>
      </c>
      <c r="I90" s="101">
        <f>ROUND(F90*H90,2)</f>
        <v>54417.61</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2.8340000000000001E-3</v>
      </c>
      <c r="I92" s="101">
        <f t="shared" ref="I92:I96" si="14">ROUND(F92*H92,2)</f>
        <v>32723.88</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2.3149999999999998E-3</v>
      </c>
      <c r="I94" s="101">
        <f t="shared" si="14"/>
        <v>622309.68000000005</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2.3149999999999998E-3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2.4499999999999999E-3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530.30600000000004</v>
      </c>
      <c r="D105" s="822"/>
      <c r="E105" s="46">
        <f>H8</f>
        <v>1.0355000000000001</v>
      </c>
      <c r="F105" s="302">
        <f>'1461'!F105</f>
        <v>915.09</v>
      </c>
      <c r="G105" s="39" t="s">
        <v>12</v>
      </c>
      <c r="H105" s="101">
        <f>ROUND(C105*E105*F105,2)</f>
        <v>502505.08</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530.30600000000004</v>
      </c>
      <c r="D107" s="812"/>
      <c r="E107" s="123"/>
      <c r="F107" s="123"/>
      <c r="G107" s="123"/>
      <c r="H107" s="124" t="s">
        <v>100</v>
      </c>
      <c r="I107" s="101">
        <f>IF(A1=75,0,H106+H105+H104)</f>
        <v>502505.08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353</v>
      </c>
      <c r="D113" s="143">
        <v>344</v>
      </c>
      <c r="E113" s="116">
        <f>(C113+D113)/2</f>
        <v>348.5</v>
      </c>
      <c r="F113" s="126" t="s">
        <v>30</v>
      </c>
      <c r="G113" s="303">
        <f>'1461'!G113</f>
        <v>617</v>
      </c>
      <c r="I113" s="101">
        <f>ROUND(G113*E113,2)</f>
        <v>215024.5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4561332.08</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4348617.91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4348617.91</v>
      </c>
      <c r="I135" s="94">
        <f>ROUND(IF(E30=0,0,IF(E30&gt;250,-(((250/E30)*H135)*IF(G135="H",0.02,0.05)),IF(G135="H",-0.02*H135,-0.05*H135))),2)</f>
        <v>-103028.29</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4458303.79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Payments'!Q94</f>
        <v>-365051.77</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4093252.02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81" t="s">
        <v>240</v>
      </c>
      <c r="B145" s="69"/>
      <c r="C145" s="69"/>
      <c r="D145" s="69"/>
      <c r="E145" s="69"/>
      <c r="F145" s="69"/>
      <c r="G145" s="69"/>
      <c r="H145" s="65"/>
      <c r="I145" s="155">
        <f>ROUND(I141/I143,2)</f>
        <v>372113.82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114402.61</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FFCCCC"/>
  </sheetPr>
  <dimension ref="A1:V221"/>
  <sheetViews>
    <sheetView topLeftCell="A108" workbookViewId="0">
      <selection activeCell="A57" sqref="A57:B6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381</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95.72</v>
      </c>
      <c r="D16" s="143">
        <v>0</v>
      </c>
      <c r="E16" s="116">
        <f t="shared" si="1"/>
        <v>191.44</v>
      </c>
      <c r="F16" s="850">
        <f>'1461'!F16:G16</f>
        <v>1</v>
      </c>
      <c r="G16" s="850"/>
      <c r="H16" s="80">
        <f t="shared" si="2"/>
        <v>191.44</v>
      </c>
      <c r="I16" s="101">
        <f t="shared" si="3"/>
        <v>1065043.3799999999</v>
      </c>
      <c r="N16" s="851" t="s">
        <v>22</v>
      </c>
      <c r="O16" s="851"/>
      <c r="P16" s="848">
        <f t="shared" si="0"/>
        <v>0</v>
      </c>
      <c r="Q16" s="848"/>
      <c r="R16" s="852">
        <v>1</v>
      </c>
      <c r="S16" s="852"/>
      <c r="T16" s="95">
        <f t="shared" si="4"/>
        <v>0</v>
      </c>
      <c r="U16" s="491">
        <f t="shared" si="5"/>
        <v>0</v>
      </c>
    </row>
    <row r="17" spans="1:21" x14ac:dyDescent="0.25">
      <c r="A17" s="804" t="s">
        <v>23</v>
      </c>
      <c r="B17" s="804"/>
      <c r="C17" s="143">
        <v>21.5</v>
      </c>
      <c r="D17" s="143">
        <v>0</v>
      </c>
      <c r="E17" s="116">
        <f t="shared" si="1"/>
        <v>43</v>
      </c>
      <c r="F17" s="850">
        <f>'1461'!F17:G17</f>
        <v>1</v>
      </c>
      <c r="G17" s="850"/>
      <c r="H17" s="80">
        <f t="shared" si="2"/>
        <v>43</v>
      </c>
      <c r="I17" s="101">
        <f t="shared" si="3"/>
        <v>239223.07</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60.97</v>
      </c>
      <c r="D18" s="143">
        <v>0</v>
      </c>
      <c r="E18" s="116">
        <f t="shared" si="1"/>
        <v>121.94</v>
      </c>
      <c r="F18" s="850">
        <f>'1461'!F18:G18</f>
        <v>0.97199999999999998</v>
      </c>
      <c r="G18" s="850"/>
      <c r="H18" s="80">
        <f t="shared" si="2"/>
        <v>118.5257</v>
      </c>
      <c r="I18" s="101">
        <f t="shared" si="3"/>
        <v>659397.26</v>
      </c>
      <c r="N18" s="851" t="s">
        <v>24</v>
      </c>
      <c r="O18" s="851"/>
      <c r="P18" s="848">
        <f t="shared" si="0"/>
        <v>0</v>
      </c>
      <c r="Q18" s="848"/>
      <c r="R18" s="852">
        <v>1</v>
      </c>
      <c r="S18" s="852"/>
      <c r="T18" s="95">
        <f t="shared" si="4"/>
        <v>0</v>
      </c>
      <c r="U18" s="491">
        <f t="shared" si="5"/>
        <v>0</v>
      </c>
    </row>
    <row r="19" spans="1:21" x14ac:dyDescent="0.25">
      <c r="A19" s="804" t="s">
        <v>25</v>
      </c>
      <c r="B19" s="804"/>
      <c r="C19" s="143">
        <v>12</v>
      </c>
      <c r="D19" s="143">
        <v>0</v>
      </c>
      <c r="E19" s="116">
        <f t="shared" si="1"/>
        <v>24</v>
      </c>
      <c r="F19" s="850">
        <f>'1461'!F19:G19</f>
        <v>0.97199999999999998</v>
      </c>
      <c r="G19" s="850"/>
      <c r="H19" s="80">
        <f t="shared" si="2"/>
        <v>23.327999999999999</v>
      </c>
      <c r="I19" s="101">
        <f t="shared" si="3"/>
        <v>129781.3</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18.28</v>
      </c>
      <c r="D27" s="143">
        <v>0</v>
      </c>
      <c r="E27" s="116">
        <f t="shared" si="1"/>
        <v>36.56</v>
      </c>
      <c r="F27" s="850">
        <f>'1461'!F27:G27</f>
        <v>1.165</v>
      </c>
      <c r="G27" s="850"/>
      <c r="H27" s="80">
        <f t="shared" si="2"/>
        <v>42.592399999999998</v>
      </c>
      <c r="I27" s="101">
        <f t="shared" si="3"/>
        <v>236955.46</v>
      </c>
      <c r="N27" s="851" t="s">
        <v>86</v>
      </c>
      <c r="O27" s="851"/>
      <c r="P27" s="848">
        <f t="shared" si="0"/>
        <v>0</v>
      </c>
      <c r="Q27" s="848"/>
      <c r="R27" s="852">
        <v>1</v>
      </c>
      <c r="S27" s="852"/>
      <c r="T27" s="95">
        <f t="shared" si="4"/>
        <v>0</v>
      </c>
      <c r="U27" s="491">
        <f t="shared" si="5"/>
        <v>0</v>
      </c>
    </row>
    <row r="28" spans="1:21" x14ac:dyDescent="0.25">
      <c r="A28" s="804" t="s">
        <v>87</v>
      </c>
      <c r="B28" s="804"/>
      <c r="C28" s="143">
        <v>7.92</v>
      </c>
      <c r="D28" s="143">
        <v>0</v>
      </c>
      <c r="E28" s="116">
        <f t="shared" si="1"/>
        <v>15.84</v>
      </c>
      <c r="F28" s="850">
        <f>'1461'!F28:G28</f>
        <v>1.165</v>
      </c>
      <c r="G28" s="850"/>
      <c r="H28" s="80">
        <f t="shared" si="2"/>
        <v>18.453600000000002</v>
      </c>
      <c r="I28" s="101">
        <f t="shared" si="3"/>
        <v>102663.42</v>
      </c>
      <c r="N28" s="851" t="s">
        <v>87</v>
      </c>
      <c r="O28" s="851"/>
      <c r="P28" s="848">
        <f t="shared" si="0"/>
        <v>0</v>
      </c>
      <c r="Q28" s="848"/>
      <c r="R28" s="852">
        <v>1</v>
      </c>
      <c r="S28" s="852"/>
      <c r="T28" s="95">
        <f t="shared" si="4"/>
        <v>0</v>
      </c>
      <c r="U28" s="491">
        <f t="shared" si="5"/>
        <v>0</v>
      </c>
    </row>
    <row r="29" spans="1:21" x14ac:dyDescent="0.25">
      <c r="A29" s="804" t="s">
        <v>88</v>
      </c>
      <c r="B29" s="804"/>
      <c r="C29" s="110">
        <v>2.2200000000000002</v>
      </c>
      <c r="D29" s="110">
        <v>0</v>
      </c>
      <c r="E29" s="154">
        <f t="shared" si="1"/>
        <v>4.4400000000000004</v>
      </c>
      <c r="F29" s="850">
        <f>'1461'!F29:G29</f>
        <v>1.081</v>
      </c>
      <c r="G29" s="850"/>
      <c r="H29" s="93">
        <f t="shared" si="2"/>
        <v>4.7995999999999999</v>
      </c>
      <c r="I29" s="94">
        <f t="shared" si="3"/>
        <v>26701.75</v>
      </c>
      <c r="N29" s="853" t="s">
        <v>88</v>
      </c>
      <c r="O29" s="853"/>
      <c r="P29" s="848">
        <f t="shared" si="0"/>
        <v>0</v>
      </c>
      <c r="Q29" s="848"/>
      <c r="R29" s="854">
        <v>1</v>
      </c>
      <c r="S29" s="854"/>
      <c r="T29" s="95">
        <f t="shared" si="4"/>
        <v>0</v>
      </c>
      <c r="U29" s="491">
        <f t="shared" si="5"/>
        <v>0</v>
      </c>
    </row>
    <row r="30" spans="1:21" x14ac:dyDescent="0.25">
      <c r="A30" s="816" t="s">
        <v>5</v>
      </c>
      <c r="B30" s="816"/>
      <c r="C30" s="94">
        <f>SUM(C14:C29)</f>
        <v>218.60999999999999</v>
      </c>
      <c r="D30" s="94">
        <f>SUM(D14:D29)</f>
        <v>0</v>
      </c>
      <c r="E30" s="94">
        <f>SUM(E14:E29)</f>
        <v>437.21999999999997</v>
      </c>
      <c r="F30" s="808"/>
      <c r="G30" s="808"/>
      <c r="H30" s="99">
        <f>SUM(H14:H29)</f>
        <v>442.13929999999993</v>
      </c>
      <c r="I30" s="94">
        <f>SUM(I14:I29)</f>
        <v>2459765.64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442.13929999999993</v>
      </c>
      <c r="F46" s="34"/>
      <c r="G46" s="106"/>
      <c r="H46" s="107" t="s">
        <v>98</v>
      </c>
      <c r="I46" s="94">
        <f>SUM(I44,I30)</f>
        <v>2459765.64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2459765.64</v>
      </c>
      <c r="G51" s="109" t="s">
        <v>6</v>
      </c>
      <c r="H51" s="420">
        <f>'1461'!H51</f>
        <v>6.6699999999999995E-2</v>
      </c>
      <c r="I51" s="101">
        <f>ROUND(F51*H51,2)</f>
        <v>164066.37</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2459765.64</v>
      </c>
      <c r="G52" s="109" t="s">
        <v>6</v>
      </c>
      <c r="H52" s="420">
        <f>'1461'!H52</f>
        <v>5.4000000000000003E-3</v>
      </c>
      <c r="I52" s="101">
        <f>ROUND(F52*H52,2)</f>
        <v>13282.73</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177349.1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20.5</v>
      </c>
      <c r="D60" s="143">
        <v>0</v>
      </c>
      <c r="E60" s="116">
        <f t="shared" si="10"/>
        <v>41</v>
      </c>
      <c r="F60" s="462" t="s">
        <v>13</v>
      </c>
      <c r="G60" s="461">
        <v>251</v>
      </c>
      <c r="H60" s="475">
        <f>'1461'!H60</f>
        <v>1173</v>
      </c>
      <c r="I60" s="101">
        <f t="shared" si="11"/>
        <v>48093</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11</v>
      </c>
      <c r="D63" s="143">
        <v>0</v>
      </c>
      <c r="E63" s="116">
        <f t="shared" si="10"/>
        <v>22</v>
      </c>
      <c r="F63" s="462" t="s">
        <v>14</v>
      </c>
      <c r="G63" s="461">
        <v>251</v>
      </c>
      <c r="H63" s="475">
        <f>'1461'!H63</f>
        <v>835</v>
      </c>
      <c r="I63" s="101">
        <f t="shared" si="11"/>
        <v>18370</v>
      </c>
      <c r="N63" s="866"/>
      <c r="O63" s="866"/>
      <c r="P63" s="868"/>
      <c r="Q63" s="868"/>
      <c r="R63" s="40" t="s">
        <v>14</v>
      </c>
      <c r="S63" s="467">
        <v>251</v>
      </c>
      <c r="T63" s="478">
        <f t="shared" si="12"/>
        <v>835</v>
      </c>
      <c r="U63" s="492">
        <f t="shared" si="13"/>
        <v>0</v>
      </c>
      <c r="V63" s="442"/>
    </row>
    <row r="64" spans="1:22" x14ac:dyDescent="0.25">
      <c r="A64" s="815"/>
      <c r="B64" s="815"/>
      <c r="C64" s="143">
        <v>1</v>
      </c>
      <c r="D64" s="143">
        <v>0</v>
      </c>
      <c r="E64" s="116">
        <f t="shared" si="10"/>
        <v>2</v>
      </c>
      <c r="F64" s="462" t="s">
        <v>14</v>
      </c>
      <c r="G64" s="461">
        <v>252</v>
      </c>
      <c r="H64" s="475">
        <f>'1461'!H64</f>
        <v>3168</v>
      </c>
      <c r="I64" s="101">
        <f t="shared" si="11"/>
        <v>6336</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33.5</v>
      </c>
      <c r="D66" s="97">
        <f>SUM(D57:D65)</f>
        <v>0</v>
      </c>
      <c r="E66" s="97">
        <f>SUM(E57:E65)</f>
        <v>67</v>
      </c>
      <c r="F66" s="816" t="s">
        <v>460</v>
      </c>
      <c r="G66" s="816"/>
      <c r="H66" s="816"/>
      <c r="I66" s="97">
        <f>SUM(I57:I65)</f>
        <v>79811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437.21999999999997</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2.0309999999999998E-3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442.13929999999993</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1.9300000000000001E-3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437.21999999999997</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2.349E-3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437.21999999999997</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2.0330000000000001E-3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437.21999999999997</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2.3530000000000001E-3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2.0330000000000001E-3</v>
      </c>
      <c r="I85" s="101">
        <f>ROUND(F85*H85,2)</f>
        <v>96142.09</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2.0309999999999998E-3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2.3530000000000001E-3</v>
      </c>
      <c r="I90" s="101">
        <f>ROUND(F90*H90,2)</f>
        <v>45102.02</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2.349E-3</v>
      </c>
      <c r="I92" s="101">
        <f t="shared" ref="I92:I96" si="14">ROUND(F92*H92,2)</f>
        <v>27123.64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1.9300000000000001E-3</v>
      </c>
      <c r="I94" s="101">
        <f t="shared" si="14"/>
        <v>518815.42</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1.9300000000000001E-3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2.0309999999999998E-3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277.0324</v>
      </c>
      <c r="D105" s="822"/>
      <c r="E105" s="46">
        <f>H8</f>
        <v>1.0355000000000001</v>
      </c>
      <c r="F105" s="302">
        <f>'1461'!F105</f>
        <v>915.09</v>
      </c>
      <c r="G105" s="39" t="s">
        <v>12</v>
      </c>
      <c r="H105" s="101">
        <f>ROUND(C105*E105*F105,2)</f>
        <v>262509.17</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165.1069</v>
      </c>
      <c r="D106" s="822"/>
      <c r="E106" s="46">
        <f>H8</f>
        <v>1.0355000000000001</v>
      </c>
      <c r="F106" s="302">
        <f>'1461'!F106</f>
        <v>917.3</v>
      </c>
      <c r="G106" s="39" t="s">
        <v>12</v>
      </c>
      <c r="H106" s="94">
        <f>ROUND(C106*E106*F106,2)</f>
        <v>156829.13</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442.13929999999999</v>
      </c>
      <c r="D107" s="812"/>
      <c r="E107" s="123"/>
      <c r="F107" s="123"/>
      <c r="G107" s="123"/>
      <c r="H107" s="124" t="s">
        <v>100</v>
      </c>
      <c r="I107" s="101">
        <f>IF(A1=75,0,H106+H105+H104)</f>
        <v>419338.3</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238</v>
      </c>
      <c r="D113" s="143">
        <v>251</v>
      </c>
      <c r="E113" s="116">
        <f>(C113+D113)/2</f>
        <v>244.5</v>
      </c>
      <c r="F113" s="126" t="s">
        <v>30</v>
      </c>
      <c r="G113" s="303">
        <f>'1461'!G113</f>
        <v>617</v>
      </c>
      <c r="I113" s="101">
        <f>ROUND(G113*E113,2)</f>
        <v>150856.5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3796954.61</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3619605.51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3619605.51</v>
      </c>
      <c r="I135" s="94">
        <f>ROUND(IF(E30=0,0,IF(E30&gt;250,-(((250/E30)*H135)*IF(G135="H",0.02,0.05)),IF(G135="H",-0.02*H135,-0.05*H135))),2)</f>
        <v>-103483.53</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3693471.08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Payments'!Q95</f>
        <v>-303122.37</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3390348.71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308213.52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77496.75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v>637300</v>
      </c>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CCC"/>
  </sheetPr>
  <dimension ref="A1:V221"/>
  <sheetViews>
    <sheetView topLeftCell="A111" workbookViewId="0">
      <selection activeCell="K127" sqref="K127"/>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126</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60.82</v>
      </c>
      <c r="D14" s="141">
        <v>0</v>
      </c>
      <c r="E14" s="187">
        <f>IF(D$30=0,C14*2,C14+D14)</f>
        <v>121.64</v>
      </c>
      <c r="F14" s="846">
        <f>'1461'!F14:G14</f>
        <v>1.1080000000000001</v>
      </c>
      <c r="G14" s="846"/>
      <c r="H14" s="145">
        <f>ROUND(E14*F14,4)</f>
        <v>134.77709999999999</v>
      </c>
      <c r="I14" s="111">
        <f>ROUND(ROUND(ROUND(H14*$C$8,4)*($H$8),2)*(MAX($H$9,1)),2)</f>
        <v>749809.12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9</v>
      </c>
      <c r="D15" s="143">
        <v>0</v>
      </c>
      <c r="E15" s="116">
        <f t="shared" ref="E15:E29" si="1">IF(D$30=0,C15*2,C15+D15)</f>
        <v>18</v>
      </c>
      <c r="F15" s="850">
        <f>'1461'!F15:G15</f>
        <v>1.1080000000000001</v>
      </c>
      <c r="G15" s="850"/>
      <c r="H15" s="80">
        <f t="shared" ref="H15:H29" si="2">ROUND(E15*F15,4)</f>
        <v>19.943999999999999</v>
      </c>
      <c r="I15" s="101">
        <f t="shared" ref="I15:I29" si="3">ROUND(ROUND(ROUND(H15*$C$8,4)*($H$8),2)*(MAX($H$9,1)),2)</f>
        <v>110955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24.59</v>
      </c>
      <c r="D16" s="143">
        <v>0</v>
      </c>
      <c r="E16" s="116">
        <f t="shared" si="1"/>
        <v>49.18</v>
      </c>
      <c r="F16" s="850">
        <f>'1461'!F16:G16</f>
        <v>1</v>
      </c>
      <c r="G16" s="850"/>
      <c r="H16" s="80">
        <f t="shared" si="2"/>
        <v>49.18</v>
      </c>
      <c r="I16" s="101">
        <f t="shared" si="3"/>
        <v>273604.44</v>
      </c>
      <c r="N16" s="851" t="s">
        <v>22</v>
      </c>
      <c r="O16" s="851"/>
      <c r="P16" s="848">
        <f t="shared" si="0"/>
        <v>0</v>
      </c>
      <c r="Q16" s="848"/>
      <c r="R16" s="852">
        <v>1</v>
      </c>
      <c r="S16" s="852"/>
      <c r="T16" s="95">
        <f t="shared" si="4"/>
        <v>0</v>
      </c>
      <c r="U16" s="491">
        <f t="shared" si="5"/>
        <v>0</v>
      </c>
    </row>
    <row r="17" spans="1:21" x14ac:dyDescent="0.25">
      <c r="A17" s="804" t="s">
        <v>23</v>
      </c>
      <c r="B17" s="804"/>
      <c r="C17" s="143">
        <v>7.5</v>
      </c>
      <c r="D17" s="143">
        <v>0</v>
      </c>
      <c r="E17" s="116">
        <f t="shared" si="1"/>
        <v>15</v>
      </c>
      <c r="F17" s="850">
        <f>'1461'!F17:G17</f>
        <v>1</v>
      </c>
      <c r="G17" s="850"/>
      <c r="H17" s="80">
        <f t="shared" si="2"/>
        <v>15</v>
      </c>
      <c r="I17" s="101">
        <f t="shared" si="3"/>
        <v>83449.91</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9.18</v>
      </c>
      <c r="D26" s="143">
        <v>0</v>
      </c>
      <c r="E26" s="116">
        <f t="shared" si="1"/>
        <v>18.36</v>
      </c>
      <c r="F26" s="850">
        <f>'1461'!F26:G26</f>
        <v>1.165</v>
      </c>
      <c r="G26" s="850"/>
      <c r="H26" s="80">
        <f t="shared" si="2"/>
        <v>21.389399999999998</v>
      </c>
      <c r="I26" s="101">
        <f t="shared" si="3"/>
        <v>118996.23</v>
      </c>
      <c r="N26" s="851" t="s">
        <v>85</v>
      </c>
      <c r="O26" s="851"/>
      <c r="P26" s="848">
        <f t="shared" si="0"/>
        <v>0</v>
      </c>
      <c r="Q26" s="848"/>
      <c r="R26" s="852">
        <v>1</v>
      </c>
      <c r="S26" s="852"/>
      <c r="T26" s="95">
        <f t="shared" si="4"/>
        <v>0</v>
      </c>
      <c r="U26" s="491">
        <f t="shared" si="5"/>
        <v>0</v>
      </c>
    </row>
    <row r="27" spans="1:21" x14ac:dyDescent="0.25">
      <c r="A27" s="804" t="s">
        <v>86</v>
      </c>
      <c r="B27" s="804"/>
      <c r="C27" s="143">
        <v>3.41</v>
      </c>
      <c r="D27" s="143">
        <v>0</v>
      </c>
      <c r="E27" s="116">
        <f t="shared" si="1"/>
        <v>6.82</v>
      </c>
      <c r="F27" s="850">
        <f>'1461'!F27:G27</f>
        <v>1.165</v>
      </c>
      <c r="G27" s="850"/>
      <c r="H27" s="80">
        <f t="shared" si="2"/>
        <v>7.9452999999999996</v>
      </c>
      <c r="I27" s="101">
        <f t="shared" si="3"/>
        <v>44202.3</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114.5</v>
      </c>
      <c r="D30" s="94">
        <f>SUM(D14:D29)</f>
        <v>0</v>
      </c>
      <c r="E30" s="94">
        <f>SUM(E14:E29)</f>
        <v>229</v>
      </c>
      <c r="F30" s="808"/>
      <c r="G30" s="808"/>
      <c r="H30" s="99">
        <f>SUM(H14:H29)</f>
        <v>248.23579999999998</v>
      </c>
      <c r="I30" s="94">
        <f>SUM(I14:I29)</f>
        <v>1381017</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248.23579999999998</v>
      </c>
      <c r="F46" s="34"/>
      <c r="G46" s="106"/>
      <c r="H46" s="107" t="s">
        <v>98</v>
      </c>
      <c r="I46" s="94">
        <f>SUM(I44,I30)</f>
        <v>1381017</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3" t="str">
        <f>'1461'!B51</f>
        <v>Maintenance Portion (6.67% of Conference Funding)</v>
      </c>
      <c r="C51" s="26"/>
      <c r="D51" s="26"/>
      <c r="E51" s="43" t="s">
        <v>414</v>
      </c>
      <c r="F51" s="419">
        <v>1381017</v>
      </c>
      <c r="G51" s="109" t="s">
        <v>6</v>
      </c>
      <c r="H51" s="420">
        <f>'1461'!H51</f>
        <v>6.6699999999999995E-2</v>
      </c>
      <c r="I51" s="101">
        <f>ROUND(F51*H51,2)</f>
        <v>92113.83</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1381017</v>
      </c>
      <c r="G52" s="109" t="s">
        <v>6</v>
      </c>
      <c r="H52" s="420">
        <f>'1461'!H52</f>
        <v>5.4000000000000003E-3</v>
      </c>
      <c r="I52" s="101">
        <f>ROUND(F52*H52,2)</f>
        <v>7457.49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99571.32</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7</v>
      </c>
      <c r="D57" s="143">
        <v>0</v>
      </c>
      <c r="E57" s="116">
        <f t="shared" ref="E57:E65" si="10">IF(D$66=0,C57*2,C57+D57)</f>
        <v>14</v>
      </c>
      <c r="F57" s="461" t="s">
        <v>451</v>
      </c>
      <c r="G57" s="461">
        <v>251</v>
      </c>
      <c r="H57" s="475">
        <f>'1461'!H57</f>
        <v>1047</v>
      </c>
      <c r="I57" s="101">
        <f>ROUND(E57*H57,2)</f>
        <v>14658</v>
      </c>
      <c r="N57" s="865" t="s">
        <v>459</v>
      </c>
      <c r="O57" s="865"/>
      <c r="P57" s="867"/>
      <c r="Q57" s="867"/>
      <c r="R57" s="467" t="s">
        <v>451</v>
      </c>
      <c r="S57" s="467">
        <v>251</v>
      </c>
      <c r="T57" s="478">
        <f>H57</f>
        <v>1047</v>
      </c>
      <c r="U57" s="492">
        <f>ROUND(P57*T57,2)</f>
        <v>0</v>
      </c>
      <c r="V57" s="442"/>
    </row>
    <row r="58" spans="1:22" x14ac:dyDescent="0.25">
      <c r="A58" s="815"/>
      <c r="B58" s="815"/>
      <c r="C58" s="143">
        <v>2</v>
      </c>
      <c r="D58" s="143">
        <v>0</v>
      </c>
      <c r="E58" s="116">
        <f t="shared" si="10"/>
        <v>4</v>
      </c>
      <c r="F58" s="461" t="s">
        <v>451</v>
      </c>
      <c r="G58" s="461">
        <v>252</v>
      </c>
      <c r="H58" s="475">
        <f>'1461'!H58</f>
        <v>3380</v>
      </c>
      <c r="I58" s="101">
        <f t="shared" ref="I58:I65" si="11">ROUND(E58*H58,2)</f>
        <v>13520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5.5</v>
      </c>
      <c r="D60" s="143">
        <v>0</v>
      </c>
      <c r="E60" s="116">
        <f t="shared" si="10"/>
        <v>11</v>
      </c>
      <c r="F60" s="462" t="s">
        <v>13</v>
      </c>
      <c r="G60" s="461">
        <v>251</v>
      </c>
      <c r="H60" s="475">
        <f>'1461'!H60</f>
        <v>1173</v>
      </c>
      <c r="I60" s="101">
        <f t="shared" si="11"/>
        <v>12903</v>
      </c>
      <c r="N60" s="866"/>
      <c r="O60" s="866"/>
      <c r="P60" s="868"/>
      <c r="Q60" s="868"/>
      <c r="R60" s="40" t="s">
        <v>13</v>
      </c>
      <c r="S60" s="467">
        <v>251</v>
      </c>
      <c r="T60" s="478">
        <f t="shared" si="12"/>
        <v>1173</v>
      </c>
      <c r="U60" s="492">
        <f t="shared" si="13"/>
        <v>0</v>
      </c>
      <c r="V60" s="442"/>
    </row>
    <row r="61" spans="1:22" x14ac:dyDescent="0.25">
      <c r="A61" s="815"/>
      <c r="B61" s="815"/>
      <c r="C61" s="143">
        <v>2</v>
      </c>
      <c r="D61" s="143">
        <v>0</v>
      </c>
      <c r="E61" s="116">
        <f t="shared" si="10"/>
        <v>4</v>
      </c>
      <c r="F61" s="462" t="s">
        <v>13</v>
      </c>
      <c r="G61" s="461">
        <v>252</v>
      </c>
      <c r="H61" s="475">
        <f>'1461'!H61</f>
        <v>3506</v>
      </c>
      <c r="I61" s="101">
        <f t="shared" si="11"/>
        <v>14024</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16.5</v>
      </c>
      <c r="D66" s="97">
        <f>SUM(D57:D65)</f>
        <v>0</v>
      </c>
      <c r="E66" s="97">
        <f>SUM(E57:E65)</f>
        <v>33</v>
      </c>
      <c r="F66" s="816" t="s">
        <v>460</v>
      </c>
      <c r="G66" s="816"/>
      <c r="H66" s="816"/>
      <c r="I66" s="97">
        <f>SUM(I57:I65)</f>
        <v>55105</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229</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1.0640000000000001E-3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248.23579999999998</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1.0839999999999999E-3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229</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1.23E-3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229</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1.065E-3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229</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1.232E-3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1.065E-3</v>
      </c>
      <c r="I85" s="101">
        <f>ROUND(F85*H85,2)</f>
        <v>50364.65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1.0640000000000001E-3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1.232E-3</v>
      </c>
      <c r="I90" s="101">
        <f>ROUND(F90*H90,2)</f>
        <v>23614.83</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1.23E-3</v>
      </c>
      <c r="I92" s="101">
        <f t="shared" ref="I92:I96" si="14">ROUND(F92*H92,2)</f>
        <v>14202.67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1.0839999999999999E-3</v>
      </c>
      <c r="I94" s="101">
        <f t="shared" si="14"/>
        <v>291396.84999999998</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1.0839999999999999E-3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1.0640000000000001E-3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176.11049999999997</v>
      </c>
      <c r="D104" s="822"/>
      <c r="E104" s="46">
        <f>H8</f>
        <v>1.0355000000000001</v>
      </c>
      <c r="F104" s="302">
        <f>'1461'!F104</f>
        <v>958.42</v>
      </c>
      <c r="G104" s="39" t="s">
        <v>12</v>
      </c>
      <c r="H104" s="101">
        <f>ROUND(C104*E104*F104,2)</f>
        <v>174779.79</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72.12530000000001</v>
      </c>
      <c r="D105" s="822"/>
      <c r="E105" s="46">
        <f>H8</f>
        <v>1.0355000000000001</v>
      </c>
      <c r="F105" s="302">
        <f>'1461'!F105</f>
        <v>915.09</v>
      </c>
      <c r="G105" s="39" t="s">
        <v>12</v>
      </c>
      <c r="H105" s="101">
        <f>ROUND(C105*E105*F105,2)</f>
        <v>68344.179999999993</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248.23579999999998</v>
      </c>
      <c r="D107" s="812"/>
      <c r="E107" s="123"/>
      <c r="F107" s="123"/>
      <c r="G107" s="123"/>
      <c r="H107" s="124" t="s">
        <v>100</v>
      </c>
      <c r="I107" s="101">
        <f>IF(A1=75,0,H106+H105+H104)</f>
        <v>243123.97</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v>
      </c>
      <c r="D113" s="143">
        <v>0</v>
      </c>
      <c r="E113" s="116">
        <f>(C113+D113)/2</f>
        <v>1</v>
      </c>
      <c r="F113" s="126" t="s">
        <v>30</v>
      </c>
      <c r="G113" s="303">
        <f>'1461'!G113</f>
        <v>617</v>
      </c>
      <c r="I113" s="101">
        <f>ROUND(G113*E113,2)</f>
        <v>617</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2059441.97</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1959870.65</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395" t="s">
        <v>239</v>
      </c>
      <c r="H135" s="139">
        <f>IF(H133=1,I133,I130)</f>
        <v>1959870.65</v>
      </c>
      <c r="I135" s="94">
        <f>ROUND(IF(E30=0,0,IF(E30&gt;250,-(((250/E30)*H135)*IF(G135="H",0.02,0.05)),IF(G135="H",-0.02*H135,-0.05*H135))),2)</f>
        <v>-39197.410000000003</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2020244.56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Payments'!Q96</f>
        <v>-166503.70000000001</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1853740.86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168521.9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FFCCCC"/>
  </sheetPr>
  <dimension ref="A1:V221"/>
  <sheetViews>
    <sheetView topLeftCell="A141" workbookViewId="0">
      <selection activeCell="F51" sqref="F51:F52"/>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127</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H3" s="702" t="s">
        <v>547</v>
      </c>
      <c r="I3" s="702"/>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0</v>
      </c>
      <c r="D30" s="94">
        <f>SUM(D14:D29)</f>
        <v>0</v>
      </c>
      <c r="E30" s="94">
        <f>SUM(E14:E29)</f>
        <v>0</v>
      </c>
      <c r="F30" s="808"/>
      <c r="G30" s="808"/>
      <c r="H30" s="99">
        <f>SUM(H14:H29)</f>
        <v>0</v>
      </c>
      <c r="I30" s="94">
        <f>SUM(I14:I29)</f>
        <v>0</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0</v>
      </c>
      <c r="F46" s="34"/>
      <c r="G46" s="106"/>
      <c r="H46" s="107" t="s">
        <v>98</v>
      </c>
      <c r="I46" s="94">
        <f>SUM(I44,I30)</f>
        <v>0</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3" t="str">
        <f>'1461'!B51</f>
        <v>Maintenance Portion (6.67% of Conference Funding)</v>
      </c>
      <c r="C51" s="26"/>
      <c r="D51" s="26"/>
      <c r="E51" s="43" t="s">
        <v>414</v>
      </c>
      <c r="F51" s="419"/>
      <c r="G51" s="109" t="s">
        <v>6</v>
      </c>
      <c r="H51" s="420">
        <v>6.6699999999999995E-2</v>
      </c>
      <c r="I51" s="101">
        <v>0</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c r="G52" s="109" t="s">
        <v>6</v>
      </c>
      <c r="H52" s="420">
        <v>5.4000000000000003E-3</v>
      </c>
      <c r="I52" s="101">
        <v>0</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0</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0</v>
      </c>
      <c r="D66" s="97">
        <f>SUM(D57:D65)</f>
        <v>0</v>
      </c>
      <c r="E66" s="97">
        <f>SUM(E57:E65)</f>
        <v>0</v>
      </c>
      <c r="F66" s="816" t="s">
        <v>460</v>
      </c>
      <c r="G66" s="816"/>
      <c r="H66" s="816"/>
      <c r="I66" s="97">
        <f>SUM(I57:I65)</f>
        <v>0</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0</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0</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0</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0</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0</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0</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0</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0</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0</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0</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0</v>
      </c>
      <c r="I85" s="101">
        <f>ROUND(F85*H85,2)</f>
        <v>0</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0</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0</v>
      </c>
      <c r="I90" s="101">
        <f>ROUND(F90*H90,2)</f>
        <v>0</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0</v>
      </c>
      <c r="I92" s="101">
        <f t="shared" ref="I92:I96" si="14">ROUND(F92*H92,2)</f>
        <v>0</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0</v>
      </c>
      <c r="I94" s="101">
        <f t="shared" si="14"/>
        <v>0</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0</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0</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0</v>
      </c>
      <c r="D107" s="812"/>
      <c r="E107" s="123"/>
      <c r="F107" s="123"/>
      <c r="G107" s="123"/>
      <c r="H107" s="124" t="s">
        <v>100</v>
      </c>
      <c r="I107" s="101">
        <f>IF(A1=75,0,H106+H105+H104)</f>
        <v>0</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v>0</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0</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0</v>
      </c>
      <c r="I135" s="94">
        <f>ROUND(IF(E30=0,0,IF(E30&gt;250,-(((250/E30)*H135)*IF(G135="H",0.02,0.05)),IF(G135="H",-0.02*H135,-0.05*H135))),2)</f>
        <v>0</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v>0</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Payments'!Q97</f>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v>0</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v>0</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tabColor rgb="FFFFCCCC"/>
  </sheetPr>
  <dimension ref="A1:V221"/>
  <sheetViews>
    <sheetView topLeftCell="A112" workbookViewId="0">
      <selection activeCell="L115" sqref="L11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343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236.41</v>
      </c>
      <c r="D18" s="143">
        <v>0</v>
      </c>
      <c r="E18" s="116">
        <f t="shared" si="1"/>
        <v>472.82</v>
      </c>
      <c r="F18" s="850">
        <f>'1461'!F18:G18</f>
        <v>0.97199999999999998</v>
      </c>
      <c r="G18" s="850"/>
      <c r="H18" s="80">
        <f t="shared" si="2"/>
        <v>459.58100000000002</v>
      </c>
      <c r="I18" s="101">
        <f t="shared" si="3"/>
        <v>2556799.52</v>
      </c>
      <c r="N18" s="851" t="s">
        <v>24</v>
      </c>
      <c r="O18" s="851"/>
      <c r="P18" s="848">
        <f t="shared" si="0"/>
        <v>0</v>
      </c>
      <c r="Q18" s="848"/>
      <c r="R18" s="852">
        <v>1</v>
      </c>
      <c r="S18" s="852"/>
      <c r="T18" s="95">
        <f t="shared" si="4"/>
        <v>0</v>
      </c>
      <c r="U18" s="491">
        <f t="shared" si="5"/>
        <v>0</v>
      </c>
    </row>
    <row r="19" spans="1:21" x14ac:dyDescent="0.25">
      <c r="A19" s="804" t="s">
        <v>25</v>
      </c>
      <c r="B19" s="804"/>
      <c r="C19" s="143">
        <v>46.43</v>
      </c>
      <c r="D19" s="143">
        <v>0</v>
      </c>
      <c r="E19" s="116">
        <f t="shared" si="1"/>
        <v>92.86</v>
      </c>
      <c r="F19" s="850">
        <f>'1461'!F19:G19</f>
        <v>0.97199999999999998</v>
      </c>
      <c r="G19" s="850"/>
      <c r="H19" s="80">
        <f t="shared" si="2"/>
        <v>90.259900000000002</v>
      </c>
      <c r="I19" s="101">
        <f t="shared" si="3"/>
        <v>502145.37</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32.700000000000003</v>
      </c>
      <c r="D28" s="143">
        <v>0</v>
      </c>
      <c r="E28" s="116">
        <f t="shared" si="1"/>
        <v>65.400000000000006</v>
      </c>
      <c r="F28" s="850">
        <f>'1461'!F28:G28</f>
        <v>1.165</v>
      </c>
      <c r="G28" s="850"/>
      <c r="H28" s="80">
        <f t="shared" si="2"/>
        <v>76.191000000000003</v>
      </c>
      <c r="I28" s="101">
        <f t="shared" si="3"/>
        <v>423875.47</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315.53999999999996</v>
      </c>
      <c r="D30" s="94">
        <f>SUM(D14:D29)</f>
        <v>0</v>
      </c>
      <c r="E30" s="94">
        <f>SUM(E14:E29)</f>
        <v>631.07999999999993</v>
      </c>
      <c r="F30" s="808"/>
      <c r="G30" s="808"/>
      <c r="H30" s="99">
        <f>SUM(H14:H29)</f>
        <v>626.03190000000006</v>
      </c>
      <c r="I30" s="94">
        <f>SUM(I14:I29)</f>
        <v>3482820.3600000003</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626.03190000000006</v>
      </c>
      <c r="F46" s="34"/>
      <c r="G46" s="106"/>
      <c r="H46" s="107" t="s">
        <v>98</v>
      </c>
      <c r="I46" s="94">
        <f>SUM(I44,I30)</f>
        <v>3482820.3600000003</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3" t="str">
        <f>'1461'!B51</f>
        <v>Maintenance Portion (6.67% of Conference Funding)</v>
      </c>
      <c r="C51" s="26"/>
      <c r="D51" s="26"/>
      <c r="E51" s="43" t="s">
        <v>414</v>
      </c>
      <c r="F51" s="419">
        <v>3482820.3600000003</v>
      </c>
      <c r="G51" s="109" t="s">
        <v>6</v>
      </c>
      <c r="H51" s="420">
        <f>'1461'!H51</f>
        <v>6.6699999999999995E-2</v>
      </c>
      <c r="I51" s="101">
        <f>ROUND(F51*H51,2)</f>
        <v>232304.12</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3482820.3600000003</v>
      </c>
      <c r="G52" s="109" t="s">
        <v>6</v>
      </c>
      <c r="H52" s="420">
        <f>'1461'!H52</f>
        <v>5.4000000000000003E-3</v>
      </c>
      <c r="I52" s="101">
        <f>ROUND(F52*H52,2)</f>
        <v>18807.23</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251111.35</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43.92</v>
      </c>
      <c r="D63" s="143">
        <v>0</v>
      </c>
      <c r="E63" s="116">
        <f t="shared" si="10"/>
        <v>87.84</v>
      </c>
      <c r="F63" s="462" t="s">
        <v>14</v>
      </c>
      <c r="G63" s="461">
        <v>251</v>
      </c>
      <c r="H63" s="475">
        <f>'1461'!H63</f>
        <v>835</v>
      </c>
      <c r="I63" s="101">
        <f t="shared" si="11"/>
        <v>73346.399999999994</v>
      </c>
      <c r="N63" s="866"/>
      <c r="O63" s="866"/>
      <c r="P63" s="868"/>
      <c r="Q63" s="868"/>
      <c r="R63" s="40" t="s">
        <v>14</v>
      </c>
      <c r="S63" s="467">
        <v>251</v>
      </c>
      <c r="T63" s="478">
        <f t="shared" si="12"/>
        <v>835</v>
      </c>
      <c r="U63" s="492">
        <f t="shared" si="13"/>
        <v>0</v>
      </c>
      <c r="V63" s="442"/>
    </row>
    <row r="64" spans="1:22" x14ac:dyDescent="0.25">
      <c r="A64" s="815"/>
      <c r="B64" s="815"/>
      <c r="C64" s="143">
        <v>2.5099999999999998</v>
      </c>
      <c r="D64" s="143">
        <v>0</v>
      </c>
      <c r="E64" s="116">
        <f t="shared" si="10"/>
        <v>5.0199999999999996</v>
      </c>
      <c r="F64" s="462" t="s">
        <v>14</v>
      </c>
      <c r="G64" s="461">
        <v>252</v>
      </c>
      <c r="H64" s="475">
        <f>'1461'!H64</f>
        <v>3168</v>
      </c>
      <c r="I64" s="101">
        <f t="shared" si="11"/>
        <v>15903.36</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46.43</v>
      </c>
      <c r="D66" s="97">
        <f>SUM(D57:D65)</f>
        <v>0</v>
      </c>
      <c r="E66" s="97">
        <f>SUM(E57:E65)</f>
        <v>92.86</v>
      </c>
      <c r="F66" s="816" t="s">
        <v>460</v>
      </c>
      <c r="G66" s="816"/>
      <c r="H66" s="816"/>
      <c r="I66" s="97">
        <f>SUM(I57:I65)</f>
        <v>89249.76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631.07999999999993</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2.931E-3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626.03190000000006</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2.7330000000000002E-3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631.07999999999993</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3.3899999999999998E-3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631.07999999999993</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2.9350000000000001E-3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631.07999999999993</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3.3960000000000001E-3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2.9350000000000001E-3</v>
      </c>
      <c r="I85" s="101">
        <f>ROUND(F85*H85,2)</f>
        <v>138798.34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2.931E-3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3.3960000000000001E-3</v>
      </c>
      <c r="I90" s="101">
        <f>ROUND(F90*H90,2)</f>
        <v>65094.12</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3.3899999999999998E-3</v>
      </c>
      <c r="I92" s="101">
        <f t="shared" ref="I92:I96" si="14">ROUND(F92*H92,2)</f>
        <v>39143.949999999997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2.7330000000000002E-3</v>
      </c>
      <c r="I94" s="101">
        <f t="shared" si="14"/>
        <v>734674.89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2.7330000000000002E-3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2.931E-3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626.03190000000006</v>
      </c>
      <c r="D106" s="822"/>
      <c r="E106" s="46">
        <f>H8</f>
        <v>1.0355000000000001</v>
      </c>
      <c r="F106" s="302">
        <f>'1461'!F106</f>
        <v>917.3</v>
      </c>
      <c r="G106" s="39" t="s">
        <v>12</v>
      </c>
      <c r="H106" s="94">
        <f>ROUND(C106*E106*F106,2)</f>
        <v>594645.26</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626.03190000000006</v>
      </c>
      <c r="D107" s="812"/>
      <c r="E107" s="123"/>
      <c r="F107" s="123"/>
      <c r="G107" s="123"/>
      <c r="H107" s="124" t="s">
        <v>100</v>
      </c>
      <c r="I107" s="101">
        <f>IF(A1=75,0,H106+H105+H104)</f>
        <v>594645.26</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46</v>
      </c>
      <c r="D113" s="143">
        <v>125</v>
      </c>
      <c r="E113" s="116">
        <f>(C113+D113)/2</f>
        <v>85.5</v>
      </c>
      <c r="F113" s="126" t="s">
        <v>30</v>
      </c>
      <c r="G113" s="303">
        <f>'1461'!G113</f>
        <v>617</v>
      </c>
      <c r="I113" s="101">
        <f>ROUND(G113*E113,2)</f>
        <v>52753.5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5197180.18</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4946068.83</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4946068.83</v>
      </c>
      <c r="I135" s="94">
        <f>ROUND(IF(E30=0,0,IF(E30&gt;250,-(((250/E30)*H135)*IF(G135="H",0.02,0.05)),IF(G135="H",-0.02*H135,-0.05*H135))),2)</f>
        <v>-97968.34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5099211.84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Payments'!Q98</f>
        <v>-418200.93</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4681010.91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425546.45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149335.1</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9">
    <tabColor rgb="FFFFCCCC"/>
  </sheetPr>
  <dimension ref="A1:V221"/>
  <sheetViews>
    <sheetView topLeftCell="A111" workbookViewId="0">
      <selection activeCell="K128" sqref="K128"/>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128</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91.07</v>
      </c>
      <c r="D14" s="141">
        <v>0</v>
      </c>
      <c r="E14" s="187">
        <f>IF(D$30=0,C14*2,C14+D14)</f>
        <v>182.14</v>
      </c>
      <c r="F14" s="846">
        <f>'1461'!F14:G14</f>
        <v>1.1080000000000001</v>
      </c>
      <c r="G14" s="846"/>
      <c r="H14" s="145">
        <f>ROUND(E14*F14,4)</f>
        <v>201.81110000000001</v>
      </c>
      <c r="I14" s="111">
        <f>ROUND(ROUND(ROUND(H14*$C$8,4)*($H$8),2)*(MAX($H$9,1)),2)</f>
        <v>1122741.2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14</v>
      </c>
      <c r="D15" s="143">
        <v>0</v>
      </c>
      <c r="E15" s="116">
        <f t="shared" ref="E15:E29" si="1">IF(D$30=0,C15*2,C15+D15)</f>
        <v>28</v>
      </c>
      <c r="F15" s="850">
        <f>'1461'!F15:G15</f>
        <v>1.1080000000000001</v>
      </c>
      <c r="G15" s="850"/>
      <c r="H15" s="80">
        <f t="shared" ref="H15:H29" si="2">ROUND(E15*F15,4)</f>
        <v>31.024000000000001</v>
      </c>
      <c r="I15" s="101">
        <f t="shared" ref="I15:I29" si="3">ROUND(ROUND(ROUND(H15*$C$8,4)*($H$8),2)*(MAX($H$9,1)),2)</f>
        <v>172596.67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155.16999999999999</v>
      </c>
      <c r="D16" s="143">
        <v>0</v>
      </c>
      <c r="E16" s="116">
        <f t="shared" si="1"/>
        <v>310.33999999999997</v>
      </c>
      <c r="F16" s="850">
        <f>'1461'!F16:G16</f>
        <v>1</v>
      </c>
      <c r="G16" s="850"/>
      <c r="H16" s="80">
        <f t="shared" si="2"/>
        <v>310.33999999999997</v>
      </c>
      <c r="I16" s="101">
        <f t="shared" si="3"/>
        <v>1726522.99</v>
      </c>
      <c r="N16" s="851" t="s">
        <v>22</v>
      </c>
      <c r="O16" s="851"/>
      <c r="P16" s="848">
        <f t="shared" si="0"/>
        <v>0</v>
      </c>
      <c r="Q16" s="848"/>
      <c r="R16" s="852">
        <v>1</v>
      </c>
      <c r="S16" s="852"/>
      <c r="T16" s="95">
        <f t="shared" si="4"/>
        <v>0</v>
      </c>
      <c r="U16" s="491">
        <f t="shared" si="5"/>
        <v>0</v>
      </c>
    </row>
    <row r="17" spans="1:21" x14ac:dyDescent="0.25">
      <c r="A17" s="804" t="s">
        <v>23</v>
      </c>
      <c r="B17" s="804"/>
      <c r="C17" s="143">
        <v>22</v>
      </c>
      <c r="D17" s="143">
        <v>0</v>
      </c>
      <c r="E17" s="116">
        <f t="shared" si="1"/>
        <v>44</v>
      </c>
      <c r="F17" s="850">
        <f>'1461'!F17:G17</f>
        <v>1</v>
      </c>
      <c r="G17" s="850"/>
      <c r="H17" s="80">
        <f t="shared" si="2"/>
        <v>44</v>
      </c>
      <c r="I17" s="101">
        <f t="shared" si="3"/>
        <v>244786.4</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37.43</v>
      </c>
      <c r="D26" s="143">
        <v>0</v>
      </c>
      <c r="E26" s="116">
        <f t="shared" si="1"/>
        <v>74.86</v>
      </c>
      <c r="F26" s="850">
        <f>'1461'!F26:G26</f>
        <v>1.165</v>
      </c>
      <c r="G26" s="850"/>
      <c r="H26" s="80">
        <f t="shared" si="2"/>
        <v>87.2119</v>
      </c>
      <c r="I26" s="101">
        <f t="shared" si="3"/>
        <v>485188.34</v>
      </c>
      <c r="N26" s="851" t="s">
        <v>85</v>
      </c>
      <c r="O26" s="851"/>
      <c r="P26" s="848">
        <f t="shared" si="0"/>
        <v>0</v>
      </c>
      <c r="Q26" s="848"/>
      <c r="R26" s="852">
        <v>1</v>
      </c>
      <c r="S26" s="852"/>
      <c r="T26" s="95">
        <f t="shared" si="4"/>
        <v>0</v>
      </c>
      <c r="U26" s="491">
        <f t="shared" si="5"/>
        <v>0</v>
      </c>
    </row>
    <row r="27" spans="1:21" x14ac:dyDescent="0.25">
      <c r="A27" s="804" t="s">
        <v>86</v>
      </c>
      <c r="B27" s="804"/>
      <c r="C27" s="143">
        <v>21.33</v>
      </c>
      <c r="D27" s="143">
        <v>0</v>
      </c>
      <c r="E27" s="116">
        <f t="shared" si="1"/>
        <v>42.66</v>
      </c>
      <c r="F27" s="850">
        <f>'1461'!F27:G27</f>
        <v>1.165</v>
      </c>
      <c r="G27" s="850"/>
      <c r="H27" s="80">
        <f t="shared" si="2"/>
        <v>49.698900000000002</v>
      </c>
      <c r="I27" s="101">
        <f t="shared" si="3"/>
        <v>276491.25</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341</v>
      </c>
      <c r="D30" s="94">
        <f>SUM(D14:D29)</f>
        <v>0</v>
      </c>
      <c r="E30" s="94">
        <f>SUM(E14:E29)</f>
        <v>682</v>
      </c>
      <c r="F30" s="808"/>
      <c r="G30" s="808"/>
      <c r="H30" s="99">
        <f>SUM(H14:H29)</f>
        <v>724.08589999999992</v>
      </c>
      <c r="I30" s="94">
        <f>SUM(I14:I29)</f>
        <v>4028326.8499999996</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724.08589999999992</v>
      </c>
      <c r="F46" s="34"/>
      <c r="G46" s="106"/>
      <c r="H46" s="107" t="s">
        <v>98</v>
      </c>
      <c r="I46" s="94">
        <f>SUM(I44,I30)</f>
        <v>4028326.8499999996</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4028326.8499999996</v>
      </c>
      <c r="G51" s="109" t="s">
        <v>6</v>
      </c>
      <c r="H51" s="420">
        <f>'1461'!H51</f>
        <v>6.6699999999999995E-2</v>
      </c>
      <c r="I51" s="101">
        <f>ROUND(F51*H51,2)</f>
        <v>268689.40000000002</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4028326.8499999996</v>
      </c>
      <c r="G52" s="109" t="s">
        <v>6</v>
      </c>
      <c r="H52" s="420">
        <f>'1461'!H52</f>
        <v>5.4000000000000003E-3</v>
      </c>
      <c r="I52" s="101">
        <f>ROUND(F52*H52,2)</f>
        <v>21752.959999999999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290442.36000000004</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9.5</v>
      </c>
      <c r="D57" s="143">
        <v>0</v>
      </c>
      <c r="E57" s="116">
        <f t="shared" ref="E57:E65" si="10">IF(D$66=0,C57*2,C57+D57)</f>
        <v>19</v>
      </c>
      <c r="F57" s="461" t="s">
        <v>451</v>
      </c>
      <c r="G57" s="461">
        <v>251</v>
      </c>
      <c r="H57" s="475">
        <f>'1461'!H57</f>
        <v>1047</v>
      </c>
      <c r="I57" s="101">
        <f>ROUND(E57*H57,2)</f>
        <v>19893</v>
      </c>
      <c r="N57" s="865" t="s">
        <v>459</v>
      </c>
      <c r="O57" s="865"/>
      <c r="P57" s="867"/>
      <c r="Q57" s="867"/>
      <c r="R57" s="467" t="s">
        <v>451</v>
      </c>
      <c r="S57" s="467">
        <v>251</v>
      </c>
      <c r="T57" s="478">
        <f>H57</f>
        <v>1047</v>
      </c>
      <c r="U57" s="492">
        <f>ROUND(P57*T57,2)</f>
        <v>0</v>
      </c>
      <c r="V57" s="442"/>
    </row>
    <row r="58" spans="1:22" x14ac:dyDescent="0.25">
      <c r="A58" s="815"/>
      <c r="B58" s="815"/>
      <c r="C58" s="143">
        <v>2.5</v>
      </c>
      <c r="D58" s="143">
        <v>0</v>
      </c>
      <c r="E58" s="116">
        <f t="shared" si="10"/>
        <v>5</v>
      </c>
      <c r="F58" s="461" t="s">
        <v>451</v>
      </c>
      <c r="G58" s="461">
        <v>252</v>
      </c>
      <c r="H58" s="475">
        <f>'1461'!H58</f>
        <v>3380</v>
      </c>
      <c r="I58" s="101">
        <f t="shared" ref="I58:I65" si="11">ROUND(E58*H58,2)</f>
        <v>16900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2</v>
      </c>
      <c r="D59" s="143">
        <v>0</v>
      </c>
      <c r="E59" s="116">
        <f t="shared" si="10"/>
        <v>4</v>
      </c>
      <c r="F59" s="461" t="s">
        <v>451</v>
      </c>
      <c r="G59" s="461">
        <v>253</v>
      </c>
      <c r="H59" s="475">
        <f>'1461'!H59</f>
        <v>6896</v>
      </c>
      <c r="I59" s="101">
        <f t="shared" si="11"/>
        <v>27584</v>
      </c>
      <c r="N59" s="866"/>
      <c r="O59" s="866"/>
      <c r="P59" s="868"/>
      <c r="Q59" s="868"/>
      <c r="R59" s="467" t="s">
        <v>451</v>
      </c>
      <c r="S59" s="467">
        <v>253</v>
      </c>
      <c r="T59" s="478">
        <f t="shared" si="12"/>
        <v>6896</v>
      </c>
      <c r="U59" s="492">
        <f t="shared" si="13"/>
        <v>0</v>
      </c>
      <c r="V59" s="442"/>
    </row>
    <row r="60" spans="1:22" x14ac:dyDescent="0.25">
      <c r="A60" s="815"/>
      <c r="B60" s="815"/>
      <c r="C60" s="143">
        <v>20</v>
      </c>
      <c r="D60" s="143">
        <v>0</v>
      </c>
      <c r="E60" s="116">
        <f t="shared" si="10"/>
        <v>40</v>
      </c>
      <c r="F60" s="462" t="s">
        <v>13</v>
      </c>
      <c r="G60" s="461">
        <v>251</v>
      </c>
      <c r="H60" s="475">
        <f>'1461'!H60</f>
        <v>1173</v>
      </c>
      <c r="I60" s="101">
        <f t="shared" si="11"/>
        <v>46920</v>
      </c>
      <c r="N60" s="866"/>
      <c r="O60" s="866"/>
      <c r="P60" s="868"/>
      <c r="Q60" s="868"/>
      <c r="R60" s="40" t="s">
        <v>13</v>
      </c>
      <c r="S60" s="467">
        <v>251</v>
      </c>
      <c r="T60" s="478">
        <f t="shared" si="12"/>
        <v>1173</v>
      </c>
      <c r="U60" s="492">
        <f t="shared" si="13"/>
        <v>0</v>
      </c>
      <c r="V60" s="442"/>
    </row>
    <row r="61" spans="1:22" x14ac:dyDescent="0.25">
      <c r="A61" s="815"/>
      <c r="B61" s="815"/>
      <c r="C61" s="143">
        <v>2</v>
      </c>
      <c r="D61" s="143">
        <v>0</v>
      </c>
      <c r="E61" s="116">
        <f t="shared" si="10"/>
        <v>4</v>
      </c>
      <c r="F61" s="462" t="s">
        <v>13</v>
      </c>
      <c r="G61" s="461">
        <v>252</v>
      </c>
      <c r="H61" s="475">
        <f>'1461'!H61</f>
        <v>3506</v>
      </c>
      <c r="I61" s="101">
        <f t="shared" si="11"/>
        <v>14024</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36</v>
      </c>
      <c r="D66" s="97">
        <f>SUM(D57:D65)</f>
        <v>0</v>
      </c>
      <c r="E66" s="97">
        <f>SUM(E57:E65)</f>
        <v>72</v>
      </c>
      <c r="F66" s="816" t="s">
        <v>460</v>
      </c>
      <c r="G66" s="816"/>
      <c r="H66" s="816"/>
      <c r="I66" s="97">
        <f>SUM(I57:I65)</f>
        <v>125321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682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3.1670000000000001E-3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724.08589999999992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3.1610000000000002E-3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682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3.6640000000000002E-3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682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3.1719999999999999E-3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682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3.6700000000000001E-3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3.1719999999999999E-3</v>
      </c>
      <c r="I85" s="101">
        <f>ROUND(F85*H85,2)</f>
        <v>150006.25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3.1670000000000001E-3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3.6700000000000001E-3</v>
      </c>
      <c r="I90" s="101">
        <f>ROUND(F90*H90,2)</f>
        <v>70346.12</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3.6640000000000002E-3</v>
      </c>
      <c r="I92" s="101">
        <f t="shared" ref="I92:I96" si="14">ROUND(F92*H92,2)</f>
        <v>42307.8</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3.1610000000000002E-3</v>
      </c>
      <c r="I94" s="101">
        <f t="shared" si="14"/>
        <v>849728.25</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3.1610000000000002E-3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3.1670000000000001E-3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320.04700000000003</v>
      </c>
      <c r="D104" s="822"/>
      <c r="E104" s="46">
        <f>H8</f>
        <v>1.0355000000000001</v>
      </c>
      <c r="F104" s="302">
        <f>'1461'!F104</f>
        <v>958.42</v>
      </c>
      <c r="G104" s="39" t="s">
        <v>12</v>
      </c>
      <c r="H104" s="101">
        <f>ROUND(C104*E104*F104,2)</f>
        <v>317628.7</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404.03889999999996</v>
      </c>
      <c r="D105" s="822"/>
      <c r="E105" s="46">
        <f>H8</f>
        <v>1.0355000000000001</v>
      </c>
      <c r="F105" s="302">
        <f>'1461'!F105</f>
        <v>915.09</v>
      </c>
      <c r="G105" s="39" t="s">
        <v>12</v>
      </c>
      <c r="H105" s="101">
        <f>ROUND(C105*E105*F105,2)</f>
        <v>382857.44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724.08590000000004</v>
      </c>
      <c r="D107" s="812"/>
      <c r="E107" s="123"/>
      <c r="F107" s="123"/>
      <c r="G107" s="123"/>
      <c r="H107" s="124" t="s">
        <v>100</v>
      </c>
      <c r="I107" s="101">
        <f>IF(A1=75,0,H106+H105+H104)</f>
        <v>700486.14</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70</v>
      </c>
      <c r="D113" s="143">
        <v>102</v>
      </c>
      <c r="E113" s="116">
        <f>(C113+D113)/2</f>
        <v>86</v>
      </c>
      <c r="F113" s="126" t="s">
        <v>30</v>
      </c>
      <c r="G113" s="303">
        <f>'1461'!G113</f>
        <v>617</v>
      </c>
      <c r="I113" s="101">
        <f>ROUND(G113*E113,2)</f>
        <v>53062</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6019584.4099999992</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5729142.0499999989</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900" t="s">
        <v>512</v>
      </c>
      <c r="O132" s="901"/>
      <c r="P132" s="901"/>
      <c r="Q132" s="901"/>
      <c r="R132" s="901"/>
      <c r="S132" s="901"/>
      <c r="T132" s="901"/>
      <c r="U132" s="138"/>
    </row>
    <row r="133" spans="1:21" x14ac:dyDescent="0.25">
      <c r="A133" s="804" t="s">
        <v>70</v>
      </c>
      <c r="B133" s="804"/>
      <c r="C133" s="804"/>
      <c r="D133" s="804"/>
      <c r="E133" s="804"/>
      <c r="F133" s="804"/>
      <c r="G133" s="804"/>
      <c r="H133" s="70" t="str">
        <f>IF(E30=0,"",IF((E15+E17+SUM(E19:E25))/E30&gt;0.75,1,""))</f>
        <v/>
      </c>
      <c r="I133" s="116">
        <f>U130</f>
        <v>0</v>
      </c>
      <c r="N133" s="901" t="s">
        <v>70</v>
      </c>
      <c r="O133" s="901"/>
      <c r="P133" s="901"/>
      <c r="Q133" s="901"/>
      <c r="R133" s="901"/>
      <c r="S133" s="901"/>
      <c r="T133" s="90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5729142.0499999989</v>
      </c>
      <c r="I135" s="94">
        <f>ROUND(IF(E30=0,0,IF(E30&gt;250,-(((250/E30)*H135)*IF(G135="H",0.02,0.05)),IF(G135="H",-0.02*H135,-0.05*H135))),2)</f>
        <v>-105006.27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5914578.1399999997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Payments'!Q99</f>
        <v>-486040.8</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5428537.3399999999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493503.39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181450.83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0">
    <tabColor rgb="FFFFCCCC"/>
  </sheetPr>
  <dimension ref="A1:V221"/>
  <sheetViews>
    <sheetView topLeftCell="A111" workbookViewId="0">
      <selection activeCell="K29" sqref="K29"/>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129</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119.76</v>
      </c>
      <c r="D14" s="141">
        <v>0</v>
      </c>
      <c r="E14" s="187">
        <f>IF(D$30=0,C14*2,C14+D14)</f>
        <v>239.52</v>
      </c>
      <c r="F14" s="846">
        <f>'1461'!F14:G14</f>
        <v>1.1080000000000001</v>
      </c>
      <c r="G14" s="846"/>
      <c r="H14" s="145">
        <f>ROUND(E14*F14,4)</f>
        <v>265.38819999999998</v>
      </c>
      <c r="I14" s="111">
        <f>ROUND(ROUND(ROUND(H14*$C$8,4)*($H$8),2)*(MAX($H$9,1)),2)</f>
        <v>1476441.42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15.5</v>
      </c>
      <c r="D15" s="143">
        <v>0</v>
      </c>
      <c r="E15" s="116">
        <f t="shared" ref="E15:E29" si="1">IF(D$30=0,C15*2,C15+D15)</f>
        <v>31</v>
      </c>
      <c r="F15" s="850">
        <f>'1461'!F15:G15</f>
        <v>1.1080000000000001</v>
      </c>
      <c r="G15" s="850"/>
      <c r="H15" s="80">
        <f t="shared" ref="H15:H29" si="2">ROUND(E15*F15,4)</f>
        <v>34.347999999999999</v>
      </c>
      <c r="I15" s="101">
        <f t="shared" ref="I15:I29" si="3">ROUND(ROUND(ROUND(H15*$C$8,4)*($H$8),2)*(MAX($H$9,1)),2)</f>
        <v>191089.17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189.32</v>
      </c>
      <c r="D16" s="143">
        <v>0</v>
      </c>
      <c r="E16" s="116">
        <f t="shared" si="1"/>
        <v>378.64</v>
      </c>
      <c r="F16" s="850">
        <f>'1461'!F16:G16</f>
        <v>1</v>
      </c>
      <c r="G16" s="850"/>
      <c r="H16" s="80">
        <f t="shared" si="2"/>
        <v>378.64</v>
      </c>
      <c r="I16" s="101">
        <f t="shared" si="3"/>
        <v>2106498.25</v>
      </c>
      <c r="N16" s="851" t="s">
        <v>22</v>
      </c>
      <c r="O16" s="851"/>
      <c r="P16" s="848">
        <f t="shared" si="0"/>
        <v>0</v>
      </c>
      <c r="Q16" s="848"/>
      <c r="R16" s="852">
        <v>1</v>
      </c>
      <c r="S16" s="852"/>
      <c r="T16" s="95">
        <f t="shared" si="4"/>
        <v>0</v>
      </c>
      <c r="U16" s="491">
        <f t="shared" si="5"/>
        <v>0</v>
      </c>
    </row>
    <row r="17" spans="1:21" x14ac:dyDescent="0.25">
      <c r="A17" s="804" t="s">
        <v>23</v>
      </c>
      <c r="B17" s="804"/>
      <c r="C17" s="143">
        <v>26.5</v>
      </c>
      <c r="D17" s="143">
        <v>0</v>
      </c>
      <c r="E17" s="116">
        <f t="shared" si="1"/>
        <v>53</v>
      </c>
      <c r="F17" s="850">
        <f>'1461'!F17:G17</f>
        <v>1</v>
      </c>
      <c r="G17" s="850"/>
      <c r="H17" s="80">
        <f t="shared" si="2"/>
        <v>53</v>
      </c>
      <c r="I17" s="101">
        <f t="shared" si="3"/>
        <v>294856.34999999998</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95</v>
      </c>
      <c r="D26" s="143">
        <v>0</v>
      </c>
      <c r="E26" s="116">
        <f t="shared" si="1"/>
        <v>190</v>
      </c>
      <c r="F26" s="850">
        <f>'1461'!F26:G26</f>
        <v>1.165</v>
      </c>
      <c r="G26" s="850"/>
      <c r="H26" s="80">
        <f t="shared" si="2"/>
        <v>221.35</v>
      </c>
      <c r="I26" s="101">
        <f t="shared" si="3"/>
        <v>1231442.5</v>
      </c>
      <c r="N26" s="851" t="s">
        <v>85</v>
      </c>
      <c r="O26" s="851"/>
      <c r="P26" s="848">
        <f t="shared" si="0"/>
        <v>0</v>
      </c>
      <c r="Q26" s="848"/>
      <c r="R26" s="852">
        <v>1</v>
      </c>
      <c r="S26" s="852"/>
      <c r="T26" s="95">
        <f t="shared" si="4"/>
        <v>0</v>
      </c>
      <c r="U26" s="491">
        <f t="shared" si="5"/>
        <v>0</v>
      </c>
    </row>
    <row r="27" spans="1:21" x14ac:dyDescent="0.25">
      <c r="A27" s="804" t="s">
        <v>86</v>
      </c>
      <c r="B27" s="804"/>
      <c r="C27" s="143">
        <v>46</v>
      </c>
      <c r="D27" s="143">
        <v>0</v>
      </c>
      <c r="E27" s="116">
        <f t="shared" si="1"/>
        <v>92</v>
      </c>
      <c r="F27" s="850">
        <f>'1461'!F27:G27</f>
        <v>1.165</v>
      </c>
      <c r="G27" s="850"/>
      <c r="H27" s="80">
        <f t="shared" si="2"/>
        <v>107.18</v>
      </c>
      <c r="I27" s="101">
        <f t="shared" si="3"/>
        <v>596277.42000000004</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492.08</v>
      </c>
      <c r="D30" s="94">
        <f>SUM(D14:D29)</f>
        <v>0</v>
      </c>
      <c r="E30" s="94">
        <f>SUM(E14:E29)</f>
        <v>984.16</v>
      </c>
      <c r="F30" s="808"/>
      <c r="G30" s="808"/>
      <c r="H30" s="99">
        <f>SUM(H14:H29)</f>
        <v>1059.9061999999999</v>
      </c>
      <c r="I30" s="94">
        <f>SUM(I14:I29)</f>
        <v>5896605.1099999994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1059.9061999999999</v>
      </c>
      <c r="F46" s="34"/>
      <c r="G46" s="106"/>
      <c r="H46" s="107" t="s">
        <v>98</v>
      </c>
      <c r="I46" s="94">
        <f>SUM(I44,I30)</f>
        <v>5896605.1099999994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5896605.1099999994</v>
      </c>
      <c r="G51" s="109" t="s">
        <v>6</v>
      </c>
      <c r="H51" s="420">
        <f>'1461'!H51</f>
        <v>6.6699999999999995E-2</v>
      </c>
      <c r="I51" s="101">
        <f>ROUND(F51*H51,2)</f>
        <v>393303.56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5896605.1099999994</v>
      </c>
      <c r="G52" s="109" t="s">
        <v>6</v>
      </c>
      <c r="H52" s="420">
        <f>'1461'!H52</f>
        <v>5.4000000000000003E-3</v>
      </c>
      <c r="I52" s="101">
        <f>ROUND(F52*H52,2)</f>
        <v>31841.67</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425145.23</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10.5</v>
      </c>
      <c r="D57" s="143">
        <v>0</v>
      </c>
      <c r="E57" s="116">
        <f t="shared" ref="E57:E65" si="10">IF(D$66=0,C57*2,C57+D57)</f>
        <v>21</v>
      </c>
      <c r="F57" s="461" t="s">
        <v>451</v>
      </c>
      <c r="G57" s="461">
        <v>251</v>
      </c>
      <c r="H57" s="475">
        <f>'1461'!H57</f>
        <v>1047</v>
      </c>
      <c r="I57" s="101">
        <f>ROUND(E57*H57,2)</f>
        <v>21987</v>
      </c>
      <c r="N57" s="865" t="s">
        <v>459</v>
      </c>
      <c r="O57" s="865"/>
      <c r="P57" s="867"/>
      <c r="Q57" s="867"/>
      <c r="R57" s="467" t="s">
        <v>451</v>
      </c>
      <c r="S57" s="467">
        <v>251</v>
      </c>
      <c r="T57" s="478">
        <f>H57</f>
        <v>1047</v>
      </c>
      <c r="U57" s="492">
        <f>ROUND(P57*T57,2)</f>
        <v>0</v>
      </c>
      <c r="V57" s="442"/>
    </row>
    <row r="58" spans="1:22" x14ac:dyDescent="0.25">
      <c r="A58" s="815"/>
      <c r="B58" s="815"/>
      <c r="C58" s="143">
        <v>5</v>
      </c>
      <c r="D58" s="143">
        <v>0</v>
      </c>
      <c r="E58" s="116">
        <f t="shared" si="10"/>
        <v>10</v>
      </c>
      <c r="F58" s="461" t="s">
        <v>451</v>
      </c>
      <c r="G58" s="461">
        <v>252</v>
      </c>
      <c r="H58" s="475">
        <f>'1461'!H58</f>
        <v>3380</v>
      </c>
      <c r="I58" s="101">
        <f t="shared" ref="I58:I65" si="11">ROUND(E58*H58,2)</f>
        <v>33800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23.5</v>
      </c>
      <c r="D60" s="143">
        <v>0</v>
      </c>
      <c r="E60" s="116">
        <f t="shared" si="10"/>
        <v>47</v>
      </c>
      <c r="F60" s="462" t="s">
        <v>13</v>
      </c>
      <c r="G60" s="461">
        <v>251</v>
      </c>
      <c r="H60" s="475">
        <f>'1461'!H60</f>
        <v>1173</v>
      </c>
      <c r="I60" s="101">
        <f t="shared" si="11"/>
        <v>55131</v>
      </c>
      <c r="N60" s="866"/>
      <c r="O60" s="866"/>
      <c r="P60" s="868"/>
      <c r="Q60" s="868"/>
      <c r="R60" s="40" t="s">
        <v>13</v>
      </c>
      <c r="S60" s="467">
        <v>251</v>
      </c>
      <c r="T60" s="478">
        <f t="shared" si="12"/>
        <v>1173</v>
      </c>
      <c r="U60" s="492">
        <f t="shared" si="13"/>
        <v>0</v>
      </c>
      <c r="V60" s="442"/>
    </row>
    <row r="61" spans="1:22" x14ac:dyDescent="0.25">
      <c r="A61" s="815"/>
      <c r="B61" s="815"/>
      <c r="C61" s="143">
        <v>3</v>
      </c>
      <c r="D61" s="143">
        <v>0</v>
      </c>
      <c r="E61" s="116">
        <f t="shared" si="10"/>
        <v>6</v>
      </c>
      <c r="F61" s="462" t="s">
        <v>13</v>
      </c>
      <c r="G61" s="461">
        <v>252</v>
      </c>
      <c r="H61" s="475">
        <f>'1461'!H61</f>
        <v>3506</v>
      </c>
      <c r="I61" s="101">
        <f t="shared" si="11"/>
        <v>21036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42</v>
      </c>
      <c r="D66" s="97">
        <f>SUM(D57:D65)</f>
        <v>0</v>
      </c>
      <c r="E66" s="97">
        <f>SUM(E57:E65)</f>
        <v>84</v>
      </c>
      <c r="F66" s="816" t="s">
        <v>460</v>
      </c>
      <c r="G66" s="816"/>
      <c r="H66" s="816"/>
      <c r="I66" s="97">
        <f>SUM(I57:I65)</f>
        <v>131954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984.16</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4.5710000000000004E-3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1059.9061999999999</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4.627E-3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984.16</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5.287E-3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984.16</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4.5770000000000003E-3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984.16</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5.2950000000000002E-3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4.5770000000000003E-3</v>
      </c>
      <c r="I85" s="101">
        <f>ROUND(F85*H85,2)</f>
        <v>216449.75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4.5710000000000004E-3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5.2950000000000002E-3</v>
      </c>
      <c r="I90" s="101">
        <f>ROUND(F90*H90,2)</f>
        <v>101493.93</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5.287E-3</v>
      </c>
      <c r="I92" s="101">
        <f t="shared" ref="I92:I96" si="14">ROUND(F92*H92,2)</f>
        <v>61048.4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4.627E-3</v>
      </c>
      <c r="I94" s="101">
        <f t="shared" si="14"/>
        <v>1243812.92</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4.627E-3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4.5710000000000004E-3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521.08619999999996</v>
      </c>
      <c r="D104" s="822"/>
      <c r="E104" s="46">
        <f>H8</f>
        <v>1.0355000000000001</v>
      </c>
      <c r="F104" s="302">
        <f>'1461'!F104</f>
        <v>958.42</v>
      </c>
      <c r="G104" s="39" t="s">
        <v>12</v>
      </c>
      <c r="H104" s="101">
        <f>ROUND(C104*E104*F104,2)</f>
        <v>517148.83</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538.81999999999994</v>
      </c>
      <c r="D105" s="822"/>
      <c r="E105" s="46">
        <f>H8</f>
        <v>1.0355000000000001</v>
      </c>
      <c r="F105" s="302">
        <f>'1461'!F105</f>
        <v>915.09</v>
      </c>
      <c r="G105" s="39" t="s">
        <v>12</v>
      </c>
      <c r="H105" s="101">
        <f>ROUND(C105*E105*F105,2)</f>
        <v>510572.74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1059.9061999999999</v>
      </c>
      <c r="D107" s="812"/>
      <c r="E107" s="123"/>
      <c r="F107" s="123"/>
      <c r="G107" s="123"/>
      <c r="H107" s="124" t="s">
        <v>100</v>
      </c>
      <c r="I107" s="101">
        <f>IF(A1=75,0,H106+H105+H104)</f>
        <v>1027721.5700000001</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8679085.6799999997</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8253940.4499999993</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8253940.4499999993</v>
      </c>
      <c r="I135" s="94">
        <f>ROUND(IF(E30=0,0,IF(E30&gt;250,-(((250/E30)*H135)*IF(G135="H",0.02,0.05)),IF(G135="H",-0.02*H135,-0.05*H135))),2)</f>
        <v>-104834.84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8574250.8399999999</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Payments'!Q100</f>
        <v>-707326.89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7866923.9500000002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715174.9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307862.18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2">
    <tabColor rgb="FFFFCCCC"/>
  </sheetPr>
  <dimension ref="A1:V221"/>
  <sheetViews>
    <sheetView topLeftCell="A111"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130</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248.07</v>
      </c>
      <c r="D16" s="143">
        <v>0</v>
      </c>
      <c r="E16" s="116">
        <f t="shared" si="1"/>
        <v>496.14</v>
      </c>
      <c r="F16" s="850">
        <f>'1461'!F16:G16</f>
        <v>1</v>
      </c>
      <c r="G16" s="850"/>
      <c r="H16" s="80">
        <f t="shared" si="2"/>
        <v>496.14</v>
      </c>
      <c r="I16" s="101">
        <f t="shared" si="3"/>
        <v>2760189.21</v>
      </c>
      <c r="N16" s="851" t="s">
        <v>22</v>
      </c>
      <c r="O16" s="851"/>
      <c r="P16" s="848">
        <f t="shared" si="0"/>
        <v>0</v>
      </c>
      <c r="Q16" s="848"/>
      <c r="R16" s="852">
        <v>1</v>
      </c>
      <c r="S16" s="852"/>
      <c r="T16" s="95">
        <f t="shared" si="4"/>
        <v>0</v>
      </c>
      <c r="U16" s="491">
        <f t="shared" si="5"/>
        <v>0</v>
      </c>
    </row>
    <row r="17" spans="1:21" x14ac:dyDescent="0.25">
      <c r="A17" s="804" t="s">
        <v>23</v>
      </c>
      <c r="B17" s="804"/>
      <c r="C17" s="143">
        <v>44.5</v>
      </c>
      <c r="D17" s="143">
        <v>0</v>
      </c>
      <c r="E17" s="116">
        <f t="shared" si="1"/>
        <v>89</v>
      </c>
      <c r="F17" s="850">
        <f>'1461'!F17:G17</f>
        <v>1</v>
      </c>
      <c r="G17" s="850"/>
      <c r="H17" s="80">
        <f t="shared" si="2"/>
        <v>89</v>
      </c>
      <c r="I17" s="101">
        <f t="shared" si="3"/>
        <v>495136.13</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5.51</v>
      </c>
      <c r="D27" s="143">
        <v>0</v>
      </c>
      <c r="E27" s="116">
        <f t="shared" si="1"/>
        <v>11.02</v>
      </c>
      <c r="F27" s="850">
        <f>'1461'!F27:G27</f>
        <v>1.165</v>
      </c>
      <c r="G27" s="850"/>
      <c r="H27" s="80">
        <f t="shared" si="2"/>
        <v>12.8383</v>
      </c>
      <c r="I27" s="101">
        <f t="shared" si="3"/>
        <v>71423.66</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298.08</v>
      </c>
      <c r="D30" s="94">
        <f>SUM(D14:D29)</f>
        <v>0</v>
      </c>
      <c r="E30" s="94">
        <f>SUM(E14:E29)</f>
        <v>596.16</v>
      </c>
      <c r="F30" s="808"/>
      <c r="G30" s="808"/>
      <c r="H30" s="99">
        <f>SUM(H14:H29)</f>
        <v>597.97829999999999</v>
      </c>
      <c r="I30" s="94">
        <f>SUM(I14:I29)</f>
        <v>3326749</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597.97829999999999</v>
      </c>
      <c r="F46" s="34"/>
      <c r="G46" s="106"/>
      <c r="H46" s="107" t="s">
        <v>98</v>
      </c>
      <c r="I46" s="94">
        <f>SUM(I44,I30)</f>
        <v>3326749</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3326749</v>
      </c>
      <c r="G51" s="109" t="s">
        <v>6</v>
      </c>
      <c r="H51" s="420">
        <f>'1461'!H51</f>
        <v>6.6699999999999995E-2</v>
      </c>
      <c r="I51" s="101">
        <f>ROUND(F51*H51,2)</f>
        <v>221894.16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3326749</v>
      </c>
      <c r="G52" s="109" t="s">
        <v>6</v>
      </c>
      <c r="H52" s="420">
        <f>'1461'!H52</f>
        <v>5.4000000000000003E-3</v>
      </c>
      <c r="I52" s="101">
        <f>ROUND(F52*H52,2)</f>
        <v>17964.439999999999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239858.6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IF(D$72=0,C57*2,C57+D57)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41.49</v>
      </c>
      <c r="D60" s="143">
        <v>0</v>
      </c>
      <c r="E60" s="116">
        <f>IF(D$66=0,C60*2,C60+D60)</f>
        <v>82.98</v>
      </c>
      <c r="F60" s="462" t="s">
        <v>13</v>
      </c>
      <c r="G60" s="461">
        <v>251</v>
      </c>
      <c r="H60" s="475">
        <f>'1461'!H60</f>
        <v>1173</v>
      </c>
      <c r="I60" s="101">
        <f t="shared" si="11"/>
        <v>97335.54</v>
      </c>
      <c r="N60" s="866"/>
      <c r="O60" s="866"/>
      <c r="P60" s="868"/>
      <c r="Q60" s="868"/>
      <c r="R60" s="40" t="s">
        <v>13</v>
      </c>
      <c r="S60" s="467">
        <v>251</v>
      </c>
      <c r="T60" s="478">
        <f t="shared" si="12"/>
        <v>1173</v>
      </c>
      <c r="U60" s="492">
        <f t="shared" si="13"/>
        <v>0</v>
      </c>
      <c r="V60" s="442"/>
    </row>
    <row r="61" spans="1:22" x14ac:dyDescent="0.25">
      <c r="A61" s="815"/>
      <c r="B61" s="815"/>
      <c r="C61" s="143">
        <v>3.01</v>
      </c>
      <c r="D61" s="143">
        <v>0</v>
      </c>
      <c r="E61" s="116">
        <f>IF(D$66=0,C61*2,C61+D61)</f>
        <v>6.02</v>
      </c>
      <c r="F61" s="462" t="s">
        <v>13</v>
      </c>
      <c r="G61" s="461">
        <v>252</v>
      </c>
      <c r="H61" s="475">
        <f>'1461'!H61</f>
        <v>3506</v>
      </c>
      <c r="I61" s="101">
        <f t="shared" si="11"/>
        <v>21106.12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IF(D$66=0,C62*2,C62+D62)</f>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44.5</v>
      </c>
      <c r="D66" s="97">
        <f>SUM(D57:D65)</f>
        <v>0</v>
      </c>
      <c r="E66" s="97">
        <f>SUM(E57:E65)</f>
        <v>89</v>
      </c>
      <c r="F66" s="816" t="s">
        <v>460</v>
      </c>
      <c r="G66" s="816"/>
      <c r="H66" s="816"/>
      <c r="I66" s="97">
        <f>SUM(I57:I65)</f>
        <v>118441.65999999999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596.16</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2.7690000000000002E-3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597.97829999999999</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2.611E-3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596.16</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3.202E-3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596.16</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2.7729999999999999E-3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596.16</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3.2079999999999999E-3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2.7729999999999999E-3</v>
      </c>
      <c r="I85" s="101">
        <f>ROUND(F85*H85,2)</f>
        <v>131137.24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2.7690000000000002E-3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3.2079999999999999E-3</v>
      </c>
      <c r="I90" s="101">
        <f>ROUND(F90*H90,2)</f>
        <v>61490.559999999998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3.202E-3</v>
      </c>
      <c r="I92" s="101">
        <f t="shared" ref="I92:I96" si="14">ROUND(F92*H92,2)</f>
        <v>36973.14</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2.611E-3</v>
      </c>
      <c r="I94" s="101">
        <f t="shared" si="14"/>
        <v>701879.3</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2.611E-3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2.7690000000000002E-3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597.97829999999999</v>
      </c>
      <c r="D105" s="822"/>
      <c r="E105" s="46">
        <f>H8</f>
        <v>1.0355000000000001</v>
      </c>
      <c r="F105" s="302">
        <f>'1461'!F105</f>
        <v>915.09</v>
      </c>
      <c r="G105" s="39" t="s">
        <v>12</v>
      </c>
      <c r="H105" s="101">
        <f>ROUND(C105*E105*F105,2)</f>
        <v>566629.69999999995</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597.97829999999999</v>
      </c>
      <c r="D107" s="812"/>
      <c r="E107" s="123"/>
      <c r="F107" s="123"/>
      <c r="G107" s="123"/>
      <c r="H107" s="124" t="s">
        <v>100</v>
      </c>
      <c r="I107" s="101">
        <f>IF(A1=75,0,H106+H105+H104)</f>
        <v>566629.69999999995</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v>
      </c>
      <c r="D113" s="143">
        <v>1</v>
      </c>
      <c r="E113" s="116">
        <f>(C113+D113)/2</f>
        <v>1.5</v>
      </c>
      <c r="F113" s="126" t="s">
        <v>30</v>
      </c>
      <c r="G113" s="303">
        <f>'1461'!G113</f>
        <v>617</v>
      </c>
      <c r="I113" s="101">
        <f>ROUND(G113*E113,2)</f>
        <v>925.5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4944226.1000000006</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4704367.5000000009</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4704367.5000000009</v>
      </c>
      <c r="I135" s="94">
        <f>ROUND(IF(E30=0,0,IF(E30&gt;250,-(((250/E30)*H135)*IF(G135="H",0.02,0.05)),IF(G135="H",-0.02*H135,-0.05*H135))),2)</f>
        <v>-39455.58</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4904770.5200000005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Payments'!Q101</f>
        <v>-401311.12</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4503459.4000000004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409405.4</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54631.77</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3">
    <tabColor rgb="FFFFCCCC"/>
  </sheetPr>
  <dimension ref="A1:V221"/>
  <sheetViews>
    <sheetView topLeftCell="A114"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131</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444.17</v>
      </c>
      <c r="D18" s="143">
        <v>0</v>
      </c>
      <c r="E18" s="116">
        <f t="shared" si="1"/>
        <v>888.34</v>
      </c>
      <c r="F18" s="850">
        <f>'1461'!F18:G18</f>
        <v>0.97199999999999998</v>
      </c>
      <c r="G18" s="850"/>
      <c r="H18" s="80">
        <f t="shared" si="2"/>
        <v>863.4665</v>
      </c>
      <c r="I18" s="101">
        <f t="shared" si="3"/>
        <v>4803746.75</v>
      </c>
      <c r="N18" s="851" t="s">
        <v>24</v>
      </c>
      <c r="O18" s="851"/>
      <c r="P18" s="848">
        <f t="shared" si="0"/>
        <v>0</v>
      </c>
      <c r="Q18" s="848"/>
      <c r="R18" s="852">
        <v>1</v>
      </c>
      <c r="S18" s="852"/>
      <c r="T18" s="95">
        <f t="shared" si="4"/>
        <v>0</v>
      </c>
      <c r="U18" s="491">
        <f t="shared" si="5"/>
        <v>0</v>
      </c>
    </row>
    <row r="19" spans="1:21" x14ac:dyDescent="0.25">
      <c r="A19" s="804" t="s">
        <v>25</v>
      </c>
      <c r="B19" s="804"/>
      <c r="C19" s="143">
        <v>39.89</v>
      </c>
      <c r="D19" s="143">
        <v>0</v>
      </c>
      <c r="E19" s="116">
        <f t="shared" si="1"/>
        <v>79.78</v>
      </c>
      <c r="F19" s="850">
        <f>'1461'!F19:G19</f>
        <v>0.97199999999999998</v>
      </c>
      <c r="G19" s="850"/>
      <c r="H19" s="80">
        <f t="shared" si="2"/>
        <v>77.546199999999999</v>
      </c>
      <c r="I19" s="101">
        <f t="shared" si="3"/>
        <v>431414.89</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6.15</v>
      </c>
      <c r="D28" s="143">
        <v>0</v>
      </c>
      <c r="E28" s="116">
        <f t="shared" si="1"/>
        <v>12.3</v>
      </c>
      <c r="F28" s="850">
        <f>'1461'!F28:G28</f>
        <v>1.165</v>
      </c>
      <c r="G28" s="850"/>
      <c r="H28" s="80">
        <f t="shared" si="2"/>
        <v>14.329499999999999</v>
      </c>
      <c r="I28" s="101">
        <f t="shared" si="3"/>
        <v>79719.7</v>
      </c>
      <c r="N28" s="851" t="s">
        <v>87</v>
      </c>
      <c r="O28" s="851"/>
      <c r="P28" s="848">
        <f t="shared" si="0"/>
        <v>0</v>
      </c>
      <c r="Q28" s="848"/>
      <c r="R28" s="852">
        <v>1</v>
      </c>
      <c r="S28" s="852"/>
      <c r="T28" s="95">
        <f t="shared" si="4"/>
        <v>0</v>
      </c>
      <c r="U28" s="491">
        <f t="shared" si="5"/>
        <v>0</v>
      </c>
    </row>
    <row r="29" spans="1:21" x14ac:dyDescent="0.25">
      <c r="A29" s="804" t="s">
        <v>88</v>
      </c>
      <c r="B29" s="804"/>
      <c r="C29" s="110">
        <v>20.46</v>
      </c>
      <c r="D29" s="110">
        <v>0</v>
      </c>
      <c r="E29" s="154">
        <f t="shared" si="1"/>
        <v>40.92</v>
      </c>
      <c r="F29" s="850">
        <f>'1461'!F29:G29</f>
        <v>1.081</v>
      </c>
      <c r="G29" s="850"/>
      <c r="H29" s="93">
        <f t="shared" si="2"/>
        <v>44.234499999999997</v>
      </c>
      <c r="I29" s="94">
        <f t="shared" si="3"/>
        <v>246091</v>
      </c>
      <c r="N29" s="853" t="s">
        <v>88</v>
      </c>
      <c r="O29" s="853"/>
      <c r="P29" s="848">
        <f t="shared" si="0"/>
        <v>0</v>
      </c>
      <c r="Q29" s="848"/>
      <c r="R29" s="854">
        <v>1</v>
      </c>
      <c r="S29" s="854"/>
      <c r="T29" s="95">
        <f t="shared" si="4"/>
        <v>0</v>
      </c>
      <c r="U29" s="491">
        <f t="shared" si="5"/>
        <v>0</v>
      </c>
    </row>
    <row r="30" spans="1:21" x14ac:dyDescent="0.25">
      <c r="A30" s="816" t="s">
        <v>5</v>
      </c>
      <c r="B30" s="816"/>
      <c r="C30" s="94">
        <f>SUM(C14:C29)</f>
        <v>510.66999999999996</v>
      </c>
      <c r="D30" s="94">
        <f>SUM(D14:D29)</f>
        <v>0</v>
      </c>
      <c r="E30" s="94">
        <f>SUM(E14:E29)</f>
        <v>1021.3399999999999</v>
      </c>
      <c r="F30" s="808"/>
      <c r="G30" s="808"/>
      <c r="H30" s="99">
        <f>SUM(H14:H29)</f>
        <v>999.57670000000007</v>
      </c>
      <c r="I30" s="94">
        <f>SUM(I14:I29)</f>
        <v>5560972.3399999999</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999.57670000000007</v>
      </c>
      <c r="F46" s="34"/>
      <c r="G46" s="106"/>
      <c r="H46" s="107" t="s">
        <v>98</v>
      </c>
      <c r="I46" s="94">
        <f>SUM(I44,I30)</f>
        <v>5560972.3399999999</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5560972.3399999999</v>
      </c>
      <c r="G51" s="109" t="s">
        <v>6</v>
      </c>
      <c r="H51" s="420">
        <f>'1461'!H51</f>
        <v>6.6699999999999995E-2</v>
      </c>
      <c r="I51" s="101">
        <f>ROUND(F51*H51,2)</f>
        <v>370916.86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5560972.3399999999</v>
      </c>
      <c r="G52" s="109" t="s">
        <v>6</v>
      </c>
      <c r="H52" s="420">
        <f>'1461'!H52</f>
        <v>5.4000000000000003E-3</v>
      </c>
      <c r="I52" s="101">
        <f>ROUND(F52*H52,2)</f>
        <v>30029.25</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400946.11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36.880000000000003</v>
      </c>
      <c r="D63" s="143">
        <v>0</v>
      </c>
      <c r="E63" s="116">
        <f t="shared" si="10"/>
        <v>73.760000000000005</v>
      </c>
      <c r="F63" s="462" t="s">
        <v>14</v>
      </c>
      <c r="G63" s="461">
        <v>251</v>
      </c>
      <c r="H63" s="475">
        <f>'1461'!H63</f>
        <v>835</v>
      </c>
      <c r="I63" s="101">
        <f t="shared" si="11"/>
        <v>61589.599999999999</v>
      </c>
      <c r="N63" s="866"/>
      <c r="O63" s="866"/>
      <c r="P63" s="868"/>
      <c r="Q63" s="868"/>
      <c r="R63" s="40" t="s">
        <v>14</v>
      </c>
      <c r="S63" s="467">
        <v>251</v>
      </c>
      <c r="T63" s="478">
        <f t="shared" si="12"/>
        <v>835</v>
      </c>
      <c r="U63" s="492">
        <f t="shared" si="13"/>
        <v>0</v>
      </c>
      <c r="V63" s="442"/>
    </row>
    <row r="64" spans="1:22" x14ac:dyDescent="0.25">
      <c r="A64" s="815"/>
      <c r="B64" s="815"/>
      <c r="C64" s="143">
        <v>3.01</v>
      </c>
      <c r="D64" s="143">
        <v>0</v>
      </c>
      <c r="E64" s="116">
        <f t="shared" si="10"/>
        <v>6.02</v>
      </c>
      <c r="F64" s="462" t="s">
        <v>14</v>
      </c>
      <c r="G64" s="461">
        <v>252</v>
      </c>
      <c r="H64" s="475">
        <f>'1461'!H64</f>
        <v>3168</v>
      </c>
      <c r="I64" s="101">
        <f t="shared" si="11"/>
        <v>19071.36</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39.89</v>
      </c>
      <c r="D66" s="97">
        <f>SUM(D57:D65)</f>
        <v>0</v>
      </c>
      <c r="E66" s="97">
        <f>SUM(E57:E65)</f>
        <v>79.78</v>
      </c>
      <c r="F66" s="816" t="s">
        <v>460</v>
      </c>
      <c r="G66" s="816"/>
      <c r="H66" s="816"/>
      <c r="I66" s="97">
        <f>SUM(I57:I65)</f>
        <v>80660.959999999992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1021.3399999999999</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4.7429999999999998E-3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999.57670000000007</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4.3639999999999998E-3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1021.3399999999999</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5.4860000000000004E-3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1021.3399999999999</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4.7499999999999999E-3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1021.3399999999999</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5.4949999999999999E-3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4.7499999999999999E-3</v>
      </c>
      <c r="I85" s="101">
        <f>ROUND(F85*H85,2)</f>
        <v>224631.05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4.7429999999999998E-3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5.4949999999999999E-3</v>
      </c>
      <c r="I90" s="101">
        <f>ROUND(F90*H90,2)</f>
        <v>105327.51</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5.4860000000000004E-3</v>
      </c>
      <c r="I92" s="101">
        <f t="shared" ref="I92:I96" si="14">ROUND(F92*H92,2)</f>
        <v>63346.23</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4.3639999999999998E-3</v>
      </c>
      <c r="I94" s="101">
        <f t="shared" si="14"/>
        <v>1173114.24</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4.3639999999999998E-3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4.7429999999999998E-3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999.57670000000007</v>
      </c>
      <c r="D106" s="822"/>
      <c r="E106" s="46">
        <f>H8</f>
        <v>1.0355000000000001</v>
      </c>
      <c r="F106" s="302">
        <f>'1461'!F106</f>
        <v>917.3</v>
      </c>
      <c r="G106" s="39" t="s">
        <v>12</v>
      </c>
      <c r="H106" s="94">
        <f>ROUND(C106*E106*F106,2)</f>
        <v>949462.07</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999.57670000000007</v>
      </c>
      <c r="D107" s="812"/>
      <c r="E107" s="123"/>
      <c r="F107" s="123"/>
      <c r="G107" s="123"/>
      <c r="H107" s="124" t="s">
        <v>100</v>
      </c>
      <c r="I107" s="101">
        <f>IF(A1=75,0,H106+H105+H104)</f>
        <v>949462.07</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1</v>
      </c>
      <c r="E113" s="116">
        <f>(C113+D113)/2</f>
        <v>0.5</v>
      </c>
      <c r="F113" s="126" t="s">
        <v>30</v>
      </c>
      <c r="G113" s="303">
        <f>'1461'!G113</f>
        <v>617</v>
      </c>
      <c r="I113" s="101">
        <f>ROUND(G113*E113,2)</f>
        <v>308.5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8157822.9000000004</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7756876.79</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395" t="s">
        <v>239</v>
      </c>
      <c r="H135" s="139">
        <f>IF(H133=1,I133,I130)</f>
        <v>7756876.79</v>
      </c>
      <c r="I135" s="94">
        <f>ROUND(IF(E30=0,0,IF(E30&gt;250,-(((250/E30)*H135)*IF(G135="H",0.02,0.05)),IF(G135="H",-0.02*H135,-0.05*H135))),2)</f>
        <v>-37974.019999999997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8119848.8800000008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Payments'!Q102</f>
        <v>-667648.91</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7452199.9700000007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677472.72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117163.52</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3:T133"/>
    <mergeCell ref="N132:T132"/>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N13:O13"/>
    <mergeCell ref="P13:Q13"/>
    <mergeCell ref="R13:S13"/>
    <mergeCell ref="R14:S14"/>
    <mergeCell ref="A14:B14"/>
    <mergeCell ref="F14:G14"/>
    <mergeCell ref="A13:B13"/>
    <mergeCell ref="F13:G13"/>
    <mergeCell ref="N14:O14"/>
    <mergeCell ref="P14:Q14"/>
    <mergeCell ref="A15:B15"/>
    <mergeCell ref="F15:G15"/>
    <mergeCell ref="N15:O15"/>
    <mergeCell ref="P15:Q15"/>
    <mergeCell ref="R15:S15"/>
    <mergeCell ref="P16:Q16"/>
    <mergeCell ref="R16:S16"/>
    <mergeCell ref="A16:B16"/>
    <mergeCell ref="F16:G16"/>
    <mergeCell ref="N16:O16"/>
    <mergeCell ref="B1:I1"/>
    <mergeCell ref="A7:I7"/>
    <mergeCell ref="A12:B12"/>
    <mergeCell ref="F12:G12"/>
    <mergeCell ref="O1:U1"/>
    <mergeCell ref="N2:U2"/>
    <mergeCell ref="N3:U3"/>
    <mergeCell ref="A4:B4"/>
    <mergeCell ref="C4:E4"/>
    <mergeCell ref="N4:O4"/>
    <mergeCell ref="P4:Q4"/>
    <mergeCell ref="P8:Q8"/>
    <mergeCell ref="R8:S8"/>
    <mergeCell ref="T8:U8"/>
    <mergeCell ref="F11:G11"/>
    <mergeCell ref="R11:S11"/>
    <mergeCell ref="N7:U7"/>
    <mergeCell ref="N8:O8"/>
    <mergeCell ref="T9:U9"/>
    <mergeCell ref="N12:O12"/>
    <mergeCell ref="P12:Q12"/>
    <mergeCell ref="R12:S12"/>
    <mergeCell ref="A19:B19"/>
    <mergeCell ref="F19:G19"/>
    <mergeCell ref="N19:O19"/>
    <mergeCell ref="P19:Q19"/>
    <mergeCell ref="R19:S19"/>
    <mergeCell ref="A17:B17"/>
    <mergeCell ref="F17:G17"/>
    <mergeCell ref="N17:O17"/>
    <mergeCell ref="P17:Q17"/>
    <mergeCell ref="R17:S17"/>
    <mergeCell ref="A18:B18"/>
    <mergeCell ref="F18:G18"/>
    <mergeCell ref="N18:O18"/>
    <mergeCell ref="P18:Q18"/>
    <mergeCell ref="R18:S18"/>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4">
    <tabColor rgb="FFFFCCCC"/>
  </sheetPr>
  <dimension ref="A1:V221"/>
  <sheetViews>
    <sheetView topLeftCell="A114"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2.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348</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229.06</v>
      </c>
      <c r="D14" s="141">
        <v>0</v>
      </c>
      <c r="E14" s="187">
        <f>IF(D$30=0,C14*2,C14+D14)</f>
        <v>458.12</v>
      </c>
      <c r="F14" s="846">
        <f>'1461'!F14:G14</f>
        <v>1.1080000000000001</v>
      </c>
      <c r="G14" s="846"/>
      <c r="H14" s="145">
        <f>ROUND(E14*F14,4)</f>
        <v>507.59699999999998</v>
      </c>
      <c r="I14" s="111">
        <f>ROUND(ROUND(ROUND(H14*$C$8,4)*($H$8),2)*(MAX($H$9,1)),2)</f>
        <v>2823928.25</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32.5</v>
      </c>
      <c r="D15" s="143">
        <v>0</v>
      </c>
      <c r="E15" s="116">
        <f t="shared" ref="E15:E29" si="1">IF(D$30=0,C15*2,C15+D15)</f>
        <v>65</v>
      </c>
      <c r="F15" s="850">
        <f>'1461'!F15:G15</f>
        <v>1.1080000000000001</v>
      </c>
      <c r="G15" s="850"/>
      <c r="H15" s="80">
        <f t="shared" ref="H15:H29" si="2">ROUND(E15*F15,4)</f>
        <v>72.02</v>
      </c>
      <c r="I15" s="101">
        <f t="shared" ref="I15:I29" si="3">ROUND(ROUND(ROUND(H15*$C$8,4)*($H$8),2)*(MAX($H$9,1)),2)</f>
        <v>400670.83</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282.52999999999997</v>
      </c>
      <c r="D16" s="143">
        <v>0</v>
      </c>
      <c r="E16" s="116">
        <f t="shared" si="1"/>
        <v>565.05999999999995</v>
      </c>
      <c r="F16" s="850">
        <f>'1461'!F16:G16</f>
        <v>1</v>
      </c>
      <c r="G16" s="850"/>
      <c r="H16" s="80">
        <f t="shared" si="2"/>
        <v>565.05999999999995</v>
      </c>
      <c r="I16" s="101">
        <f t="shared" si="3"/>
        <v>3143613.72</v>
      </c>
      <c r="N16" s="851" t="s">
        <v>22</v>
      </c>
      <c r="O16" s="851"/>
      <c r="P16" s="848">
        <f t="shared" si="0"/>
        <v>0</v>
      </c>
      <c r="Q16" s="848"/>
      <c r="R16" s="852">
        <v>1</v>
      </c>
      <c r="S16" s="852"/>
      <c r="T16" s="95">
        <f t="shared" si="4"/>
        <v>0</v>
      </c>
      <c r="U16" s="491">
        <f t="shared" si="5"/>
        <v>0</v>
      </c>
    </row>
    <row r="17" spans="1:21" x14ac:dyDescent="0.25">
      <c r="A17" s="804" t="s">
        <v>23</v>
      </c>
      <c r="B17" s="804"/>
      <c r="C17" s="143">
        <v>42.5</v>
      </c>
      <c r="D17" s="143">
        <v>0</v>
      </c>
      <c r="E17" s="116">
        <f t="shared" si="1"/>
        <v>85</v>
      </c>
      <c r="F17" s="850">
        <f>'1461'!F17:G17</f>
        <v>1</v>
      </c>
      <c r="G17" s="850"/>
      <c r="H17" s="80">
        <f t="shared" si="2"/>
        <v>85</v>
      </c>
      <c r="I17" s="101">
        <f t="shared" si="3"/>
        <v>472882.82</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24.21</v>
      </c>
      <c r="D26" s="143">
        <v>0</v>
      </c>
      <c r="E26" s="116">
        <f t="shared" si="1"/>
        <v>48.42</v>
      </c>
      <c r="F26" s="850">
        <f>'1461'!F26:G26</f>
        <v>1.165</v>
      </c>
      <c r="G26" s="850"/>
      <c r="H26" s="80">
        <f t="shared" si="2"/>
        <v>56.409300000000002</v>
      </c>
      <c r="I26" s="101">
        <f t="shared" si="3"/>
        <v>313823.40000000002</v>
      </c>
      <c r="N26" s="851" t="s">
        <v>85</v>
      </c>
      <c r="O26" s="851"/>
      <c r="P26" s="848">
        <f t="shared" si="0"/>
        <v>0</v>
      </c>
      <c r="Q26" s="848"/>
      <c r="R26" s="852">
        <v>1</v>
      </c>
      <c r="S26" s="852"/>
      <c r="T26" s="95">
        <f t="shared" si="4"/>
        <v>0</v>
      </c>
      <c r="U26" s="491">
        <f t="shared" si="5"/>
        <v>0</v>
      </c>
    </row>
    <row r="27" spans="1:21" x14ac:dyDescent="0.25">
      <c r="A27" s="804" t="s">
        <v>86</v>
      </c>
      <c r="B27" s="804"/>
      <c r="C27" s="143">
        <v>11.93</v>
      </c>
      <c r="D27" s="143">
        <v>0</v>
      </c>
      <c r="E27" s="116">
        <f t="shared" si="1"/>
        <v>23.86</v>
      </c>
      <c r="F27" s="850">
        <f>'1461'!F27:G27</f>
        <v>1.165</v>
      </c>
      <c r="G27" s="850"/>
      <c r="H27" s="80">
        <f t="shared" si="2"/>
        <v>27.796900000000001</v>
      </c>
      <c r="I27" s="101">
        <f t="shared" si="3"/>
        <v>154643.25</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622.7299999999999</v>
      </c>
      <c r="D30" s="94">
        <f>SUM(D14:D29)</f>
        <v>0</v>
      </c>
      <c r="E30" s="94">
        <f>SUM(E14:E29)</f>
        <v>1245.4599999999998</v>
      </c>
      <c r="F30" s="808"/>
      <c r="G30" s="808"/>
      <c r="H30" s="99">
        <f>SUM(H14:H29)</f>
        <v>1313.8832</v>
      </c>
      <c r="I30" s="94">
        <f>SUM(I14:I29)</f>
        <v>7309562.2700000014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1313.8832</v>
      </c>
      <c r="F46" s="34"/>
      <c r="G46" s="106"/>
      <c r="H46" s="107" t="s">
        <v>98</v>
      </c>
      <c r="I46" s="94">
        <f>SUM(I44,I30)</f>
        <v>7309562.2700000014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7309562.2700000014</v>
      </c>
      <c r="G51" s="109" t="s">
        <v>6</v>
      </c>
      <c r="H51" s="420">
        <f>'1461'!H51</f>
        <v>6.6699999999999995E-2</v>
      </c>
      <c r="I51" s="101">
        <f>ROUND(F51*H51,2)</f>
        <v>487547.8</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7309562.2700000014</v>
      </c>
      <c r="G52" s="109" t="s">
        <v>6</v>
      </c>
      <c r="H52" s="420">
        <f>'1461'!H52</f>
        <v>5.4000000000000003E-3</v>
      </c>
      <c r="I52" s="101">
        <f>ROUND(F52*H52,2)</f>
        <v>39471.64</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527019.43999999994</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27.5</v>
      </c>
      <c r="D57" s="143">
        <v>0</v>
      </c>
      <c r="E57" s="116">
        <f t="shared" ref="E57:E65" si="10">IF(D$66=0,C57*2,C57+D57)</f>
        <v>55</v>
      </c>
      <c r="F57" s="461" t="s">
        <v>451</v>
      </c>
      <c r="G57" s="461">
        <v>251</v>
      </c>
      <c r="H57" s="475">
        <f>'1461'!H57</f>
        <v>1047</v>
      </c>
      <c r="I57" s="101">
        <f>ROUND(E57*H57,2)</f>
        <v>57585</v>
      </c>
      <c r="N57" s="865" t="s">
        <v>459</v>
      </c>
      <c r="O57" s="865"/>
      <c r="P57" s="867"/>
      <c r="Q57" s="867"/>
      <c r="R57" s="467" t="s">
        <v>451</v>
      </c>
      <c r="S57" s="467">
        <v>251</v>
      </c>
      <c r="T57" s="478">
        <f>H57</f>
        <v>1047</v>
      </c>
      <c r="U57" s="492">
        <f>ROUND(P57*T57,2)</f>
        <v>0</v>
      </c>
      <c r="V57" s="442"/>
    </row>
    <row r="58" spans="1:22" x14ac:dyDescent="0.25">
      <c r="A58" s="815"/>
      <c r="B58" s="815"/>
      <c r="C58" s="143">
        <v>5</v>
      </c>
      <c r="D58" s="143">
        <v>0</v>
      </c>
      <c r="E58" s="116">
        <f t="shared" si="10"/>
        <v>10</v>
      </c>
      <c r="F58" s="461" t="s">
        <v>451</v>
      </c>
      <c r="G58" s="461">
        <v>252</v>
      </c>
      <c r="H58" s="475">
        <f>'1461'!H58</f>
        <v>3380</v>
      </c>
      <c r="I58" s="101">
        <f t="shared" ref="I58:I65" si="11">ROUND(E58*H58,2)</f>
        <v>33800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36.5</v>
      </c>
      <c r="D60" s="143">
        <v>0</v>
      </c>
      <c r="E60" s="116">
        <f t="shared" si="10"/>
        <v>73</v>
      </c>
      <c r="F60" s="462" t="s">
        <v>13</v>
      </c>
      <c r="G60" s="461">
        <v>251</v>
      </c>
      <c r="H60" s="475">
        <f>'1461'!H60</f>
        <v>1173</v>
      </c>
      <c r="I60" s="101">
        <f t="shared" si="11"/>
        <v>85629</v>
      </c>
      <c r="N60" s="866"/>
      <c r="O60" s="866"/>
      <c r="P60" s="868"/>
      <c r="Q60" s="868"/>
      <c r="R60" s="40" t="s">
        <v>13</v>
      </c>
      <c r="S60" s="467">
        <v>251</v>
      </c>
      <c r="T60" s="478">
        <f t="shared" si="12"/>
        <v>1173</v>
      </c>
      <c r="U60" s="492">
        <f t="shared" si="13"/>
        <v>0</v>
      </c>
      <c r="V60" s="442"/>
    </row>
    <row r="61" spans="1:22" x14ac:dyDescent="0.25">
      <c r="A61" s="815"/>
      <c r="B61" s="815"/>
      <c r="C61" s="143">
        <v>6</v>
      </c>
      <c r="D61" s="143">
        <v>0</v>
      </c>
      <c r="E61" s="116">
        <f t="shared" si="10"/>
        <v>12</v>
      </c>
      <c r="F61" s="462" t="s">
        <v>13</v>
      </c>
      <c r="G61" s="461">
        <v>252</v>
      </c>
      <c r="H61" s="475">
        <f>'1461'!H61</f>
        <v>3506</v>
      </c>
      <c r="I61" s="101">
        <f t="shared" si="11"/>
        <v>42072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75</v>
      </c>
      <c r="D66" s="97">
        <f>SUM(D57:D65)</f>
        <v>0</v>
      </c>
      <c r="E66" s="97">
        <f>SUM(E57:E65)</f>
        <v>150</v>
      </c>
      <c r="F66" s="816" t="s">
        <v>460</v>
      </c>
      <c r="G66" s="816"/>
      <c r="H66" s="816"/>
      <c r="I66" s="97">
        <f>SUM(I57:I65)</f>
        <v>219086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1245.4599999999998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5.7840000000000001E-3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1313.8832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5.7359999999999998E-3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1245.4599999999998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6.6899999999999998E-3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1245.4599999999998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5.7920000000000003E-3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1245.4599999999998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6.7010000000000004E-3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5.7920000000000003E-3</v>
      </c>
      <c r="I85" s="101">
        <f>ROUND(F85*H85,2)</f>
        <v>273908.01</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5.7840000000000001E-3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6.7010000000000004E-3</v>
      </c>
      <c r="I90" s="101">
        <f>ROUND(F90*H90,2)</f>
        <v>128443.97</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6.6899999999999998E-3</v>
      </c>
      <c r="I92" s="101">
        <f t="shared" ref="I92:I96" si="14">ROUND(F92*H92,2)</f>
        <v>77248.69</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5.7359999999999998E-3</v>
      </c>
      <c r="I94" s="101">
        <f t="shared" si="14"/>
        <v>1541930.17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5.7359999999999998E-3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5.7840000000000001E-3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636.02629999999999</v>
      </c>
      <c r="D104" s="822"/>
      <c r="E104" s="46">
        <f>H8</f>
        <v>1.0355000000000001</v>
      </c>
      <c r="F104" s="302">
        <f>'1461'!F104</f>
        <v>958.42</v>
      </c>
      <c r="G104" s="39" t="s">
        <v>12</v>
      </c>
      <c r="H104" s="101">
        <f>ROUND(C104*E104*F104,2)</f>
        <v>631220.43000000005</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677.8569</v>
      </c>
      <c r="D105" s="822"/>
      <c r="E105" s="46">
        <f>H8</f>
        <v>1.0355000000000001</v>
      </c>
      <c r="F105" s="302">
        <f>'1461'!F105</f>
        <v>915.09</v>
      </c>
      <c r="G105" s="39" t="s">
        <v>12</v>
      </c>
      <c r="H105" s="101">
        <f>ROUND(C105*E105*F105,2)</f>
        <v>642320.72</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1313.8832</v>
      </c>
      <c r="D107" s="812"/>
      <c r="E107" s="123"/>
      <c r="F107" s="123"/>
      <c r="G107" s="123"/>
      <c r="H107" s="124" t="s">
        <v>100</v>
      </c>
      <c r="I107" s="101">
        <f>IF(A1=75,0,H106+H105+H104)</f>
        <v>1273541.1499999999</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237</v>
      </c>
      <c r="D113" s="143">
        <v>244</v>
      </c>
      <c r="E113" s="116">
        <f>(C113+D113)/2</f>
        <v>240.5</v>
      </c>
      <c r="F113" s="126" t="s">
        <v>30</v>
      </c>
      <c r="G113" s="303">
        <f>'1461'!G113</f>
        <v>617</v>
      </c>
      <c r="I113" s="101">
        <f>ROUND(G113*E113,2)</f>
        <v>148388.5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10972108.760000002</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10445089.320000002</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10445089.320000002</v>
      </c>
      <c r="I135" s="94">
        <f>ROUND(IF(E30=0,0,IF(E30&gt;250,-(((250/E30)*H135)*IF(G135="H",0.02,0.05)),IF(G135="H",-0.02*H135,-0.05*H135))),2)</f>
        <v>-104831.64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10867277.120000001</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Payments'!Q103</f>
        <v>-892802.19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9974474.9300000016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906770.45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417422.83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6">
    <tabColor rgb="FFFFCCCC"/>
  </sheetPr>
  <dimension ref="A1:V221"/>
  <sheetViews>
    <sheetView topLeftCell="A111"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1" width="14.5703125" style="3" bestFit="1" customWidth="1"/>
    <col min="12"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332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J10" s="253"/>
      <c r="K10" s="65"/>
      <c r="L10" s="65"/>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J11" s="255"/>
      <c r="K11" s="254"/>
      <c r="L11" s="254"/>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J12" s="253"/>
      <c r="K12" s="254"/>
      <c r="L12" s="254"/>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K13" s="254"/>
      <c r="L13" s="254"/>
      <c r="N13" s="843" t="s">
        <v>36</v>
      </c>
      <c r="O13" s="843"/>
      <c r="P13" s="844" t="s">
        <v>37</v>
      </c>
      <c r="Q13" s="844"/>
      <c r="R13" s="845" t="s">
        <v>38</v>
      </c>
      <c r="S13" s="845"/>
      <c r="T13" s="22" t="s">
        <v>39</v>
      </c>
      <c r="U13" s="23" t="s">
        <v>40</v>
      </c>
    </row>
    <row r="14" spans="1:21" x14ac:dyDescent="0.25">
      <c r="A14" s="802" t="s">
        <v>20</v>
      </c>
      <c r="B14" s="802"/>
      <c r="C14" s="143">
        <v>43.42</v>
      </c>
      <c r="D14" s="141">
        <v>0</v>
      </c>
      <c r="E14" s="187">
        <f>IF(D$30=0,C14*2,C14+D14)</f>
        <v>86.84</v>
      </c>
      <c r="F14" s="846">
        <f>'1461'!F14:G14</f>
        <v>1.1080000000000001</v>
      </c>
      <c r="G14" s="846"/>
      <c r="H14" s="145">
        <f>ROUND(E14*F14,4)</f>
        <v>96.218699999999998</v>
      </c>
      <c r="I14" s="111">
        <f>ROUND(ROUND(ROUND(H14*$C$8,4)*($H$8),2)*(MAX($H$9,1)),2)</f>
        <v>535296.12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1.5</v>
      </c>
      <c r="D15" s="143">
        <v>0</v>
      </c>
      <c r="E15" s="116">
        <f t="shared" ref="E15:E29" si="1">IF(D$30=0,C15*2,C15+D15)</f>
        <v>3</v>
      </c>
      <c r="F15" s="850">
        <f>'1461'!F15:G15</f>
        <v>1.1080000000000001</v>
      </c>
      <c r="G15" s="850"/>
      <c r="H15" s="80">
        <f t="shared" ref="H15:H29" si="2">ROUND(E15*F15,4)</f>
        <v>3.3239999999999998</v>
      </c>
      <c r="I15" s="101">
        <f t="shared" ref="I15:I29" si="3">ROUND(ROUND(ROUND(H15*$C$8,4)*($H$8),2)*(MAX($H$9,1)),2)</f>
        <v>18492.5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33.869999999999997</v>
      </c>
      <c r="D16" s="143">
        <v>0</v>
      </c>
      <c r="E16" s="116">
        <f t="shared" si="1"/>
        <v>67.739999999999995</v>
      </c>
      <c r="F16" s="850">
        <f>'1461'!F16:G16</f>
        <v>1</v>
      </c>
      <c r="G16" s="850"/>
      <c r="H16" s="80">
        <f t="shared" si="2"/>
        <v>67.739999999999995</v>
      </c>
      <c r="I16" s="101">
        <f t="shared" si="3"/>
        <v>376859.79</v>
      </c>
      <c r="N16" s="851" t="s">
        <v>22</v>
      </c>
      <c r="O16" s="851"/>
      <c r="P16" s="848">
        <f t="shared" si="0"/>
        <v>0</v>
      </c>
      <c r="Q16" s="848"/>
      <c r="R16" s="852">
        <v>1</v>
      </c>
      <c r="S16" s="852"/>
      <c r="T16" s="95">
        <f t="shared" si="4"/>
        <v>0</v>
      </c>
      <c r="U16" s="491">
        <f t="shared" si="5"/>
        <v>0</v>
      </c>
    </row>
    <row r="17" spans="1:21" x14ac:dyDescent="0.25">
      <c r="A17" s="804" t="s">
        <v>23</v>
      </c>
      <c r="B17" s="804"/>
      <c r="C17" s="143">
        <v>3</v>
      </c>
      <c r="D17" s="143">
        <v>0</v>
      </c>
      <c r="E17" s="116">
        <f t="shared" si="1"/>
        <v>6</v>
      </c>
      <c r="F17" s="850">
        <f>'1461'!F17:G17</f>
        <v>1</v>
      </c>
      <c r="G17" s="850"/>
      <c r="H17" s="80">
        <f t="shared" si="2"/>
        <v>6</v>
      </c>
      <c r="I17" s="101">
        <f t="shared" si="3"/>
        <v>33379.96</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50.08</v>
      </c>
      <c r="D26" s="143">
        <v>0</v>
      </c>
      <c r="E26" s="116">
        <f t="shared" si="1"/>
        <v>100.16</v>
      </c>
      <c r="F26" s="850">
        <f>'1461'!F26:G26</f>
        <v>1.165</v>
      </c>
      <c r="G26" s="850"/>
      <c r="H26" s="80">
        <f t="shared" si="2"/>
        <v>116.68640000000001</v>
      </c>
      <c r="I26" s="101">
        <f t="shared" si="3"/>
        <v>649164.63</v>
      </c>
      <c r="N26" s="851" t="s">
        <v>85</v>
      </c>
      <c r="O26" s="851"/>
      <c r="P26" s="848">
        <f t="shared" si="0"/>
        <v>0</v>
      </c>
      <c r="Q26" s="848"/>
      <c r="R26" s="852">
        <v>1</v>
      </c>
      <c r="S26" s="852"/>
      <c r="T26" s="95">
        <f t="shared" si="4"/>
        <v>0</v>
      </c>
      <c r="U26" s="491">
        <f t="shared" si="5"/>
        <v>0</v>
      </c>
    </row>
    <row r="27" spans="1:21" x14ac:dyDescent="0.25">
      <c r="A27" s="804" t="s">
        <v>86</v>
      </c>
      <c r="B27" s="804"/>
      <c r="C27" s="143">
        <v>20.14</v>
      </c>
      <c r="D27" s="143">
        <v>0</v>
      </c>
      <c r="E27" s="116">
        <f t="shared" si="1"/>
        <v>40.28</v>
      </c>
      <c r="F27" s="850">
        <f>'1461'!F27:G27</f>
        <v>1.165</v>
      </c>
      <c r="G27" s="850"/>
      <c r="H27" s="80">
        <f t="shared" si="2"/>
        <v>46.926200000000001</v>
      </c>
      <c r="I27" s="101">
        <f t="shared" si="3"/>
        <v>261065.81</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152.01</v>
      </c>
      <c r="D30" s="94">
        <f>SUM(D14:D29)+0</f>
        <v>0</v>
      </c>
      <c r="E30" s="94">
        <f>SUM(E14:E29)</f>
        <v>304.02</v>
      </c>
      <c r="F30" s="808"/>
      <c r="G30" s="808"/>
      <c r="H30" s="99">
        <f>SUM(H14:H29)</f>
        <v>336.89529999999996</v>
      </c>
      <c r="I30" s="94">
        <f>SUM(I14:I29)</f>
        <v>1874258.81</v>
      </c>
      <c r="K30" s="236"/>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336.89529999999996</v>
      </c>
      <c r="F46" s="34"/>
      <c r="G46" s="106"/>
      <c r="H46" s="107" t="s">
        <v>98</v>
      </c>
      <c r="I46" s="94">
        <f>SUM(I44,I30)</f>
        <v>1874258.81</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1874258.81</v>
      </c>
      <c r="G51" s="109" t="s">
        <v>6</v>
      </c>
      <c r="H51" s="420">
        <f>'1461'!H51</f>
        <v>6.6699999999999995E-2</v>
      </c>
      <c r="I51" s="101">
        <f>ROUND(F51*H51,2)</f>
        <v>125013.06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1874258.81</v>
      </c>
      <c r="G52" s="109" t="s">
        <v>6</v>
      </c>
      <c r="H52" s="420">
        <f>'1461'!H52</f>
        <v>5.4000000000000003E-3</v>
      </c>
      <c r="I52" s="101">
        <f>ROUND(F52*H52,2)</f>
        <v>10121</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135134.06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1.5</v>
      </c>
      <c r="D57" s="143">
        <v>0</v>
      </c>
      <c r="E57" s="116">
        <f>IF(D$66=0,C57*2,C57+D57)</f>
        <v>3</v>
      </c>
      <c r="F57" s="461" t="s">
        <v>451</v>
      </c>
      <c r="G57" s="461">
        <v>251</v>
      </c>
      <c r="H57" s="475">
        <f>'1461'!H57</f>
        <v>1047</v>
      </c>
      <c r="I57" s="101">
        <f>ROUND(E57*H57,2)</f>
        <v>3141</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ref="E58:E65" si="10">IF(D$66=0,C58*2,C58+D58)</f>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3</v>
      </c>
      <c r="D60" s="143">
        <v>0</v>
      </c>
      <c r="E60" s="116">
        <f t="shared" si="10"/>
        <v>6</v>
      </c>
      <c r="F60" s="462" t="s">
        <v>13</v>
      </c>
      <c r="G60" s="461">
        <v>251</v>
      </c>
      <c r="H60" s="475">
        <f>'1461'!H60</f>
        <v>1173</v>
      </c>
      <c r="I60" s="101">
        <f t="shared" si="11"/>
        <v>7038</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4.5</v>
      </c>
      <c r="D66" s="97">
        <f>SUM(D57:D65)</f>
        <v>0</v>
      </c>
      <c r="E66" s="97">
        <f>SUM(E57:E65)</f>
        <v>9</v>
      </c>
      <c r="F66" s="816" t="s">
        <v>460</v>
      </c>
      <c r="G66" s="816"/>
      <c r="H66" s="816"/>
      <c r="I66" s="97">
        <f>SUM(I57:I65)</f>
        <v>10179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304.02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1.4120000000000001E-3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336.89529999999996</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1.4710000000000001E-3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304.02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1.6329999999999999E-3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304.02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1.4139999999999999E-3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304.02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1.6360000000000001E-3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1.4139999999999999E-3</v>
      </c>
      <c r="I85" s="101">
        <f>ROUND(F85*H85,2)</f>
        <v>66869.119999999995</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1.4120000000000001E-3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1.6360000000000001E-3</v>
      </c>
      <c r="I90" s="101">
        <f>ROUND(F90*H90,2)</f>
        <v>31358.65</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1.6329999999999999E-3</v>
      </c>
      <c r="I92" s="101">
        <f t="shared" ref="I92:I96" si="14">ROUND(F92*H92,2)</f>
        <v>18856.07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1.4710000000000001E-3</v>
      </c>
      <c r="I94" s="101">
        <f t="shared" si="14"/>
        <v>395428.74</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1.4710000000000001E-3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1.4120000000000001E-3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216.22910000000002</v>
      </c>
      <c r="D104" s="822"/>
      <c r="E104" s="46">
        <f>H8</f>
        <v>1.0355000000000001</v>
      </c>
      <c r="F104" s="302">
        <f>'1461'!F104</f>
        <v>958.42</v>
      </c>
      <c r="G104" s="39" t="s">
        <v>12</v>
      </c>
      <c r="H104" s="101">
        <f>ROUND(C104*E104*F104,2)</f>
        <v>214595.25</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120.6662</v>
      </c>
      <c r="D105" s="822"/>
      <c r="E105" s="46">
        <f>H8</f>
        <v>1.0355000000000001</v>
      </c>
      <c r="F105" s="302">
        <f>'1461'!F105</f>
        <v>915.09</v>
      </c>
      <c r="G105" s="39" t="s">
        <v>12</v>
      </c>
      <c r="H105" s="101">
        <f>ROUND(C105*E105*F105,2)</f>
        <v>114340.36</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336.89530000000002</v>
      </c>
      <c r="D107" s="812"/>
      <c r="E107" s="123"/>
      <c r="F107" s="123"/>
      <c r="G107" s="123"/>
      <c r="H107" s="124" t="s">
        <v>100</v>
      </c>
      <c r="I107" s="101">
        <f>IF(A1=75,0,H106+H105+H104)</f>
        <v>328935.61</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2725886</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2590751.94</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2590751.94</v>
      </c>
      <c r="I135" s="94">
        <f>ROUND(IF(E30=0,0,IF(E30&gt;250,-(((250/E30)*H135)*IF(G135="H",0.02,0.05)),IF(G135="H",-0.02*H135,-0.05*H135))),2)</f>
        <v>-106520.62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2619365.38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Payments'!Q104</f>
        <v>-216879.02</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266">
        <f>I137+I139</f>
        <v>2402486.36</v>
      </c>
      <c r="N141" s="73"/>
      <c r="O141" s="73"/>
      <c r="P141" s="73"/>
      <c r="Q141" s="73"/>
      <c r="R141" s="73"/>
      <c r="S141" s="73"/>
      <c r="T141" s="73"/>
      <c r="U141" s="73"/>
    </row>
    <row r="142" spans="1:21" x14ac:dyDescent="0.25">
      <c r="A142" s="81"/>
      <c r="B142" s="69"/>
      <c r="C142" s="69"/>
      <c r="D142" s="69"/>
      <c r="E142" s="69"/>
      <c r="F142" s="69"/>
      <c r="G142" s="69"/>
      <c r="H142" s="65"/>
      <c r="I142" s="266"/>
      <c r="N142" s="73"/>
      <c r="O142" s="73"/>
      <c r="P142" s="73"/>
      <c r="Q142" s="73"/>
      <c r="R142" s="73"/>
      <c r="S142" s="73"/>
      <c r="T142" s="73"/>
      <c r="U142" s="73"/>
    </row>
    <row r="143" spans="1:21" x14ac:dyDescent="0.25">
      <c r="A143" s="81" t="s">
        <v>247</v>
      </c>
      <c r="B143" s="69"/>
      <c r="C143" s="69"/>
      <c r="D143" s="69"/>
      <c r="E143" s="69"/>
      <c r="F143" s="69"/>
      <c r="G143" s="69"/>
      <c r="H143" s="65"/>
      <c r="I143" s="273">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218407.85</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23016.98</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c r="K206" s="250"/>
    </row>
    <row r="207" spans="1:14" x14ac:dyDescent="0.25">
      <c r="A207" s="74"/>
      <c r="K207" s="250"/>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2">
    <tabColor rgb="FFFFCCCC"/>
  </sheetPr>
  <dimension ref="A1:V221"/>
  <sheetViews>
    <sheetView topLeftCell="A111"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353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J10" s="253"/>
      <c r="K10" s="65"/>
      <c r="L10" s="65"/>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J11" s="255"/>
      <c r="K11" s="254"/>
      <c r="L11" s="254"/>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J12" s="253"/>
      <c r="K12" s="254"/>
      <c r="L12" s="254"/>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K13" s="254"/>
      <c r="L13" s="254"/>
      <c r="N13" s="843" t="s">
        <v>36</v>
      </c>
      <c r="O13" s="843"/>
      <c r="P13" s="844" t="s">
        <v>37</v>
      </c>
      <c r="Q13" s="844"/>
      <c r="R13" s="845" t="s">
        <v>38</v>
      </c>
      <c r="S13" s="845"/>
      <c r="T13" s="22" t="s">
        <v>39</v>
      </c>
      <c r="U13" s="23" t="s">
        <v>40</v>
      </c>
    </row>
    <row r="14" spans="1:21" x14ac:dyDescent="0.25">
      <c r="A14" s="802" t="s">
        <v>20</v>
      </c>
      <c r="B14" s="802"/>
      <c r="C14" s="143">
        <v>64.150000000000006</v>
      </c>
      <c r="D14" s="141">
        <v>0</v>
      </c>
      <c r="E14" s="187">
        <f>IF(D$30=0,C14*2,C14+D14)</f>
        <v>128.30000000000001</v>
      </c>
      <c r="F14" s="846">
        <f>'1461'!F14:G14</f>
        <v>1.1080000000000001</v>
      </c>
      <c r="G14" s="846"/>
      <c r="H14" s="145">
        <f>ROUND(E14*F14,4)</f>
        <v>142.15639999999999</v>
      </c>
      <c r="I14" s="111">
        <f>ROUND(ROUND(ROUND(H14*$C$8,4)*($H$8),2)*(MAX($H$9,1)),2)</f>
        <v>790862.58</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5</v>
      </c>
      <c r="D15" s="143">
        <v>0</v>
      </c>
      <c r="E15" s="116">
        <f t="shared" ref="E15:E29" si="1">IF(D$30=0,C15*2,C15+D15)</f>
        <v>10</v>
      </c>
      <c r="F15" s="850">
        <f>'1461'!F15:G15</f>
        <v>1.1080000000000001</v>
      </c>
      <c r="G15" s="850"/>
      <c r="H15" s="80">
        <f t="shared" ref="H15:H29" si="2">ROUND(E15*F15,4)</f>
        <v>11.08</v>
      </c>
      <c r="I15" s="101">
        <f t="shared" ref="I15:I29" si="3">ROUND(ROUND(ROUND(H15*$C$8,4)*($H$8),2)*(MAX($H$9,1)),2)</f>
        <v>61641.67</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94.83</v>
      </c>
      <c r="D16" s="143">
        <v>0</v>
      </c>
      <c r="E16" s="116">
        <f t="shared" si="1"/>
        <v>189.66</v>
      </c>
      <c r="F16" s="850">
        <f>'1461'!F16:G16</f>
        <v>1</v>
      </c>
      <c r="G16" s="850"/>
      <c r="H16" s="80">
        <f t="shared" si="2"/>
        <v>189.66</v>
      </c>
      <c r="I16" s="101">
        <f t="shared" si="3"/>
        <v>1055140.6599999999</v>
      </c>
      <c r="N16" s="851" t="s">
        <v>22</v>
      </c>
      <c r="O16" s="851"/>
      <c r="P16" s="848">
        <f t="shared" si="0"/>
        <v>0</v>
      </c>
      <c r="Q16" s="848"/>
      <c r="R16" s="852">
        <v>1</v>
      </c>
      <c r="S16" s="852"/>
      <c r="T16" s="95">
        <f t="shared" si="4"/>
        <v>0</v>
      </c>
      <c r="U16" s="491">
        <f t="shared" si="5"/>
        <v>0</v>
      </c>
    </row>
    <row r="17" spans="1:21" x14ac:dyDescent="0.25">
      <c r="A17" s="804" t="s">
        <v>23</v>
      </c>
      <c r="B17" s="804"/>
      <c r="C17" s="143">
        <v>18.739999999999998</v>
      </c>
      <c r="D17" s="143">
        <v>0</v>
      </c>
      <c r="E17" s="116">
        <f t="shared" si="1"/>
        <v>37.479999999999997</v>
      </c>
      <c r="F17" s="850">
        <f>'1461'!F17:G17</f>
        <v>1</v>
      </c>
      <c r="G17" s="850"/>
      <c r="H17" s="80">
        <f t="shared" si="2"/>
        <v>37.479999999999997</v>
      </c>
      <c r="I17" s="101">
        <f t="shared" si="3"/>
        <v>208513.51</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26.88</v>
      </c>
      <c r="D26" s="143">
        <v>0</v>
      </c>
      <c r="E26" s="116">
        <f t="shared" si="1"/>
        <v>53.76</v>
      </c>
      <c r="F26" s="850">
        <f>'1461'!F26:G26</f>
        <v>1.165</v>
      </c>
      <c r="G26" s="850"/>
      <c r="H26" s="80">
        <f t="shared" si="2"/>
        <v>62.630400000000002</v>
      </c>
      <c r="I26" s="101">
        <f t="shared" si="3"/>
        <v>348433.41</v>
      </c>
      <c r="N26" s="851" t="s">
        <v>85</v>
      </c>
      <c r="O26" s="851"/>
      <c r="P26" s="848">
        <f t="shared" si="0"/>
        <v>0</v>
      </c>
      <c r="Q26" s="848"/>
      <c r="R26" s="852">
        <v>1</v>
      </c>
      <c r="S26" s="852"/>
      <c r="T26" s="95">
        <f t="shared" si="4"/>
        <v>0</v>
      </c>
      <c r="U26" s="491">
        <f t="shared" si="5"/>
        <v>0</v>
      </c>
    </row>
    <row r="27" spans="1:21" x14ac:dyDescent="0.25">
      <c r="A27" s="804" t="s">
        <v>86</v>
      </c>
      <c r="B27" s="804"/>
      <c r="C27" s="143">
        <v>19.47</v>
      </c>
      <c r="D27" s="143">
        <v>0</v>
      </c>
      <c r="E27" s="116">
        <f t="shared" si="1"/>
        <v>38.94</v>
      </c>
      <c r="F27" s="850">
        <f>'1461'!F27:G27</f>
        <v>1.165</v>
      </c>
      <c r="G27" s="850"/>
      <c r="H27" s="80">
        <f t="shared" si="2"/>
        <v>45.365099999999998</v>
      </c>
      <c r="I27" s="101">
        <f t="shared" si="3"/>
        <v>252380.9</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229.07000000000002</v>
      </c>
      <c r="D30" s="94">
        <f>SUM(D14:D29)</f>
        <v>0</v>
      </c>
      <c r="E30" s="94">
        <f>SUM(E14:E29)</f>
        <v>458.14000000000004</v>
      </c>
      <c r="F30" s="808"/>
      <c r="G30" s="808"/>
      <c r="H30" s="99">
        <f>SUM(H14:H29)</f>
        <v>488.37189999999998</v>
      </c>
      <c r="I30" s="94">
        <f>SUM(I14:I29)</f>
        <v>2716972.73</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488.37189999999998</v>
      </c>
      <c r="F46" s="34"/>
      <c r="G46" s="106"/>
      <c r="H46" s="107" t="s">
        <v>98</v>
      </c>
      <c r="I46" s="94">
        <f>SUM(I44,I30)</f>
        <v>2716972.73</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2716972.73</v>
      </c>
      <c r="G51" s="109" t="s">
        <v>6</v>
      </c>
      <c r="H51" s="420">
        <f>'1461'!H51</f>
        <v>6.6699999999999995E-2</v>
      </c>
      <c r="I51" s="101">
        <f>ROUND(F51*H51,2)</f>
        <v>181222.08</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2716972.73</v>
      </c>
      <c r="G52" s="109" t="s">
        <v>6</v>
      </c>
      <c r="H52" s="420">
        <f>'1461'!H52</f>
        <v>5.4000000000000003E-3</v>
      </c>
      <c r="I52" s="101">
        <f>ROUND(F52*H52,2)</f>
        <v>14671.65</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195893.72999999998</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3</v>
      </c>
      <c r="D57" s="143">
        <v>0</v>
      </c>
      <c r="E57" s="116">
        <f t="shared" ref="E57:E65" si="10">IF(D$66=0,C57*2,C57+D57)</f>
        <v>6</v>
      </c>
      <c r="F57" s="461" t="s">
        <v>451</v>
      </c>
      <c r="G57" s="461">
        <v>251</v>
      </c>
      <c r="H57" s="475">
        <f>'1461'!H57</f>
        <v>1047</v>
      </c>
      <c r="I57" s="101">
        <f>ROUND(E57*H57,2)</f>
        <v>6282</v>
      </c>
      <c r="N57" s="865" t="s">
        <v>459</v>
      </c>
      <c r="O57" s="865"/>
      <c r="P57" s="867"/>
      <c r="Q57" s="867"/>
      <c r="R57" s="467" t="s">
        <v>451</v>
      </c>
      <c r="S57" s="467">
        <v>251</v>
      </c>
      <c r="T57" s="478">
        <f>H57</f>
        <v>1047</v>
      </c>
      <c r="U57" s="492">
        <f>ROUND(P57*T57,2)</f>
        <v>0</v>
      </c>
      <c r="V57" s="442"/>
    </row>
    <row r="58" spans="1:22" x14ac:dyDescent="0.25">
      <c r="A58" s="815"/>
      <c r="B58" s="815"/>
      <c r="C58" s="143">
        <v>2</v>
      </c>
      <c r="D58" s="143">
        <v>0</v>
      </c>
      <c r="E58" s="116">
        <f t="shared" si="10"/>
        <v>4</v>
      </c>
      <c r="F58" s="461" t="s">
        <v>451</v>
      </c>
      <c r="G58" s="461">
        <v>252</v>
      </c>
      <c r="H58" s="475">
        <f>'1461'!H58</f>
        <v>3380</v>
      </c>
      <c r="I58" s="101">
        <f t="shared" ref="I58:I65" si="11">ROUND(E58*H58,2)</f>
        <v>13520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15.23</v>
      </c>
      <c r="D60" s="143">
        <v>0</v>
      </c>
      <c r="E60" s="116">
        <f t="shared" si="10"/>
        <v>30.46</v>
      </c>
      <c r="F60" s="462" t="s">
        <v>13</v>
      </c>
      <c r="G60" s="461">
        <v>251</v>
      </c>
      <c r="H60" s="475">
        <f>'1461'!H60</f>
        <v>1173</v>
      </c>
      <c r="I60" s="101">
        <f t="shared" si="11"/>
        <v>35729.58</v>
      </c>
      <c r="N60" s="866"/>
      <c r="O60" s="866"/>
      <c r="P60" s="868"/>
      <c r="Q60" s="868"/>
      <c r="R60" s="40" t="s">
        <v>13</v>
      </c>
      <c r="S60" s="467">
        <v>251</v>
      </c>
      <c r="T60" s="478">
        <f t="shared" si="12"/>
        <v>1173</v>
      </c>
      <c r="U60" s="492">
        <f t="shared" si="13"/>
        <v>0</v>
      </c>
      <c r="V60" s="442"/>
    </row>
    <row r="61" spans="1:22" x14ac:dyDescent="0.25">
      <c r="A61" s="815"/>
      <c r="B61" s="815"/>
      <c r="C61" s="143">
        <v>3.51</v>
      </c>
      <c r="D61" s="143">
        <v>0</v>
      </c>
      <c r="E61" s="116">
        <f t="shared" si="10"/>
        <v>7.02</v>
      </c>
      <c r="F61" s="462" t="s">
        <v>13</v>
      </c>
      <c r="G61" s="461">
        <v>252</v>
      </c>
      <c r="H61" s="475">
        <f>'1461'!H61</f>
        <v>3506</v>
      </c>
      <c r="I61" s="101">
        <f t="shared" si="11"/>
        <v>24612.12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23.740000000000002</v>
      </c>
      <c r="D66" s="97">
        <f>SUM(D57:D65)</f>
        <v>0</v>
      </c>
      <c r="E66" s="97">
        <f>SUM(E57:E65)</f>
        <v>47.480000000000004</v>
      </c>
      <c r="F66" s="816" t="s">
        <v>460</v>
      </c>
      <c r="G66" s="816"/>
      <c r="H66" s="816"/>
      <c r="I66" s="97">
        <f>SUM(I57:I65)</f>
        <v>80143.7</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458.14000000000004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2.1280000000000001E-3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488.37189999999998</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2.1320000000000002E-3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458.14000000000004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2.4610000000000001E-3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458.14000000000004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2.1310000000000001E-3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458.14000000000004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2.4650000000000002E-3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2.1310000000000001E-3</v>
      </c>
      <c r="I85" s="101">
        <f>ROUND(F85*H85,2)</f>
        <v>100776.58</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2.1280000000000001E-3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2.4650000000000002E-3</v>
      </c>
      <c r="I90" s="101">
        <f>ROUND(F90*H90,2)</f>
        <v>47248.83</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2.4610000000000001E-3</v>
      </c>
      <c r="I92" s="101">
        <f t="shared" ref="I92:I96" si="14">ROUND(F92*H92,2)</f>
        <v>28416.89</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2.1320000000000002E-3</v>
      </c>
      <c r="I94" s="101">
        <f t="shared" si="14"/>
        <v>573116.30000000005</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2.1320000000000002E-3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2.1280000000000001E-3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215.86680000000001</v>
      </c>
      <c r="D104" s="822"/>
      <c r="E104" s="46">
        <f>H8</f>
        <v>1.0355000000000001</v>
      </c>
      <c r="F104" s="302">
        <f>'1461'!F104</f>
        <v>958.42</v>
      </c>
      <c r="G104" s="39" t="s">
        <v>12</v>
      </c>
      <c r="H104" s="101">
        <f>ROUND(C104*E104*F104,2)</f>
        <v>214235.69</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272.50509999999997</v>
      </c>
      <c r="D105" s="822"/>
      <c r="E105" s="46">
        <f>H8</f>
        <v>1.0355000000000001</v>
      </c>
      <c r="F105" s="302">
        <f>'1461'!F105</f>
        <v>915.09</v>
      </c>
      <c r="G105" s="39" t="s">
        <v>12</v>
      </c>
      <c r="H105" s="101">
        <f>ROUND(C105*E105*F105,2)</f>
        <v>258219.21</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488.37189999999998</v>
      </c>
      <c r="D107" s="812"/>
      <c r="E107" s="123"/>
      <c r="F107" s="123"/>
      <c r="G107" s="123"/>
      <c r="H107" s="124" t="s">
        <v>100</v>
      </c>
      <c r="I107" s="101">
        <f>IF(A1=75,0,H106+H105+H104)</f>
        <v>472454.9</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4019129.93</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3823236.2</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3823236.2</v>
      </c>
      <c r="I135" s="94">
        <f>ROUND(IF(E30=0,0,IF(E30&gt;250,-(((250/E30)*H135)*IF(G135="H",0.02,0.05)),IF(G135="H",-0.02*H135,-0.05*H135))),2)</f>
        <v>-104314.08</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3914815.85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Payments'!Q105</f>
        <v>-322483.34000000003</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266">
        <f>I137+I139</f>
        <v>3592332.5100000002</v>
      </c>
      <c r="N141" s="73"/>
      <c r="O141" s="73"/>
      <c r="P141" s="73"/>
      <c r="Q141" s="73"/>
      <c r="R141" s="73"/>
      <c r="S141" s="73"/>
      <c r="T141" s="73"/>
      <c r="U141" s="73"/>
    </row>
    <row r="142" spans="1:21" x14ac:dyDescent="0.25">
      <c r="A142" s="81"/>
      <c r="B142" s="69"/>
      <c r="C142" s="69"/>
      <c r="D142" s="69"/>
      <c r="E142" s="69"/>
      <c r="F142" s="69"/>
      <c r="G142" s="69"/>
      <c r="H142" s="65"/>
      <c r="I142" s="266"/>
      <c r="N142" s="73"/>
      <c r="O142" s="73"/>
      <c r="P142" s="73"/>
      <c r="Q142" s="73"/>
      <c r="R142" s="73"/>
      <c r="S142" s="73"/>
      <c r="T142" s="73"/>
      <c r="U142" s="73"/>
    </row>
    <row r="143" spans="1:21" x14ac:dyDescent="0.25">
      <c r="A143" s="81" t="s">
        <v>247</v>
      </c>
      <c r="B143" s="69"/>
      <c r="C143" s="69"/>
      <c r="D143" s="69"/>
      <c r="E143" s="69"/>
      <c r="F143" s="69"/>
      <c r="G143" s="69"/>
      <c r="H143" s="65"/>
      <c r="I143" s="273">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326575.68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86847.73</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tabColor rgb="FFFFCCCC"/>
  </sheetPr>
  <dimension ref="A1:V221"/>
  <sheetViews>
    <sheetView topLeftCell="A108"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132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37</v>
      </c>
      <c r="D16" s="143">
        <v>0</v>
      </c>
      <c r="E16" s="116">
        <f t="shared" si="1"/>
        <v>74</v>
      </c>
      <c r="F16" s="850">
        <f>'1461'!F16:G16</f>
        <v>1</v>
      </c>
      <c r="G16" s="850"/>
      <c r="H16" s="80">
        <f t="shared" si="2"/>
        <v>74</v>
      </c>
      <c r="I16" s="101">
        <f t="shared" si="3"/>
        <v>411686.22</v>
      </c>
      <c r="N16" s="851" t="s">
        <v>22</v>
      </c>
      <c r="O16" s="851"/>
      <c r="P16" s="848">
        <f t="shared" si="0"/>
        <v>0</v>
      </c>
      <c r="Q16" s="848"/>
      <c r="R16" s="852">
        <v>1</v>
      </c>
      <c r="S16" s="852"/>
      <c r="T16" s="95">
        <f t="shared" si="4"/>
        <v>0</v>
      </c>
      <c r="U16" s="491">
        <f t="shared" si="5"/>
        <v>0</v>
      </c>
    </row>
    <row r="17" spans="1:21" x14ac:dyDescent="0.25">
      <c r="A17" s="804" t="s">
        <v>23</v>
      </c>
      <c r="B17" s="804"/>
      <c r="C17" s="143">
        <v>9.35</v>
      </c>
      <c r="D17" s="143">
        <v>0</v>
      </c>
      <c r="E17" s="116">
        <f t="shared" si="1"/>
        <v>18.7</v>
      </c>
      <c r="F17" s="850">
        <f>'1461'!F17:G17</f>
        <v>1</v>
      </c>
      <c r="G17" s="850"/>
      <c r="H17" s="80">
        <f t="shared" si="2"/>
        <v>18.7</v>
      </c>
      <c r="I17" s="101">
        <f t="shared" si="3"/>
        <v>104034.22</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1</v>
      </c>
      <c r="D27" s="143">
        <v>0</v>
      </c>
      <c r="E27" s="116">
        <f t="shared" si="1"/>
        <v>2</v>
      </c>
      <c r="F27" s="850">
        <f>'1461'!F27:G27</f>
        <v>1.165</v>
      </c>
      <c r="G27" s="850"/>
      <c r="H27" s="80">
        <f t="shared" si="2"/>
        <v>2.33</v>
      </c>
      <c r="I27" s="101">
        <f t="shared" si="3"/>
        <v>12962.55</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47.35</v>
      </c>
      <c r="D30" s="94">
        <f>SUM(D14:D29)</f>
        <v>0</v>
      </c>
      <c r="E30" s="94">
        <f>SUM(E14:E29)</f>
        <v>94.7</v>
      </c>
      <c r="F30" s="808"/>
      <c r="G30" s="808"/>
      <c r="H30" s="99">
        <f>SUM(H14:H29)</f>
        <v>95.03</v>
      </c>
      <c r="I30" s="94">
        <f>SUM(I14:I29)</f>
        <v>528682.99</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95.03</v>
      </c>
      <c r="F46" s="34"/>
      <c r="G46" s="106"/>
      <c r="H46" s="107" t="s">
        <v>98</v>
      </c>
      <c r="I46" s="94">
        <f>SUM(I44,I30)</f>
        <v>528682.99</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528682.99</v>
      </c>
      <c r="G51" s="109" t="s">
        <v>6</v>
      </c>
      <c r="H51" s="420">
        <f>'1461'!H51</f>
        <v>6.6699999999999995E-2</v>
      </c>
      <c r="I51" s="101">
        <f>ROUND(F51*H51,2)</f>
        <v>35263.160000000003</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528682.99</v>
      </c>
      <c r="G52" s="109" t="s">
        <v>6</v>
      </c>
      <c r="H52" s="420">
        <f>'1461'!H52</f>
        <v>5.4000000000000003E-3</v>
      </c>
      <c r="I52" s="101">
        <f>ROUND(F52*H52,2)</f>
        <v>2854.89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38118.050000000003</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8.85</v>
      </c>
      <c r="D60" s="143">
        <v>0</v>
      </c>
      <c r="E60" s="116">
        <f t="shared" si="10"/>
        <v>17.7</v>
      </c>
      <c r="F60" s="462" t="s">
        <v>13</v>
      </c>
      <c r="G60" s="461">
        <v>251</v>
      </c>
      <c r="H60" s="475">
        <f>'1461'!H60</f>
        <v>1173</v>
      </c>
      <c r="I60" s="101">
        <f t="shared" si="11"/>
        <v>20762.099999999999</v>
      </c>
      <c r="N60" s="866"/>
      <c r="O60" s="866"/>
      <c r="P60" s="868"/>
      <c r="Q60" s="868"/>
      <c r="R60" s="40" t="s">
        <v>13</v>
      </c>
      <c r="S60" s="467">
        <v>251</v>
      </c>
      <c r="T60" s="478">
        <f t="shared" si="12"/>
        <v>1173</v>
      </c>
      <c r="U60" s="492">
        <f t="shared" si="13"/>
        <v>0</v>
      </c>
      <c r="V60" s="442"/>
    </row>
    <row r="61" spans="1:22" x14ac:dyDescent="0.25">
      <c r="A61" s="815"/>
      <c r="B61" s="815"/>
      <c r="C61" s="143">
        <v>0.5</v>
      </c>
      <c r="D61" s="143">
        <v>0</v>
      </c>
      <c r="E61" s="116">
        <f t="shared" si="10"/>
        <v>1</v>
      </c>
      <c r="F61" s="462" t="s">
        <v>13</v>
      </c>
      <c r="G61" s="461">
        <v>252</v>
      </c>
      <c r="H61" s="475">
        <f>'1461'!H61</f>
        <v>3506</v>
      </c>
      <c r="I61" s="101">
        <f t="shared" si="11"/>
        <v>3506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9.35</v>
      </c>
      <c r="D66" s="97">
        <f>SUM(D57:D65)</f>
        <v>0</v>
      </c>
      <c r="E66" s="97">
        <f>SUM(E57:E65)</f>
        <v>18.7</v>
      </c>
      <c r="F66" s="816" t="s">
        <v>460</v>
      </c>
      <c r="G66" s="816"/>
      <c r="H66" s="816"/>
      <c r="I66" s="97">
        <f>SUM(I57:I65)</f>
        <v>24268.1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94.7</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4.4000000000000002E-4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95.03</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4.15E-4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94.7</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5.0900000000000001E-4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94.7</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4.4000000000000002E-4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94.7</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5.1000000000000004E-4</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4.4000000000000002E-4</v>
      </c>
      <c r="I85" s="101">
        <f>ROUND(F85*H85,2)</f>
        <v>20807.93</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4.4000000000000002E-4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5.1000000000000004E-4</v>
      </c>
      <c r="I90" s="101">
        <f>ROUND(F90*H90,2)</f>
        <v>9775.6200000000008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5.0900000000000001E-4</v>
      </c>
      <c r="I92" s="101">
        <f t="shared" ref="I92:I96" si="14">ROUND(F92*H92,2)</f>
        <v>5877.37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4.15E-4</v>
      </c>
      <c r="I94" s="101">
        <f>ROUND(F94*H94,2)</f>
        <v>111558.76</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4.15E-4</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4.4000000000000002E-4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95.03</v>
      </c>
      <c r="D105" s="822"/>
      <c r="E105" s="46">
        <f>H8</f>
        <v>1.0355000000000001</v>
      </c>
      <c r="F105" s="302">
        <f>'1461'!F105</f>
        <v>915.09</v>
      </c>
      <c r="G105" s="39" t="s">
        <v>12</v>
      </c>
      <c r="H105" s="101">
        <f>ROUND(C105*E105*F105,2)</f>
        <v>90048.12</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95.03</v>
      </c>
      <c r="D107" s="812"/>
      <c r="E107" s="123"/>
      <c r="F107" s="123"/>
      <c r="G107" s="123"/>
      <c r="H107" s="124" t="s">
        <v>100</v>
      </c>
      <c r="I107" s="101">
        <f>IF(A1=75,0,H106+H105+H104)</f>
        <v>90048.12</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791018.89</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752900.84</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t="s">
        <v>239</v>
      </c>
      <c r="H135" s="139">
        <f>IF(H133=1,I133,I130)</f>
        <v>752900.84</v>
      </c>
      <c r="I135" s="94">
        <f>ROUND(IF(E30=0,0,IF(E30&gt;250,-(((250/E30)*H135)*IF(G135="H",0.02,0.05)),IF(G135="H",-0.02*H135,-0.05*H135))),2)</f>
        <v>-15058.02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775960.87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Payments'!Q106</f>
        <v>-63488.77</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712472.1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64770.19</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N35:T35"/>
    <mergeCell ref="A37:B37"/>
    <mergeCell ref="N37:O37"/>
    <mergeCell ref="P37:T37"/>
    <mergeCell ref="A38:B38"/>
    <mergeCell ref="N38:O38"/>
    <mergeCell ref="P38:T38"/>
    <mergeCell ref="F34:H37"/>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tabColor rgb="FFFFCCCC"/>
  </sheetPr>
  <dimension ref="A1:V221"/>
  <sheetViews>
    <sheetView topLeftCell="A111"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133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136.62</v>
      </c>
      <c r="D14" s="141">
        <v>0</v>
      </c>
      <c r="E14" s="187">
        <f>IF(D$30=0,C14*2,C14+D14)</f>
        <v>273.24</v>
      </c>
      <c r="F14" s="846">
        <f>'1461'!F14:G14</f>
        <v>1.1080000000000001</v>
      </c>
      <c r="G14" s="846"/>
      <c r="H14" s="145">
        <f>ROUND(E14*F14,4)</f>
        <v>302.74990000000003</v>
      </c>
      <c r="I14" s="111">
        <f>ROUND(ROUND(ROUND(H14*$C$8,4)*($H$8),2)*(MAX($H$9,1)),2)</f>
        <v>1684296.78</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10.5</v>
      </c>
      <c r="D15" s="143">
        <v>0</v>
      </c>
      <c r="E15" s="116">
        <f t="shared" ref="E15:E29" si="1">IF(D$30=0,C15*2,C15+D15)</f>
        <v>21</v>
      </c>
      <c r="F15" s="850">
        <f>'1461'!F15:G15</f>
        <v>1.1080000000000001</v>
      </c>
      <c r="G15" s="850"/>
      <c r="H15" s="80">
        <f t="shared" ref="H15:H29" si="2">ROUND(E15*F15,4)</f>
        <v>23.268000000000001</v>
      </c>
      <c r="I15" s="101">
        <f t="shared" ref="I15:I29" si="3">ROUND(ROUND(ROUND(H15*$C$8,4)*($H$8),2)*(MAX($H$9,1)),2)</f>
        <v>129447.5</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155.16</v>
      </c>
      <c r="D16" s="143">
        <v>0</v>
      </c>
      <c r="E16" s="116">
        <f t="shared" si="1"/>
        <v>310.32</v>
      </c>
      <c r="F16" s="850">
        <f>'1461'!F16:G16</f>
        <v>1</v>
      </c>
      <c r="G16" s="850"/>
      <c r="H16" s="80">
        <f t="shared" si="2"/>
        <v>310.32</v>
      </c>
      <c r="I16" s="101">
        <f t="shared" si="3"/>
        <v>1726411.73</v>
      </c>
      <c r="N16" s="851" t="s">
        <v>22</v>
      </c>
      <c r="O16" s="851"/>
      <c r="P16" s="848">
        <f t="shared" si="0"/>
        <v>0</v>
      </c>
      <c r="Q16" s="848"/>
      <c r="R16" s="852">
        <v>1</v>
      </c>
      <c r="S16" s="852"/>
      <c r="T16" s="95">
        <f t="shared" si="4"/>
        <v>0</v>
      </c>
      <c r="U16" s="491">
        <f t="shared" si="5"/>
        <v>0</v>
      </c>
    </row>
    <row r="17" spans="1:21" x14ac:dyDescent="0.25">
      <c r="A17" s="804" t="s">
        <v>23</v>
      </c>
      <c r="B17" s="804"/>
      <c r="C17" s="143">
        <v>21</v>
      </c>
      <c r="D17" s="143">
        <v>0</v>
      </c>
      <c r="E17" s="116">
        <f t="shared" si="1"/>
        <v>42</v>
      </c>
      <c r="F17" s="850">
        <f>'1461'!F17:G17</f>
        <v>1</v>
      </c>
      <c r="G17" s="850"/>
      <c r="H17" s="80">
        <f t="shared" si="2"/>
        <v>42</v>
      </c>
      <c r="I17" s="101">
        <f t="shared" si="3"/>
        <v>233659.75</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20.630000000000003</v>
      </c>
      <c r="D26" s="143">
        <v>0</v>
      </c>
      <c r="E26" s="116">
        <f t="shared" si="1"/>
        <v>41.260000000000005</v>
      </c>
      <c r="F26" s="850">
        <f>'1461'!F26:G26</f>
        <v>1.165</v>
      </c>
      <c r="G26" s="850"/>
      <c r="H26" s="80">
        <f t="shared" si="2"/>
        <v>48.067900000000002</v>
      </c>
      <c r="I26" s="101">
        <f t="shared" si="3"/>
        <v>267417.46000000002</v>
      </c>
      <c r="N26" s="851" t="s">
        <v>85</v>
      </c>
      <c r="O26" s="851"/>
      <c r="P26" s="848">
        <f t="shared" si="0"/>
        <v>0</v>
      </c>
      <c r="Q26" s="848"/>
      <c r="R26" s="852">
        <v>1</v>
      </c>
      <c r="S26" s="852"/>
      <c r="T26" s="95">
        <f t="shared" si="4"/>
        <v>0</v>
      </c>
      <c r="U26" s="491">
        <f t="shared" si="5"/>
        <v>0</v>
      </c>
    </row>
    <row r="27" spans="1:21" x14ac:dyDescent="0.25">
      <c r="A27" s="804" t="s">
        <v>86</v>
      </c>
      <c r="B27" s="804"/>
      <c r="C27" s="143">
        <v>19.78</v>
      </c>
      <c r="D27" s="143">
        <v>0</v>
      </c>
      <c r="E27" s="116">
        <f t="shared" si="1"/>
        <v>39.56</v>
      </c>
      <c r="F27" s="850">
        <f>'1461'!F27:G27</f>
        <v>1.165</v>
      </c>
      <c r="G27" s="850"/>
      <c r="H27" s="80">
        <f t="shared" si="2"/>
        <v>46.087400000000002</v>
      </c>
      <c r="I27" s="101">
        <f t="shared" si="3"/>
        <v>256399.29</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363.68999999999994</v>
      </c>
      <c r="D30" s="94">
        <f>SUM(D14:D29)</f>
        <v>0</v>
      </c>
      <c r="E30" s="94">
        <f>SUM(E14:E29)</f>
        <v>727.37999999999988</v>
      </c>
      <c r="F30" s="808"/>
      <c r="G30" s="808"/>
      <c r="H30" s="99">
        <f>SUM(H14:H29)</f>
        <v>772.4932</v>
      </c>
      <c r="I30" s="94">
        <f>SUM(I14:I29)</f>
        <v>4297632.51</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772.4932</v>
      </c>
      <c r="F46" s="34"/>
      <c r="G46" s="106"/>
      <c r="H46" s="107" t="s">
        <v>98</v>
      </c>
      <c r="I46" s="94">
        <f>SUM(I44,I30)</f>
        <v>4297632.51</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4297632.51</v>
      </c>
      <c r="G51" s="109" t="s">
        <v>6</v>
      </c>
      <c r="H51" s="420">
        <f>'1461'!H51</f>
        <v>6.6699999999999995E-2</v>
      </c>
      <c r="I51" s="101">
        <f>ROUND(F51*H51,2)</f>
        <v>286652.09000000003</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4297632.51</v>
      </c>
      <c r="G52" s="109" t="s">
        <v>6</v>
      </c>
      <c r="H52" s="420">
        <f>'1461'!H52</f>
        <v>5.4000000000000003E-3</v>
      </c>
      <c r="I52" s="101">
        <f>ROUND(F52*H52,2)</f>
        <v>23207.22</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309859.31000000006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7</v>
      </c>
      <c r="D57" s="143">
        <v>0</v>
      </c>
      <c r="E57" s="116">
        <f t="shared" ref="E57:E65" si="10">IF(D$66=0,C57*2,C57+D57)</f>
        <v>14</v>
      </c>
      <c r="F57" s="461" t="s">
        <v>451</v>
      </c>
      <c r="G57" s="461">
        <v>251</v>
      </c>
      <c r="H57" s="475">
        <f>'1461'!H57</f>
        <v>1047</v>
      </c>
      <c r="I57" s="101">
        <f>ROUND(E57*H57,2)</f>
        <v>14658</v>
      </c>
      <c r="N57" s="865" t="s">
        <v>459</v>
      </c>
      <c r="O57" s="865"/>
      <c r="P57" s="867"/>
      <c r="Q57" s="867"/>
      <c r="R57" s="467" t="s">
        <v>451</v>
      </c>
      <c r="S57" s="467">
        <v>251</v>
      </c>
      <c r="T57" s="478">
        <f>H57</f>
        <v>1047</v>
      </c>
      <c r="U57" s="492">
        <f>ROUND(P57*T57,2)</f>
        <v>0</v>
      </c>
      <c r="V57" s="442"/>
    </row>
    <row r="58" spans="1:22" x14ac:dyDescent="0.25">
      <c r="A58" s="815"/>
      <c r="B58" s="815"/>
      <c r="C58" s="143">
        <v>3</v>
      </c>
      <c r="D58" s="143">
        <v>0</v>
      </c>
      <c r="E58" s="116">
        <f t="shared" si="10"/>
        <v>6</v>
      </c>
      <c r="F58" s="461" t="s">
        <v>451</v>
      </c>
      <c r="G58" s="461">
        <v>252</v>
      </c>
      <c r="H58" s="475">
        <f>'1461'!H58</f>
        <v>3380</v>
      </c>
      <c r="I58" s="101">
        <f t="shared" ref="I58:I65" si="11">ROUND(E58*H58,2)</f>
        <v>20280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0.5</v>
      </c>
      <c r="D59" s="143">
        <v>0</v>
      </c>
      <c r="E59" s="116">
        <f t="shared" si="10"/>
        <v>1</v>
      </c>
      <c r="F59" s="461" t="s">
        <v>451</v>
      </c>
      <c r="G59" s="461">
        <v>253</v>
      </c>
      <c r="H59" s="475">
        <f>'1461'!H59</f>
        <v>6896</v>
      </c>
      <c r="I59" s="101">
        <f t="shared" si="11"/>
        <v>6896</v>
      </c>
      <c r="N59" s="866"/>
      <c r="O59" s="866"/>
      <c r="P59" s="868"/>
      <c r="Q59" s="868"/>
      <c r="R59" s="467" t="s">
        <v>451</v>
      </c>
      <c r="S59" s="467">
        <v>253</v>
      </c>
      <c r="T59" s="478">
        <f t="shared" si="12"/>
        <v>6896</v>
      </c>
      <c r="U59" s="492">
        <f t="shared" si="13"/>
        <v>0</v>
      </c>
      <c r="V59" s="442"/>
    </row>
    <row r="60" spans="1:22" x14ac:dyDescent="0.25">
      <c r="A60" s="815"/>
      <c r="B60" s="815"/>
      <c r="C60" s="143">
        <v>19.5</v>
      </c>
      <c r="D60" s="143">
        <v>0</v>
      </c>
      <c r="E60" s="116">
        <f t="shared" si="10"/>
        <v>39</v>
      </c>
      <c r="F60" s="462" t="s">
        <v>13</v>
      </c>
      <c r="G60" s="461">
        <v>251</v>
      </c>
      <c r="H60" s="475">
        <f>'1461'!H60</f>
        <v>1173</v>
      </c>
      <c r="I60" s="101">
        <f t="shared" si="11"/>
        <v>45747</v>
      </c>
      <c r="N60" s="866"/>
      <c r="O60" s="866"/>
      <c r="P60" s="868"/>
      <c r="Q60" s="868"/>
      <c r="R60" s="40" t="s">
        <v>13</v>
      </c>
      <c r="S60" s="467">
        <v>251</v>
      </c>
      <c r="T60" s="478">
        <f t="shared" si="12"/>
        <v>1173</v>
      </c>
      <c r="U60" s="492">
        <f t="shared" si="13"/>
        <v>0</v>
      </c>
      <c r="V60" s="442"/>
    </row>
    <row r="61" spans="1:22" x14ac:dyDescent="0.25">
      <c r="A61" s="815"/>
      <c r="B61" s="815"/>
      <c r="C61" s="143">
        <v>1.5</v>
      </c>
      <c r="D61" s="143">
        <v>0</v>
      </c>
      <c r="E61" s="116">
        <f t="shared" si="10"/>
        <v>3</v>
      </c>
      <c r="F61" s="462" t="s">
        <v>13</v>
      </c>
      <c r="G61" s="461">
        <v>252</v>
      </c>
      <c r="H61" s="475">
        <f>'1461'!H61</f>
        <v>3506</v>
      </c>
      <c r="I61" s="101">
        <f t="shared" si="11"/>
        <v>10518</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31.5</v>
      </c>
      <c r="D66" s="97">
        <f>SUM(D57:D65)</f>
        <v>0</v>
      </c>
      <c r="E66" s="97">
        <f>SUM(E57:E65)</f>
        <v>63</v>
      </c>
      <c r="F66" s="816" t="s">
        <v>460</v>
      </c>
      <c r="G66" s="816"/>
      <c r="H66" s="816"/>
      <c r="I66" s="97">
        <f>SUM(I57:I65)</f>
        <v>98099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727.37999999999988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3.3779999999999999E-3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772.4932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3.3730000000000001E-3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727.37999999999988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3.9069999999999999E-3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727.37999999999988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3.3830000000000002E-3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727.37999999999988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3.9139999999999999E-3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3.3830000000000002E-3</v>
      </c>
      <c r="I85" s="101">
        <f>ROUND(F85*H85,2)</f>
        <v>159984.6</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3.3779999999999999E-3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3.9139999999999999E-3</v>
      </c>
      <c r="I90" s="101">
        <f>ROUND(F90*H90,2)</f>
        <v>75023.09</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3.9069999999999999E-3</v>
      </c>
      <c r="I92" s="101">
        <f t="shared" ref="I92:I96" si="14">ROUND(F92*H92,2)</f>
        <v>45113.7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3.3730000000000001E-3</v>
      </c>
      <c r="I94" s="101">
        <f t="shared" si="14"/>
        <v>906717.31</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3.3730000000000001E-3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3.3779999999999999E-3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374.08580000000006</v>
      </c>
      <c r="D104" s="822"/>
      <c r="E104" s="46">
        <f>H8</f>
        <v>1.0355000000000001</v>
      </c>
      <c r="F104" s="302">
        <f>'1461'!F104</f>
        <v>958.42</v>
      </c>
      <c r="G104" s="39" t="s">
        <v>12</v>
      </c>
      <c r="H104" s="101">
        <f>ROUND(C104*E104*F104,2)</f>
        <v>371259.17</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398.4074</v>
      </c>
      <c r="D105" s="822"/>
      <c r="E105" s="46">
        <f>H8</f>
        <v>1.0355000000000001</v>
      </c>
      <c r="F105" s="302">
        <f>'1461'!F105</f>
        <v>915.09</v>
      </c>
      <c r="G105" s="39" t="s">
        <v>12</v>
      </c>
      <c r="H105" s="101">
        <f>ROUND(C105*E105*F105,2)</f>
        <v>377521.17</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772.49320000000012</v>
      </c>
      <c r="D107" s="812"/>
      <c r="E107" s="123"/>
      <c r="F107" s="123"/>
      <c r="G107" s="123"/>
      <c r="H107" s="124" t="s">
        <v>100</v>
      </c>
      <c r="I107" s="101">
        <f>IF(A1=75,0,H106+H105+H104)</f>
        <v>748780.34</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6331350.5499999989</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6021491.2399999984</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900" t="s">
        <v>512</v>
      </c>
      <c r="O132" s="901"/>
      <c r="P132" s="901"/>
      <c r="Q132" s="901"/>
      <c r="R132" s="901"/>
      <c r="S132" s="901"/>
      <c r="T132" s="901"/>
      <c r="U132" s="138"/>
    </row>
    <row r="133" spans="1:21" x14ac:dyDescent="0.25">
      <c r="A133" s="804" t="s">
        <v>70</v>
      </c>
      <c r="B133" s="804"/>
      <c r="C133" s="804"/>
      <c r="D133" s="804"/>
      <c r="E133" s="804"/>
      <c r="F133" s="804"/>
      <c r="G133" s="804"/>
      <c r="H133" s="70" t="str">
        <f>IF(E30=0,"",IF((E15+E17+SUM(E19:E25))/E30&gt;0.75,1,""))</f>
        <v/>
      </c>
      <c r="I133" s="116">
        <f>U130</f>
        <v>0</v>
      </c>
      <c r="N133" s="901" t="s">
        <v>70</v>
      </c>
      <c r="O133" s="901"/>
      <c r="P133" s="901"/>
      <c r="Q133" s="901"/>
      <c r="R133" s="901"/>
      <c r="S133" s="901"/>
      <c r="T133" s="90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6021491.2399999984</v>
      </c>
      <c r="I135" s="94">
        <f>ROUND(IF(E30=0,0,IF(E30&gt;250,-(((250/E30)*H135)*IF(G135="H",0.02,0.05)),IF(G135="H",-0.02*H135,-0.05*H135))),2)</f>
        <v>-103479.12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6227871.4299999988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Payments'!Q107</f>
        <v>-512294.34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5715577.0899999989</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519597.92</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197595.44</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tabColor rgb="FFFFCCCC"/>
  </sheetPr>
  <dimension ref="A1:V221"/>
  <sheetViews>
    <sheetView topLeftCell="A114"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134</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138.1</v>
      </c>
      <c r="D14" s="141">
        <v>0</v>
      </c>
      <c r="E14" s="187">
        <f>IF(D$30=0,C14*2,C14+D14)</f>
        <v>276.2</v>
      </c>
      <c r="F14" s="846">
        <f>'1461'!F14:G14</f>
        <v>1.1080000000000001</v>
      </c>
      <c r="G14" s="846"/>
      <c r="H14" s="145">
        <f>ROUND(E14*F14,4)</f>
        <v>306.02960000000002</v>
      </c>
      <c r="I14" s="111">
        <f>ROUND(ROUND(ROUND(H14*$C$8,4)*($H$8),2)*(MAX($H$9,1)),2)</f>
        <v>1702542.83</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13</v>
      </c>
      <c r="D15" s="143">
        <v>0</v>
      </c>
      <c r="E15" s="116">
        <f t="shared" ref="E15:E29" si="1">IF(D$30=0,C15*2,C15+D15)</f>
        <v>26</v>
      </c>
      <c r="F15" s="850">
        <f>'1461'!F15:G15</f>
        <v>1.1080000000000001</v>
      </c>
      <c r="G15" s="850"/>
      <c r="H15" s="80">
        <f t="shared" ref="H15:H29" si="2">ROUND(E15*F15,4)</f>
        <v>28.808</v>
      </c>
      <c r="I15" s="101">
        <f t="shared" ref="I15:I29" si="3">ROUND(ROUND(ROUND(H15*$C$8,4)*($H$8),2)*(MAX($H$9,1)),2)</f>
        <v>160268.32999999999</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148.02000000000001</v>
      </c>
      <c r="D16" s="143">
        <v>0</v>
      </c>
      <c r="E16" s="116">
        <f t="shared" si="1"/>
        <v>296.04000000000002</v>
      </c>
      <c r="F16" s="850">
        <f>'1461'!F16:G16</f>
        <v>1</v>
      </c>
      <c r="G16" s="850"/>
      <c r="H16" s="80">
        <f t="shared" si="2"/>
        <v>296.04000000000002</v>
      </c>
      <c r="I16" s="101">
        <f t="shared" si="3"/>
        <v>1646967.41</v>
      </c>
      <c r="N16" s="851" t="s">
        <v>22</v>
      </c>
      <c r="O16" s="851"/>
      <c r="P16" s="848">
        <f t="shared" si="0"/>
        <v>0</v>
      </c>
      <c r="Q16" s="848"/>
      <c r="R16" s="852">
        <v>1</v>
      </c>
      <c r="S16" s="852"/>
      <c r="T16" s="95">
        <f t="shared" si="4"/>
        <v>0</v>
      </c>
      <c r="U16" s="491">
        <f t="shared" si="5"/>
        <v>0</v>
      </c>
    </row>
    <row r="17" spans="1:21" x14ac:dyDescent="0.25">
      <c r="A17" s="804" t="s">
        <v>23</v>
      </c>
      <c r="B17" s="804"/>
      <c r="C17" s="143">
        <v>26</v>
      </c>
      <c r="D17" s="143">
        <v>0</v>
      </c>
      <c r="E17" s="116">
        <f t="shared" si="1"/>
        <v>52</v>
      </c>
      <c r="F17" s="850">
        <f>'1461'!F17:G17</f>
        <v>1</v>
      </c>
      <c r="G17" s="850"/>
      <c r="H17" s="80">
        <f t="shared" si="2"/>
        <v>52</v>
      </c>
      <c r="I17" s="101">
        <f t="shared" si="3"/>
        <v>289293.02</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26.4</v>
      </c>
      <c r="D26" s="143">
        <v>0</v>
      </c>
      <c r="E26" s="116">
        <f t="shared" si="1"/>
        <v>52.8</v>
      </c>
      <c r="F26" s="850">
        <f>'1461'!F26:G26</f>
        <v>1.165</v>
      </c>
      <c r="G26" s="850"/>
      <c r="H26" s="80">
        <f t="shared" si="2"/>
        <v>61.512</v>
      </c>
      <c r="I26" s="101">
        <f t="shared" si="3"/>
        <v>342211.39</v>
      </c>
      <c r="N26" s="851" t="s">
        <v>85</v>
      </c>
      <c r="O26" s="851"/>
      <c r="P26" s="848">
        <f t="shared" si="0"/>
        <v>0</v>
      </c>
      <c r="Q26" s="848"/>
      <c r="R26" s="852">
        <v>1</v>
      </c>
      <c r="S26" s="852"/>
      <c r="T26" s="95">
        <f t="shared" si="4"/>
        <v>0</v>
      </c>
      <c r="U26" s="491">
        <f t="shared" si="5"/>
        <v>0</v>
      </c>
    </row>
    <row r="27" spans="1:21" x14ac:dyDescent="0.25">
      <c r="A27" s="804" t="s">
        <v>86</v>
      </c>
      <c r="B27" s="804"/>
      <c r="C27" s="143">
        <v>29.98</v>
      </c>
      <c r="D27" s="143">
        <v>0</v>
      </c>
      <c r="E27" s="116">
        <f t="shared" si="1"/>
        <v>59.96</v>
      </c>
      <c r="F27" s="850">
        <f>'1461'!F27:G27</f>
        <v>1.165</v>
      </c>
      <c r="G27" s="850"/>
      <c r="H27" s="80">
        <f t="shared" si="2"/>
        <v>69.853399999999993</v>
      </c>
      <c r="I27" s="101">
        <f t="shared" si="3"/>
        <v>388617.33</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381.5</v>
      </c>
      <c r="D30" s="94">
        <f>SUM(D14:D29)</f>
        <v>0</v>
      </c>
      <c r="E30" s="94">
        <f>SUM(E14:E29)</f>
        <v>763</v>
      </c>
      <c r="F30" s="808"/>
      <c r="G30" s="808"/>
      <c r="H30" s="99">
        <f>SUM(H14:H29)</f>
        <v>814.24299999999994</v>
      </c>
      <c r="I30" s="94">
        <f>SUM(I14:I29)</f>
        <v>4529900.3100000005</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814.24299999999994</v>
      </c>
      <c r="F46" s="34"/>
      <c r="G46" s="106"/>
      <c r="H46" s="107" t="s">
        <v>98</v>
      </c>
      <c r="I46" s="94">
        <f>SUM(I44,I30)</f>
        <v>4529900.3100000005</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3" t="str">
        <f>'1461'!B51</f>
        <v>Maintenance Portion (6.67% of Conference Funding)</v>
      </c>
      <c r="C51" s="26"/>
      <c r="D51" s="26"/>
      <c r="E51" s="43" t="s">
        <v>414</v>
      </c>
      <c r="F51" s="419">
        <v>4529900.3100000005</v>
      </c>
      <c r="G51" s="109" t="s">
        <v>6</v>
      </c>
      <c r="H51" s="420">
        <f>'1461'!H51</f>
        <v>6.6699999999999995E-2</v>
      </c>
      <c r="I51" s="101">
        <f>ROUND(F51*H51,2)</f>
        <v>302144.34999999998</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4529900.3100000005</v>
      </c>
      <c r="G52" s="109" t="s">
        <v>6</v>
      </c>
      <c r="H52" s="420">
        <f>'1461'!H52</f>
        <v>5.4000000000000003E-3</v>
      </c>
      <c r="I52" s="101">
        <f>ROUND(F52*H52,2)</f>
        <v>24461.46</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326605.81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11.5</v>
      </c>
      <c r="D57" s="143">
        <v>0</v>
      </c>
      <c r="E57" s="116">
        <f t="shared" ref="E57:E65" si="10">IF(D$66=0,C57*2,C57+D57)</f>
        <v>23</v>
      </c>
      <c r="F57" s="461" t="s">
        <v>451</v>
      </c>
      <c r="G57" s="461">
        <v>251</v>
      </c>
      <c r="H57" s="475">
        <f>'1461'!H57</f>
        <v>1047</v>
      </c>
      <c r="I57" s="101">
        <f>ROUND(E57*H57,2)</f>
        <v>24081</v>
      </c>
      <c r="N57" s="865" t="s">
        <v>459</v>
      </c>
      <c r="O57" s="865"/>
      <c r="P57" s="867"/>
      <c r="Q57" s="867"/>
      <c r="R57" s="467" t="s">
        <v>451</v>
      </c>
      <c r="S57" s="467">
        <v>251</v>
      </c>
      <c r="T57" s="478">
        <f>H57</f>
        <v>1047</v>
      </c>
      <c r="U57" s="492">
        <f>ROUND(P57*T57,2)</f>
        <v>0</v>
      </c>
      <c r="V57" s="442"/>
    </row>
    <row r="58" spans="1:22" x14ac:dyDescent="0.25">
      <c r="A58" s="815"/>
      <c r="B58" s="815"/>
      <c r="C58" s="143">
        <v>1.5</v>
      </c>
      <c r="D58" s="143">
        <v>0</v>
      </c>
      <c r="E58" s="116">
        <f t="shared" si="10"/>
        <v>3</v>
      </c>
      <c r="F58" s="461" t="s">
        <v>451</v>
      </c>
      <c r="G58" s="461">
        <v>252</v>
      </c>
      <c r="H58" s="475">
        <f>'1461'!H58</f>
        <v>3380</v>
      </c>
      <c r="I58" s="101">
        <f t="shared" ref="I58:I65" si="11">ROUND(E58*H58,2)</f>
        <v>10140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23</v>
      </c>
      <c r="D60" s="143">
        <v>0</v>
      </c>
      <c r="E60" s="116">
        <f t="shared" si="10"/>
        <v>46</v>
      </c>
      <c r="F60" s="462" t="s">
        <v>13</v>
      </c>
      <c r="G60" s="461">
        <v>251</v>
      </c>
      <c r="H60" s="475">
        <f>'1461'!H60</f>
        <v>1173</v>
      </c>
      <c r="I60" s="101">
        <f t="shared" si="11"/>
        <v>53958</v>
      </c>
      <c r="N60" s="866"/>
      <c r="O60" s="866"/>
      <c r="P60" s="868"/>
      <c r="Q60" s="868"/>
      <c r="R60" s="40" t="s">
        <v>13</v>
      </c>
      <c r="S60" s="467">
        <v>251</v>
      </c>
      <c r="T60" s="478">
        <f t="shared" si="12"/>
        <v>1173</v>
      </c>
      <c r="U60" s="492">
        <f t="shared" si="13"/>
        <v>0</v>
      </c>
      <c r="V60" s="442"/>
    </row>
    <row r="61" spans="1:22" x14ac:dyDescent="0.25">
      <c r="A61" s="815"/>
      <c r="B61" s="815"/>
      <c r="C61" s="143">
        <v>3</v>
      </c>
      <c r="D61" s="143">
        <v>0</v>
      </c>
      <c r="E61" s="116">
        <f t="shared" si="10"/>
        <v>6</v>
      </c>
      <c r="F61" s="462" t="s">
        <v>13</v>
      </c>
      <c r="G61" s="461">
        <v>252</v>
      </c>
      <c r="H61" s="475">
        <f>'1461'!H61</f>
        <v>3506</v>
      </c>
      <c r="I61" s="101">
        <f t="shared" si="11"/>
        <v>21036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IF(D$66=0,C62*2,C62+D62)</f>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39</v>
      </c>
      <c r="D66" s="97">
        <f>SUM(D57:D65)</f>
        <v>0</v>
      </c>
      <c r="E66" s="97">
        <f>SUM(E57:E65)</f>
        <v>78</v>
      </c>
      <c r="F66" s="816" t="s">
        <v>460</v>
      </c>
      <c r="G66" s="816"/>
      <c r="H66" s="816"/>
      <c r="I66" s="97">
        <f>SUM(I57:I65)</f>
        <v>109215</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763</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3.5439999999999998E-3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814.24299999999994</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3.555E-3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763</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4.0990000000000002E-3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763</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3.5490000000000001E-3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763</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4.1050000000000001E-3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3.5490000000000001E-3</v>
      </c>
      <c r="I85" s="101">
        <f>ROUND(F85*H85,2)</f>
        <v>167834.86</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3.5439999999999998E-3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4.1050000000000001E-3</v>
      </c>
      <c r="I90" s="101">
        <f>ROUND(F90*H90,2)</f>
        <v>78684.149999999994</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4.0990000000000002E-3</v>
      </c>
      <c r="I92" s="101">
        <f t="shared" ref="I92:I96" si="14">ROUND(F92*H92,2)</f>
        <v>47330.7</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3.555E-3</v>
      </c>
      <c r="I94" s="101">
        <f t="shared" si="14"/>
        <v>955641.87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3.555E-3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3.5439999999999998E-3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396.34960000000001</v>
      </c>
      <c r="D104" s="822"/>
      <c r="E104" s="46">
        <f>H8</f>
        <v>1.0355000000000001</v>
      </c>
      <c r="F104" s="302">
        <f>'1461'!F104</f>
        <v>958.42</v>
      </c>
      <c r="G104" s="39" t="s">
        <v>12</v>
      </c>
      <c r="H104" s="101">
        <f>ROUND(C104*E104*F104,2)</f>
        <v>393354.75</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417.89340000000004</v>
      </c>
      <c r="D105" s="822"/>
      <c r="E105" s="46">
        <f>H8</f>
        <v>1.0355000000000001</v>
      </c>
      <c r="F105" s="302">
        <f>'1461'!F105</f>
        <v>915.09</v>
      </c>
      <c r="G105" s="39" t="s">
        <v>12</v>
      </c>
      <c r="H105" s="101">
        <f>ROUND(C105*E105*F105,2)</f>
        <v>395985.63</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814.24300000000005</v>
      </c>
      <c r="D107" s="812"/>
      <c r="E107" s="123"/>
      <c r="F107" s="123"/>
      <c r="G107" s="123"/>
      <c r="H107" s="124" t="s">
        <v>100</v>
      </c>
      <c r="I107" s="101">
        <f>IF(A1=75,0,H106+H105+H104)</f>
        <v>789340.38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6677947.2700000014</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6351341.4600000018</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6351341.4600000018</v>
      </c>
      <c r="I135" s="94">
        <f>ROUND(IF(E30=0,0,IF(E30&gt;250,-(((250/E30)*H135)*IF(G135="H",0.02,0.05)),IF(G135="H",-0.02*H135,-0.05*H135))),2)</f>
        <v>-104052.12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6573895.1500000013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Payments'!Q108</f>
        <v>-541173.16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6032721.9900000012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548429.27</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213514.95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F26:G26"/>
    <mergeCell ref="N26:O26"/>
    <mergeCell ref="P26:Q26"/>
    <mergeCell ref="R26:S26"/>
    <mergeCell ref="A27:B27"/>
    <mergeCell ref="F27:G27"/>
    <mergeCell ref="N27:O27"/>
    <mergeCell ref="P27:Q27"/>
    <mergeCell ref="R27:S27"/>
    <mergeCell ref="A26:B26"/>
    <mergeCell ref="N24:O24"/>
    <mergeCell ref="P24:Q24"/>
    <mergeCell ref="R24:S24"/>
    <mergeCell ref="A25:B25"/>
    <mergeCell ref="F25:G25"/>
    <mergeCell ref="N25:O25"/>
    <mergeCell ref="P25:Q25"/>
    <mergeCell ref="R25:S25"/>
    <mergeCell ref="A24:B24"/>
    <mergeCell ref="F24:G24"/>
    <mergeCell ref="N22:O22"/>
    <mergeCell ref="P22:Q22"/>
    <mergeCell ref="R22:S22"/>
    <mergeCell ref="A23:B23"/>
    <mergeCell ref="F23:G23"/>
    <mergeCell ref="N23:O23"/>
    <mergeCell ref="P23:Q23"/>
    <mergeCell ref="R23:S23"/>
    <mergeCell ref="A22:B22"/>
    <mergeCell ref="F22:G22"/>
    <mergeCell ref="N20:O20"/>
    <mergeCell ref="P20:Q20"/>
    <mergeCell ref="R20:S20"/>
    <mergeCell ref="A21:B21"/>
    <mergeCell ref="F21:G21"/>
    <mergeCell ref="N21:O21"/>
    <mergeCell ref="P21:Q21"/>
    <mergeCell ref="R21:S21"/>
    <mergeCell ref="A20:B20"/>
    <mergeCell ref="F20:G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1">
    <tabColor rgb="FFFFCCCC"/>
  </sheetPr>
  <dimension ref="A1:V221"/>
  <sheetViews>
    <sheetView topLeftCell="A108" workbookViewId="0">
      <selection activeCell="I51" sqref="I51"/>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350</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J10" s="253"/>
      <c r="K10" s="65"/>
      <c r="L10" s="65"/>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J11" s="255"/>
      <c r="K11" s="254"/>
      <c r="L11" s="254"/>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J12" s="253"/>
      <c r="K12" s="254"/>
      <c r="L12" s="254"/>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K13" s="254"/>
      <c r="L13" s="254"/>
      <c r="N13" s="843" t="s">
        <v>36</v>
      </c>
      <c r="O13" s="843"/>
      <c r="P13" s="844" t="s">
        <v>37</v>
      </c>
      <c r="Q13" s="844"/>
      <c r="R13" s="845" t="s">
        <v>38</v>
      </c>
      <c r="S13" s="845"/>
      <c r="T13" s="22" t="s">
        <v>39</v>
      </c>
      <c r="U13" s="23" t="s">
        <v>40</v>
      </c>
    </row>
    <row r="14" spans="1:21" x14ac:dyDescent="0.25">
      <c r="A14" s="802" t="s">
        <v>20</v>
      </c>
      <c r="B14" s="802"/>
      <c r="C14" s="143">
        <v>177.86</v>
      </c>
      <c r="D14" s="141">
        <v>0</v>
      </c>
      <c r="E14" s="187">
        <f>IF(D$30=0,C14*2,C14+D14)</f>
        <v>355.72</v>
      </c>
      <c r="F14" s="846">
        <f>'1461'!F14:G14</f>
        <v>1.1080000000000001</v>
      </c>
      <c r="G14" s="846"/>
      <c r="H14" s="145">
        <f>ROUND(E14*F14,4)</f>
        <v>394.13780000000003</v>
      </c>
      <c r="I14" s="111">
        <f>ROUND(ROUND(ROUND(H14*$C$8,4)*($H$8),2)*(MAX($H$9,1)),2)</f>
        <v>2192717.58</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14.5</v>
      </c>
      <c r="D15" s="143">
        <v>0</v>
      </c>
      <c r="E15" s="116">
        <f t="shared" ref="E15:E29" si="1">IF(D$30=0,C15*2,C15+D15)</f>
        <v>29</v>
      </c>
      <c r="F15" s="850">
        <f>'1461'!F15:G15</f>
        <v>1.1080000000000001</v>
      </c>
      <c r="G15" s="850"/>
      <c r="H15" s="80">
        <f t="shared" ref="H15:H29" si="2">ROUND(E15*F15,4)</f>
        <v>32.131999999999998</v>
      </c>
      <c r="I15" s="101">
        <f t="shared" ref="I15:I29" si="3">ROUND(ROUND(ROUND(H15*$C$8,4)*($H$8),2)*(MAX($H$9,1)),2)</f>
        <v>178760.83</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227.76</v>
      </c>
      <c r="D16" s="143">
        <v>0</v>
      </c>
      <c r="E16" s="116">
        <f t="shared" si="1"/>
        <v>455.52</v>
      </c>
      <c r="F16" s="850">
        <f>'1461'!F16:G16</f>
        <v>1</v>
      </c>
      <c r="G16" s="850"/>
      <c r="H16" s="80">
        <f t="shared" si="2"/>
        <v>455.52</v>
      </c>
      <c r="I16" s="101">
        <f t="shared" si="3"/>
        <v>2534206.85</v>
      </c>
      <c r="N16" s="851" t="s">
        <v>22</v>
      </c>
      <c r="O16" s="851"/>
      <c r="P16" s="848">
        <f t="shared" si="0"/>
        <v>0</v>
      </c>
      <c r="Q16" s="848"/>
      <c r="R16" s="852">
        <v>1</v>
      </c>
      <c r="S16" s="852"/>
      <c r="T16" s="95">
        <f t="shared" si="4"/>
        <v>0</v>
      </c>
      <c r="U16" s="491">
        <f t="shared" si="5"/>
        <v>0</v>
      </c>
    </row>
    <row r="17" spans="1:21" x14ac:dyDescent="0.25">
      <c r="A17" s="804" t="s">
        <v>23</v>
      </c>
      <c r="B17" s="804"/>
      <c r="C17" s="143">
        <v>30.5</v>
      </c>
      <c r="D17" s="143">
        <v>0</v>
      </c>
      <c r="E17" s="116">
        <f t="shared" si="1"/>
        <v>61</v>
      </c>
      <c r="F17" s="850">
        <f>'1461'!F17:G17</f>
        <v>1</v>
      </c>
      <c r="G17" s="850"/>
      <c r="H17" s="80">
        <f t="shared" si="2"/>
        <v>61</v>
      </c>
      <c r="I17" s="101">
        <f t="shared" si="3"/>
        <v>339362.97</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19.36</v>
      </c>
      <c r="D26" s="143">
        <v>0</v>
      </c>
      <c r="E26" s="116">
        <f t="shared" si="1"/>
        <v>38.72</v>
      </c>
      <c r="F26" s="850">
        <f>'1461'!F26:G26</f>
        <v>1.165</v>
      </c>
      <c r="G26" s="850"/>
      <c r="H26" s="80">
        <f t="shared" si="2"/>
        <v>45.108800000000002</v>
      </c>
      <c r="I26" s="101">
        <f t="shared" si="3"/>
        <v>250955.02</v>
      </c>
      <c r="N26" s="851" t="s">
        <v>85</v>
      </c>
      <c r="O26" s="851"/>
      <c r="P26" s="848">
        <f t="shared" si="0"/>
        <v>0</v>
      </c>
      <c r="Q26" s="848"/>
      <c r="R26" s="852">
        <v>1</v>
      </c>
      <c r="S26" s="852"/>
      <c r="T26" s="95">
        <f t="shared" si="4"/>
        <v>0</v>
      </c>
      <c r="U26" s="491">
        <f t="shared" si="5"/>
        <v>0</v>
      </c>
    </row>
    <row r="27" spans="1:21" x14ac:dyDescent="0.25">
      <c r="A27" s="804" t="s">
        <v>86</v>
      </c>
      <c r="B27" s="804"/>
      <c r="C27" s="143">
        <v>10.93</v>
      </c>
      <c r="D27" s="143">
        <v>0</v>
      </c>
      <c r="E27" s="116">
        <f t="shared" si="1"/>
        <v>21.86</v>
      </c>
      <c r="F27" s="850">
        <f>'1461'!F27:G27</f>
        <v>1.165</v>
      </c>
      <c r="G27" s="850"/>
      <c r="H27" s="80">
        <f t="shared" si="2"/>
        <v>25.466899999999999</v>
      </c>
      <c r="I27" s="101">
        <f t="shared" si="3"/>
        <v>141680.70000000001</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v>480.91</v>
      </c>
      <c r="D30" s="94">
        <f>SUM(D14:D29)</f>
        <v>0</v>
      </c>
      <c r="E30" s="94">
        <f>SUM(E14:E29)</f>
        <v>961.82</v>
      </c>
      <c r="F30" s="808"/>
      <c r="G30" s="808"/>
      <c r="H30" s="99">
        <f>SUM(H14:H29)</f>
        <v>1013.3655</v>
      </c>
      <c r="I30" s="94">
        <f>SUM(I14:I29)</f>
        <v>5637683.9499999993</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1013.3655</v>
      </c>
      <c r="F46" s="34"/>
      <c r="G46" s="106"/>
      <c r="H46" s="107" t="s">
        <v>98</v>
      </c>
      <c r="I46" s="94">
        <f>SUM(I44,I30)</f>
        <v>5637683.9499999993</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5637683.9499999993</v>
      </c>
      <c r="G51" s="109" t="s">
        <v>6</v>
      </c>
      <c r="H51" s="420">
        <f>'1461'!H51</f>
        <v>6.6699999999999995E-2</v>
      </c>
      <c r="I51" s="101">
        <f>ROUND(F51*H51,2)</f>
        <v>376033.52</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94">
        <f>SUM(F36:F51)</f>
        <v>5637683.9499999993</v>
      </c>
      <c r="G52" s="109" t="s">
        <v>6</v>
      </c>
      <c r="H52" s="420">
        <f>'1461'!H52</f>
        <v>5.4000000000000003E-3</v>
      </c>
      <c r="I52" s="101">
        <f>ROUND(F52*H52,2)</f>
        <v>30443.49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406477.01</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10</v>
      </c>
      <c r="D57" s="143">
        <v>0</v>
      </c>
      <c r="E57" s="116">
        <f t="shared" ref="E57:E65" si="10">IF(D$66=0,C57*2,C57+D57)</f>
        <v>20</v>
      </c>
      <c r="F57" s="461" t="s">
        <v>451</v>
      </c>
      <c r="G57" s="461">
        <v>251</v>
      </c>
      <c r="H57" s="475">
        <f>'1461'!H57</f>
        <v>1047</v>
      </c>
      <c r="I57" s="101">
        <f>ROUND(E57*H57,2)</f>
        <v>20940</v>
      </c>
      <c r="N57" s="865" t="s">
        <v>459</v>
      </c>
      <c r="O57" s="865"/>
      <c r="P57" s="867"/>
      <c r="Q57" s="867"/>
      <c r="R57" s="467" t="s">
        <v>451</v>
      </c>
      <c r="S57" s="467">
        <v>251</v>
      </c>
      <c r="T57" s="478">
        <f>H57</f>
        <v>1047</v>
      </c>
      <c r="U57" s="492">
        <f>ROUND(P57*T57,2)</f>
        <v>0</v>
      </c>
      <c r="V57" s="442"/>
    </row>
    <row r="58" spans="1:22" x14ac:dyDescent="0.25">
      <c r="A58" s="815"/>
      <c r="B58" s="815"/>
      <c r="C58" s="143">
        <v>4</v>
      </c>
      <c r="D58" s="143">
        <v>0</v>
      </c>
      <c r="E58" s="116">
        <f t="shared" si="10"/>
        <v>8</v>
      </c>
      <c r="F58" s="461" t="s">
        <v>451</v>
      </c>
      <c r="G58" s="461">
        <v>252</v>
      </c>
      <c r="H58" s="475">
        <f>'1461'!H58</f>
        <v>3380</v>
      </c>
      <c r="I58" s="101">
        <f t="shared" ref="I58:I65" si="11">ROUND(E58*H58,2)</f>
        <v>27040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0.5</v>
      </c>
      <c r="D59" s="143">
        <v>0</v>
      </c>
      <c r="E59" s="116">
        <f t="shared" si="10"/>
        <v>1</v>
      </c>
      <c r="F59" s="461" t="s">
        <v>451</v>
      </c>
      <c r="G59" s="461">
        <v>253</v>
      </c>
      <c r="H59" s="475">
        <f>'1461'!H59</f>
        <v>6896</v>
      </c>
      <c r="I59" s="101">
        <f t="shared" si="11"/>
        <v>6896</v>
      </c>
      <c r="N59" s="866"/>
      <c r="O59" s="866"/>
      <c r="P59" s="868"/>
      <c r="Q59" s="868"/>
      <c r="R59" s="467" t="s">
        <v>451</v>
      </c>
      <c r="S59" s="467">
        <v>253</v>
      </c>
      <c r="T59" s="478">
        <f t="shared" si="12"/>
        <v>6896</v>
      </c>
      <c r="U59" s="492">
        <f t="shared" si="13"/>
        <v>0</v>
      </c>
      <c r="V59" s="442"/>
    </row>
    <row r="60" spans="1:22" x14ac:dyDescent="0.25">
      <c r="A60" s="815"/>
      <c r="B60" s="815"/>
      <c r="C60" s="143">
        <v>21.5</v>
      </c>
      <c r="D60" s="143">
        <v>0</v>
      </c>
      <c r="E60" s="116">
        <f t="shared" si="10"/>
        <v>43</v>
      </c>
      <c r="F60" s="462" t="s">
        <v>13</v>
      </c>
      <c r="G60" s="461">
        <v>251</v>
      </c>
      <c r="H60" s="475">
        <f>'1461'!H60</f>
        <v>1173</v>
      </c>
      <c r="I60" s="101">
        <f t="shared" si="11"/>
        <v>50439</v>
      </c>
      <c r="N60" s="866"/>
      <c r="O60" s="866"/>
      <c r="P60" s="868"/>
      <c r="Q60" s="868"/>
      <c r="R60" s="40" t="s">
        <v>13</v>
      </c>
      <c r="S60" s="467">
        <v>251</v>
      </c>
      <c r="T60" s="478">
        <f t="shared" si="12"/>
        <v>1173</v>
      </c>
      <c r="U60" s="492">
        <f t="shared" si="13"/>
        <v>0</v>
      </c>
      <c r="V60" s="442"/>
    </row>
    <row r="61" spans="1:22" x14ac:dyDescent="0.25">
      <c r="A61" s="815"/>
      <c r="B61" s="815"/>
      <c r="C61" s="143">
        <v>9</v>
      </c>
      <c r="D61" s="143">
        <v>0</v>
      </c>
      <c r="E61" s="116">
        <f t="shared" si="10"/>
        <v>18</v>
      </c>
      <c r="F61" s="462" t="s">
        <v>13</v>
      </c>
      <c r="G61" s="461">
        <v>252</v>
      </c>
      <c r="H61" s="475">
        <f>'1461'!H61</f>
        <v>3506</v>
      </c>
      <c r="I61" s="101">
        <f t="shared" si="11"/>
        <v>63108</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45</v>
      </c>
      <c r="D66" s="97">
        <f>SUM(D57:D65)</f>
        <v>0</v>
      </c>
      <c r="E66" s="97">
        <f>SUM(E57:E65)</f>
        <v>90</v>
      </c>
      <c r="F66" s="816" t="s">
        <v>460</v>
      </c>
      <c r="G66" s="816"/>
      <c r="H66" s="816"/>
      <c r="I66" s="97">
        <f>SUM(I57:I65)</f>
        <v>168423</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961.82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4.4669999999999996E-3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1013.3655</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4.424E-3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961.82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5.1669999999999997E-3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961.82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4.4730000000000004E-3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961.82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5.1749999999999999E-3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4.4730000000000004E-3</v>
      </c>
      <c r="I85" s="101">
        <f>ROUND(F85*H85,2)</f>
        <v>211531.51</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4.4669999999999996E-3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5.1749999999999999E-3</v>
      </c>
      <c r="I90" s="101">
        <f>ROUND(F90*H90,2)</f>
        <v>99193.78</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5.1669999999999997E-3</v>
      </c>
      <c r="I92" s="101">
        <f t="shared" ref="I92:I96" si="14">ROUND(F92*H92,2)</f>
        <v>59662.78</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4.424E-3</v>
      </c>
      <c r="I94" s="101">
        <f t="shared" si="14"/>
        <v>1189243.21</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4.424E-3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4.4669999999999996E-3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471.37860000000001</v>
      </c>
      <c r="D104" s="822"/>
      <c r="E104" s="46">
        <f>H8</f>
        <v>1.0355000000000001</v>
      </c>
      <c r="F104" s="302">
        <f>'1461'!F104</f>
        <v>958.42</v>
      </c>
      <c r="G104" s="39" t="s">
        <v>12</v>
      </c>
      <c r="H104" s="101">
        <f>ROUND(C104*E104*F104,2)</f>
        <v>467816.82</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541.98689999999999</v>
      </c>
      <c r="D105" s="822"/>
      <c r="E105" s="46">
        <f>H8</f>
        <v>1.0355000000000001</v>
      </c>
      <c r="F105" s="302">
        <f>'1461'!F105</f>
        <v>915.09</v>
      </c>
      <c r="G105" s="39" t="s">
        <v>12</v>
      </c>
      <c r="H105" s="101">
        <f>ROUND(C105*E105*F105,2)</f>
        <v>513573.61</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1013.3655</v>
      </c>
      <c r="D107" s="812"/>
      <c r="E107" s="123"/>
      <c r="F107" s="123"/>
      <c r="G107" s="123"/>
      <c r="H107" s="124" t="s">
        <v>100</v>
      </c>
      <c r="I107" s="101">
        <f>IF(A1=75,0,H106+H105+H104)</f>
        <v>981390.42999999993</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179</v>
      </c>
      <c r="D113" s="143">
        <v>192</v>
      </c>
      <c r="E113" s="116">
        <f>(C113+D113)/2</f>
        <v>185.5</v>
      </c>
      <c r="F113" s="126" t="s">
        <v>30</v>
      </c>
      <c r="G113" s="303">
        <f>'1461'!G113</f>
        <v>617</v>
      </c>
      <c r="I113" s="101">
        <f>ROUND(G113*E113,2)</f>
        <v>114453.5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8461582.1600000001</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8055105.1500000004</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7"/>
      <c r="H135" s="139">
        <f>IF(H133=1,I133,I130)</f>
        <v>8055105.1500000004</v>
      </c>
      <c r="I135" s="94">
        <f>ROUND(IF(E30=0,0,IF(E30&gt;250,-(((250/E30)*H135)*IF(G135="H",0.02,0.05)),IF(G135="H",-0.02*H135,-0.05*H135))),2)</f>
        <v>-104685.71</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8356896.4500000002</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81" t="s">
        <v>241</v>
      </c>
      <c r="B139" s="69"/>
      <c r="C139" s="140"/>
      <c r="D139" s="69"/>
      <c r="F139" s="69"/>
      <c r="G139" s="69"/>
      <c r="H139" s="65"/>
      <c r="I139" s="271">
        <f>-'Cumulative Payments'!Q109</f>
        <v>-686342</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7670554.4500000002</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697323.13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298069.55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R103:U103"/>
    <mergeCell ref="C104:D104"/>
    <mergeCell ref="P104:Q104"/>
    <mergeCell ref="A87:C87"/>
    <mergeCell ref="N87:P87"/>
    <mergeCell ref="A94:C94"/>
    <mergeCell ref="A88:C88"/>
    <mergeCell ref="N94:P94"/>
    <mergeCell ref="A78:B78"/>
    <mergeCell ref="D78:G78"/>
    <mergeCell ref="N78:O78"/>
    <mergeCell ref="Q78:S78"/>
    <mergeCell ref="N79:S79"/>
    <mergeCell ref="A81:B81"/>
    <mergeCell ref="D81:G81"/>
    <mergeCell ref="N81:O81"/>
    <mergeCell ref="Q81:S81"/>
    <mergeCell ref="A75:B75"/>
    <mergeCell ref="D75:G75"/>
    <mergeCell ref="N75:O75"/>
    <mergeCell ref="Q75:S75"/>
    <mergeCell ref="T75:U75"/>
    <mergeCell ref="N76:S76"/>
    <mergeCell ref="T76:U76"/>
    <mergeCell ref="N70:S70"/>
    <mergeCell ref="T70:U70"/>
    <mergeCell ref="A72:B72"/>
    <mergeCell ref="D72:G72"/>
    <mergeCell ref="N72:O72"/>
    <mergeCell ref="Q72:S72"/>
    <mergeCell ref="T72:U72"/>
    <mergeCell ref="N73:S73"/>
    <mergeCell ref="T73:U73"/>
    <mergeCell ref="A43:B43"/>
    <mergeCell ref="N43:O43"/>
    <mergeCell ref="P43:T43"/>
    <mergeCell ref="N44:Q44"/>
    <mergeCell ref="S44:T44"/>
    <mergeCell ref="N46:Q46"/>
    <mergeCell ref="S46:T46"/>
    <mergeCell ref="A69:B69"/>
    <mergeCell ref="D69:G69"/>
    <mergeCell ref="N69:O69"/>
    <mergeCell ref="Q69:S69"/>
    <mergeCell ref="T69:U69"/>
    <mergeCell ref="P61:Q61"/>
    <mergeCell ref="P62:Q62"/>
    <mergeCell ref="P63:Q63"/>
    <mergeCell ref="P64:Q64"/>
    <mergeCell ref="P65:Q65"/>
    <mergeCell ref="P66:Q66"/>
    <mergeCell ref="R66:T66"/>
    <mergeCell ref="A57:B65"/>
    <mergeCell ref="A40:B40"/>
    <mergeCell ref="N40:O40"/>
    <mergeCell ref="P40:T40"/>
    <mergeCell ref="A41:B41"/>
    <mergeCell ref="N41:O41"/>
    <mergeCell ref="P41:T41"/>
    <mergeCell ref="A42:B42"/>
    <mergeCell ref="N42:O42"/>
    <mergeCell ref="P42:T42"/>
    <mergeCell ref="A37:B37"/>
    <mergeCell ref="N37:O37"/>
    <mergeCell ref="P37:T37"/>
    <mergeCell ref="A38:B38"/>
    <mergeCell ref="N38:O38"/>
    <mergeCell ref="P38:T38"/>
    <mergeCell ref="F34:H37"/>
    <mergeCell ref="A39:B39"/>
    <mergeCell ref="N39:O39"/>
    <mergeCell ref="P39:T39"/>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6:B16"/>
    <mergeCell ref="F16:G16"/>
    <mergeCell ref="A18:B18"/>
    <mergeCell ref="F18:G18"/>
    <mergeCell ref="N18:O18"/>
    <mergeCell ref="P18:Q18"/>
    <mergeCell ref="R18:S18"/>
    <mergeCell ref="A15:B15"/>
    <mergeCell ref="F15:G15"/>
    <mergeCell ref="N15:O15"/>
    <mergeCell ref="P15:Q15"/>
    <mergeCell ref="R15:S15"/>
    <mergeCell ref="A14:B14"/>
    <mergeCell ref="F14:G14"/>
    <mergeCell ref="N16:O16"/>
    <mergeCell ref="P16:Q16"/>
    <mergeCell ref="R16:S16"/>
    <mergeCell ref="A13:B13"/>
    <mergeCell ref="F13:G13"/>
    <mergeCell ref="N13:O13"/>
    <mergeCell ref="P13:Q13"/>
    <mergeCell ref="R13:S13"/>
    <mergeCell ref="A12:B12"/>
    <mergeCell ref="F12:G12"/>
    <mergeCell ref="N14:O14"/>
    <mergeCell ref="P14:Q14"/>
    <mergeCell ref="R14:S14"/>
    <mergeCell ref="A4:B4"/>
    <mergeCell ref="C4:E4"/>
    <mergeCell ref="N4:O4"/>
    <mergeCell ref="P4:Q4"/>
    <mergeCell ref="B1:I1"/>
    <mergeCell ref="N7:U7"/>
    <mergeCell ref="N8:O8"/>
    <mergeCell ref="P8:Q8"/>
    <mergeCell ref="R8:S8"/>
    <mergeCell ref="T8:U8"/>
    <mergeCell ref="A7:I7"/>
    <mergeCell ref="T81:U81"/>
    <mergeCell ref="N82:S82"/>
    <mergeCell ref="T82:U82"/>
    <mergeCell ref="N88:P88"/>
    <mergeCell ref="O1:U1"/>
    <mergeCell ref="N2:U2"/>
    <mergeCell ref="N3:U3"/>
    <mergeCell ref="F11:G11"/>
    <mergeCell ref="R11:S11"/>
    <mergeCell ref="N12:O12"/>
    <mergeCell ref="P12:Q12"/>
    <mergeCell ref="R12:S12"/>
    <mergeCell ref="T9:U9"/>
    <mergeCell ref="N35:T35"/>
    <mergeCell ref="T78:U78"/>
    <mergeCell ref="T79:U79"/>
    <mergeCell ref="F66:H66"/>
    <mergeCell ref="N57:O65"/>
    <mergeCell ref="P56:Q56"/>
    <mergeCell ref="P57:Q57"/>
    <mergeCell ref="P58:Q58"/>
    <mergeCell ref="P59:Q59"/>
    <mergeCell ref="P60:Q60"/>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4">
    <tabColor rgb="FFFFCCCC"/>
  </sheetPr>
  <dimension ref="A1:V221"/>
  <sheetViews>
    <sheetView workbookViewId="0">
      <selection activeCell="J2" sqref="J2"/>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243</v>
      </c>
      <c r="B2" s="2"/>
      <c r="C2" s="2"/>
      <c r="D2" s="2"/>
      <c r="E2" s="2"/>
      <c r="F2" s="2"/>
      <c r="G2" s="2"/>
      <c r="H2" s="2"/>
      <c r="I2" s="2"/>
      <c r="J2" s="765" t="s">
        <v>569</v>
      </c>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0</v>
      </c>
      <c r="D30" s="94">
        <f>SUM(D14:D29)</f>
        <v>0</v>
      </c>
      <c r="E30" s="94">
        <f>SUM(E14:E29)</f>
        <v>0</v>
      </c>
      <c r="F30" s="808"/>
      <c r="G30" s="808"/>
      <c r="H30" s="99">
        <f>SUM(H14:H29)</f>
        <v>0</v>
      </c>
      <c r="I30" s="94">
        <f>SUM(I14:I29)</f>
        <v>0</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0</v>
      </c>
      <c r="F46" s="34"/>
      <c r="G46" s="106"/>
      <c r="H46" s="107" t="s">
        <v>98</v>
      </c>
      <c r="I46" s="94">
        <f>SUM(I44,I30)</f>
        <v>0</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c r="G51" s="109" t="s">
        <v>6</v>
      </c>
      <c r="H51" s="420">
        <f>'1461'!H51</f>
        <v>6.6699999999999995E-2</v>
      </c>
      <c r="I51" s="101">
        <v>0</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c r="G52" s="109" t="s">
        <v>6</v>
      </c>
      <c r="H52" s="420">
        <f>'1461'!H52</f>
        <v>5.4000000000000003E-3</v>
      </c>
      <c r="I52" s="101">
        <v>0</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0</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0</v>
      </c>
      <c r="D66" s="97">
        <f>SUM(D57:D65)</f>
        <v>0</v>
      </c>
      <c r="E66" s="97">
        <f>SUM(E57:E65)</f>
        <v>0</v>
      </c>
      <c r="F66" s="816" t="s">
        <v>460</v>
      </c>
      <c r="G66" s="816"/>
      <c r="H66" s="816"/>
      <c r="I66" s="97">
        <f>SUM(I57:I65)</f>
        <v>0</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0</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0</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0</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0</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0</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0</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0</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0</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0</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0</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0</v>
      </c>
      <c r="I85" s="101">
        <f>ROUND(F85*H85,2)</f>
        <v>0</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0</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0</v>
      </c>
      <c r="I90" s="101">
        <f>ROUND(F90*H90,2)</f>
        <v>0</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0</v>
      </c>
      <c r="I92" s="101">
        <f t="shared" ref="I92:I96" si="14">ROUND(F92*H92,2)</f>
        <v>0</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0</v>
      </c>
      <c r="I94" s="101">
        <f t="shared" si="14"/>
        <v>0</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0</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0</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0</v>
      </c>
      <c r="D107" s="812"/>
      <c r="E107" s="123"/>
      <c r="F107" s="123"/>
      <c r="G107" s="123"/>
      <c r="H107" s="124" t="s">
        <v>100</v>
      </c>
      <c r="I107" s="101">
        <f>IF(A1=75,0,H106+H105+H104)</f>
        <v>0</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c r="D113" s="143"/>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v>0</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v>0</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0</v>
      </c>
      <c r="I135" s="94">
        <f>ROUND(IF(E30=0,0,IF(E30&gt;250,-(((250/E30)*H135)*IF(G135="H",0.02,0.05)),IF(G135="H",-0.02*H135,-0.05*H135))),2)</f>
        <v>0</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0</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v>0</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v>0</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0</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N155:U155"/>
    <mergeCell ref="N135:U135"/>
    <mergeCell ref="N126:P126"/>
    <mergeCell ref="A126:C126"/>
    <mergeCell ref="F126:H126"/>
    <mergeCell ref="N130:T130"/>
    <mergeCell ref="A128:H128"/>
    <mergeCell ref="A132:G132"/>
    <mergeCell ref="N136:U136"/>
    <mergeCell ref="A133:G133"/>
    <mergeCell ref="R123:S123"/>
    <mergeCell ref="A124:B124"/>
    <mergeCell ref="N124:O124"/>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C104:D104"/>
    <mergeCell ref="P104:Q104"/>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T78:U78"/>
    <mergeCell ref="A96:C96"/>
    <mergeCell ref="N96:P96"/>
    <mergeCell ref="C102:D102"/>
    <mergeCell ref="C103:D103"/>
    <mergeCell ref="N103:O103"/>
    <mergeCell ref="P103:Q103"/>
    <mergeCell ref="N88:P88"/>
    <mergeCell ref="R103:U103"/>
    <mergeCell ref="N73:S73"/>
    <mergeCell ref="R66:T66"/>
    <mergeCell ref="A94:C94"/>
    <mergeCell ref="A88:C88"/>
    <mergeCell ref="N94:P94"/>
    <mergeCell ref="N79:S79"/>
    <mergeCell ref="T79:U79"/>
    <mergeCell ref="A81:B81"/>
    <mergeCell ref="D81:G81"/>
    <mergeCell ref="N81:O81"/>
    <mergeCell ref="Q81:S81"/>
    <mergeCell ref="T81:U81"/>
    <mergeCell ref="A87:C87"/>
    <mergeCell ref="N87:P87"/>
    <mergeCell ref="N82:S82"/>
    <mergeCell ref="T82:U82"/>
    <mergeCell ref="T73:U73"/>
    <mergeCell ref="T75:U75"/>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A69:B69"/>
    <mergeCell ref="D69:G69"/>
    <mergeCell ref="N69:O69"/>
    <mergeCell ref="Q69:S69"/>
    <mergeCell ref="T69:U69"/>
    <mergeCell ref="N70:S70"/>
    <mergeCell ref="T70:U70"/>
    <mergeCell ref="A72:B72"/>
    <mergeCell ref="D72:G72"/>
    <mergeCell ref="N72:O72"/>
    <mergeCell ref="Q72:S72"/>
    <mergeCell ref="T72:U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6:B26"/>
    <mergeCell ref="A28:B28"/>
    <mergeCell ref="F28:G28"/>
    <mergeCell ref="N28:O28"/>
    <mergeCell ref="P28:Q28"/>
    <mergeCell ref="R28:S28"/>
    <mergeCell ref="A25:B25"/>
    <mergeCell ref="F25:G25"/>
    <mergeCell ref="N25:O25"/>
    <mergeCell ref="P25:Q25"/>
    <mergeCell ref="R25:S25"/>
    <mergeCell ref="A24:B24"/>
    <mergeCell ref="F24:G24"/>
    <mergeCell ref="F26:G26"/>
    <mergeCell ref="N26:O26"/>
    <mergeCell ref="P26:Q26"/>
    <mergeCell ref="R26:S26"/>
    <mergeCell ref="A23:B23"/>
    <mergeCell ref="F23:G23"/>
    <mergeCell ref="N23:O23"/>
    <mergeCell ref="P23:Q23"/>
    <mergeCell ref="R23:S23"/>
    <mergeCell ref="A22:B22"/>
    <mergeCell ref="F22:G22"/>
    <mergeCell ref="N24:O24"/>
    <mergeCell ref="P24:Q24"/>
    <mergeCell ref="R24:S24"/>
    <mergeCell ref="A21:B21"/>
    <mergeCell ref="F21:G21"/>
    <mergeCell ref="N21:O21"/>
    <mergeCell ref="P21:Q21"/>
    <mergeCell ref="R21:S21"/>
    <mergeCell ref="A20:B20"/>
    <mergeCell ref="F20:G20"/>
    <mergeCell ref="N22:O22"/>
    <mergeCell ref="P22:Q22"/>
    <mergeCell ref="R22:S22"/>
    <mergeCell ref="A19:B19"/>
    <mergeCell ref="F19:G19"/>
    <mergeCell ref="N19:O19"/>
    <mergeCell ref="P19:Q19"/>
    <mergeCell ref="R19:S19"/>
    <mergeCell ref="A18:B18"/>
    <mergeCell ref="F18:G18"/>
    <mergeCell ref="N20:O20"/>
    <mergeCell ref="P20:Q20"/>
    <mergeCell ref="R20:S20"/>
    <mergeCell ref="A17:B17"/>
    <mergeCell ref="F17:G17"/>
    <mergeCell ref="N17:O17"/>
    <mergeCell ref="P17:Q17"/>
    <mergeCell ref="R17:S17"/>
    <mergeCell ref="A16:B16"/>
    <mergeCell ref="F16:G16"/>
    <mergeCell ref="N18:O18"/>
    <mergeCell ref="P18:Q18"/>
    <mergeCell ref="R18:S18"/>
    <mergeCell ref="A15:B15"/>
    <mergeCell ref="F15:G15"/>
    <mergeCell ref="N15:O15"/>
    <mergeCell ref="P15:Q15"/>
    <mergeCell ref="R15:S15"/>
    <mergeCell ref="A14:B14"/>
    <mergeCell ref="F14:G14"/>
    <mergeCell ref="N16:O16"/>
    <mergeCell ref="P16:Q16"/>
    <mergeCell ref="R16:S16"/>
    <mergeCell ref="F13:G13"/>
    <mergeCell ref="N13:O13"/>
    <mergeCell ref="P13:Q13"/>
    <mergeCell ref="R13:S13"/>
    <mergeCell ref="A12:B12"/>
    <mergeCell ref="F12:G12"/>
    <mergeCell ref="N14:O14"/>
    <mergeCell ref="P14:Q14"/>
    <mergeCell ref="R14:S14"/>
    <mergeCell ref="A13:B13"/>
    <mergeCell ref="O1:U1"/>
    <mergeCell ref="N2:U2"/>
    <mergeCell ref="N3:U3"/>
    <mergeCell ref="A4:B4"/>
    <mergeCell ref="C4:E4"/>
    <mergeCell ref="N4:O4"/>
    <mergeCell ref="P4:Q4"/>
    <mergeCell ref="B1:I1"/>
    <mergeCell ref="N7:U7"/>
    <mergeCell ref="N8:O8"/>
    <mergeCell ref="P8:Q8"/>
    <mergeCell ref="R8:S8"/>
    <mergeCell ref="T8:U8"/>
    <mergeCell ref="F11:G11"/>
    <mergeCell ref="R11:S11"/>
    <mergeCell ref="A7:I7"/>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5">
    <tabColor rgb="FFFFCCCC"/>
  </sheetPr>
  <dimension ref="A1:V221"/>
  <sheetViews>
    <sheetView topLeftCell="A108" workbookViewId="0">
      <selection activeCell="K94" sqref="K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235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49.24</v>
      </c>
      <c r="D18" s="143">
        <v>0</v>
      </c>
      <c r="E18" s="116">
        <f t="shared" si="1"/>
        <v>98.48</v>
      </c>
      <c r="F18" s="850">
        <f>'1461'!F18:G18</f>
        <v>0.97199999999999998</v>
      </c>
      <c r="G18" s="850"/>
      <c r="H18" s="80">
        <f t="shared" si="2"/>
        <v>95.7226</v>
      </c>
      <c r="I18" s="101">
        <f t="shared" si="3"/>
        <v>532536.15</v>
      </c>
      <c r="N18" s="851" t="s">
        <v>24</v>
      </c>
      <c r="O18" s="851"/>
      <c r="P18" s="848">
        <f t="shared" si="0"/>
        <v>0</v>
      </c>
      <c r="Q18" s="848"/>
      <c r="R18" s="852">
        <v>1</v>
      </c>
      <c r="S18" s="852"/>
      <c r="T18" s="95">
        <f t="shared" si="4"/>
        <v>0</v>
      </c>
      <c r="U18" s="491">
        <f t="shared" si="5"/>
        <v>0</v>
      </c>
    </row>
    <row r="19" spans="1:21" x14ac:dyDescent="0.25">
      <c r="A19" s="804" t="s">
        <v>25</v>
      </c>
      <c r="B19" s="804"/>
      <c r="C19" s="143">
        <v>10.88</v>
      </c>
      <c r="D19" s="143">
        <v>0</v>
      </c>
      <c r="E19" s="116">
        <f t="shared" si="1"/>
        <v>21.76</v>
      </c>
      <c r="F19" s="850">
        <f>'1461'!F19:G19</f>
        <v>0.97199999999999998</v>
      </c>
      <c r="G19" s="850"/>
      <c r="H19" s="80">
        <f t="shared" si="2"/>
        <v>21.150700000000001</v>
      </c>
      <c r="I19" s="101">
        <f t="shared" si="3"/>
        <v>117668.27</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4.0199999999999996</v>
      </c>
      <c r="D28" s="143">
        <v>0</v>
      </c>
      <c r="E28" s="116">
        <f t="shared" si="1"/>
        <v>8.0399999999999991</v>
      </c>
      <c r="F28" s="850">
        <f>'1461'!F28:G28</f>
        <v>1.165</v>
      </c>
      <c r="G28" s="850"/>
      <c r="H28" s="80">
        <f t="shared" si="2"/>
        <v>9.3666</v>
      </c>
      <c r="I28" s="101">
        <f t="shared" si="3"/>
        <v>52109.46</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64.14</v>
      </c>
      <c r="D30" s="94">
        <f>SUM(D14:D29)</f>
        <v>0</v>
      </c>
      <c r="E30" s="94">
        <f>SUM(E14:E29)</f>
        <v>128.28</v>
      </c>
      <c r="F30" s="808"/>
      <c r="G30" s="808"/>
      <c r="H30" s="99">
        <f>SUM(H14:H29)</f>
        <v>126.23990000000001</v>
      </c>
      <c r="I30" s="94">
        <f>SUM(I14:I29)</f>
        <v>702313.88</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126.23990000000001</v>
      </c>
      <c r="F46" s="34"/>
      <c r="G46" s="106"/>
      <c r="H46" s="107" t="s">
        <v>98</v>
      </c>
      <c r="I46" s="94">
        <f>SUM(I44,I30)</f>
        <v>702313.88</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702313.88</v>
      </c>
      <c r="G51" s="109" t="s">
        <v>6</v>
      </c>
      <c r="H51" s="420">
        <f>'1461'!H51</f>
        <v>6.6699999999999995E-2</v>
      </c>
      <c r="I51" s="101">
        <f>ROUND(F51*H51,2)</f>
        <v>46844.34</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702313.88</v>
      </c>
      <c r="G52" s="109" t="s">
        <v>6</v>
      </c>
      <c r="H52" s="420">
        <f>'1461'!H52</f>
        <v>5.4000000000000003E-3</v>
      </c>
      <c r="I52" s="101">
        <f>ROUND(F52*H52,2)</f>
        <v>3792.49</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50636.829999999994</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9.3699999999999992</v>
      </c>
      <c r="D63" s="143">
        <v>0</v>
      </c>
      <c r="E63" s="116">
        <f t="shared" si="10"/>
        <v>18.739999999999998</v>
      </c>
      <c r="F63" s="462" t="s">
        <v>14</v>
      </c>
      <c r="G63" s="461">
        <v>251</v>
      </c>
      <c r="H63" s="475">
        <f>'1461'!H63</f>
        <v>835</v>
      </c>
      <c r="I63" s="101">
        <f t="shared" si="11"/>
        <v>15647.9</v>
      </c>
      <c r="N63" s="866"/>
      <c r="O63" s="866"/>
      <c r="P63" s="868"/>
      <c r="Q63" s="868"/>
      <c r="R63" s="40" t="s">
        <v>14</v>
      </c>
      <c r="S63" s="467">
        <v>251</v>
      </c>
      <c r="T63" s="478">
        <f t="shared" si="12"/>
        <v>835</v>
      </c>
      <c r="U63" s="492">
        <f t="shared" si="13"/>
        <v>0</v>
      </c>
      <c r="V63" s="442"/>
    </row>
    <row r="64" spans="1:22" x14ac:dyDescent="0.25">
      <c r="A64" s="815"/>
      <c r="B64" s="815"/>
      <c r="C64" s="143">
        <v>0.5</v>
      </c>
      <c r="D64" s="143">
        <v>0</v>
      </c>
      <c r="E64" s="116">
        <f t="shared" si="10"/>
        <v>1</v>
      </c>
      <c r="F64" s="462" t="s">
        <v>14</v>
      </c>
      <c r="G64" s="461">
        <v>252</v>
      </c>
      <c r="H64" s="475">
        <f>'1461'!H64</f>
        <v>3168</v>
      </c>
      <c r="I64" s="101">
        <f t="shared" si="11"/>
        <v>3168</v>
      </c>
      <c r="N64" s="866"/>
      <c r="O64" s="866"/>
      <c r="P64" s="868"/>
      <c r="Q64" s="868"/>
      <c r="R64" s="40" t="s">
        <v>14</v>
      </c>
      <c r="S64" s="467">
        <v>252</v>
      </c>
      <c r="T64" s="478">
        <f t="shared" si="12"/>
        <v>3168</v>
      </c>
      <c r="U64" s="492">
        <f t="shared" si="13"/>
        <v>0</v>
      </c>
      <c r="V64" s="442"/>
    </row>
    <row r="65" spans="1:22" ht="16.5" thickBot="1" x14ac:dyDescent="0.3">
      <c r="A65" s="815"/>
      <c r="B65" s="815"/>
      <c r="C65" s="143">
        <v>1.01</v>
      </c>
      <c r="D65" s="143">
        <v>0</v>
      </c>
      <c r="E65" s="116">
        <f t="shared" si="10"/>
        <v>2.02</v>
      </c>
      <c r="F65" s="462" t="s">
        <v>14</v>
      </c>
      <c r="G65" s="461">
        <v>253</v>
      </c>
      <c r="H65" s="475">
        <f>'1461'!H65</f>
        <v>6685</v>
      </c>
      <c r="I65" s="101">
        <f t="shared" si="11"/>
        <v>13503.7</v>
      </c>
      <c r="N65" s="866"/>
      <c r="O65" s="866"/>
      <c r="P65" s="874"/>
      <c r="Q65" s="874"/>
      <c r="R65" s="40" t="s">
        <v>14</v>
      </c>
      <c r="S65" s="467">
        <v>253</v>
      </c>
      <c r="T65" s="478">
        <f t="shared" si="12"/>
        <v>6685</v>
      </c>
      <c r="U65" s="493">
        <f t="shared" si="13"/>
        <v>0</v>
      </c>
      <c r="V65" s="442"/>
    </row>
    <row r="66" spans="1:22" ht="16.5" thickBot="1" x14ac:dyDescent="0.3">
      <c r="A66" s="458"/>
      <c r="C66" s="97">
        <f>SUM(C57:C65)</f>
        <v>10.879999999999999</v>
      </c>
      <c r="D66" s="97">
        <f>SUM(D57:D65)</f>
        <v>0</v>
      </c>
      <c r="E66" s="97">
        <f>SUM(E57:E65)</f>
        <v>21.759999999999998</v>
      </c>
      <c r="F66" s="816" t="s">
        <v>460</v>
      </c>
      <c r="G66" s="816"/>
      <c r="H66" s="816"/>
      <c r="I66" s="97">
        <f>SUM(I57:I65)</f>
        <v>32319.600000000002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128.28</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5.9599999999999996E-4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126.23990000000001</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5.5099999999999995E-4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128.28</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6.8900000000000005E-4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128.28</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5.9699999999999998E-4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128.28</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6.8999999999999997E-4</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5.9699999999999998E-4</v>
      </c>
      <c r="I85" s="101">
        <f>ROUND(F85*H85,2)</f>
        <v>28232.58</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5.9599999999999996E-4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6.8999999999999997E-4</v>
      </c>
      <c r="I90" s="101">
        <f>ROUND(F90*H90,2)</f>
        <v>13225.84</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6.8900000000000005E-4</v>
      </c>
      <c r="I92" s="101">
        <f t="shared" ref="I92:I96" si="14">ROUND(F92*H92,2)</f>
        <v>7955.81</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5.5099999999999995E-4</v>
      </c>
      <c r="I94" s="101">
        <f t="shared" si="14"/>
        <v>148117.76999999999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5.5099999999999995E-4</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5.9599999999999996E-4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126.23990000000001</v>
      </c>
      <c r="D106" s="822"/>
      <c r="E106" s="46">
        <f>H8</f>
        <v>1.0355000000000001</v>
      </c>
      <c r="F106" s="302">
        <f>'1461'!F106</f>
        <v>917.3</v>
      </c>
      <c r="G106" s="39" t="s">
        <v>12</v>
      </c>
      <c r="H106" s="94">
        <f>ROUND(C106*E106*F106,2)</f>
        <v>119910.76</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126.23990000000001</v>
      </c>
      <c r="D107" s="812"/>
      <c r="E107" s="123"/>
      <c r="F107" s="123"/>
      <c r="G107" s="123"/>
      <c r="H107" s="124" t="s">
        <v>100</v>
      </c>
      <c r="I107" s="101">
        <f>IF(A1=75,0,H106+H105+H104)</f>
        <v>119910.76</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22</v>
      </c>
      <c r="D113" s="143">
        <v>22</v>
      </c>
      <c r="E113" s="144">
        <f>(C113+D113)/2</f>
        <v>22</v>
      </c>
      <c r="F113" s="126" t="s">
        <v>30</v>
      </c>
      <c r="G113" s="303">
        <f>'1461'!G113</f>
        <v>617</v>
      </c>
      <c r="I113" s="101">
        <f>ROUND(G113*E113,2)</f>
        <v>13574</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1065650.24</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1015013.41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1015013.41</v>
      </c>
      <c r="I135" s="94">
        <f>ROUND(IF(E30=0,0,IF(E30&gt;250,-(((250/E30)*H135)*IF(G135="H",0.02,0.05)),IF(G135="H",-0.02*H135,-0.05*H135))),2)</f>
        <v>-50750.67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1014899.57</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Payments'!Q111</f>
        <v>-83555.86</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931343.71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84667.61</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5:U135"/>
    <mergeCell ref="N126:P126"/>
    <mergeCell ref="A126:C126"/>
    <mergeCell ref="F126:H126"/>
    <mergeCell ref="N130:T130"/>
    <mergeCell ref="A128:H128"/>
    <mergeCell ref="A132:G132"/>
    <mergeCell ref="A12:B12"/>
    <mergeCell ref="A133:G133"/>
    <mergeCell ref="N136:U136"/>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A113:B113"/>
    <mergeCell ref="N113:O113"/>
    <mergeCell ref="P113:R113"/>
    <mergeCell ref="A114:B114"/>
    <mergeCell ref="N114:O114"/>
    <mergeCell ref="P114:R114"/>
    <mergeCell ref="C105:D105"/>
    <mergeCell ref="P105:Q105"/>
    <mergeCell ref="C106:D106"/>
    <mergeCell ref="P106:Q106"/>
    <mergeCell ref="C107:D107"/>
    <mergeCell ref="P107:T107"/>
    <mergeCell ref="A108:I108"/>
    <mergeCell ref="N108:U108"/>
    <mergeCell ref="F110:I110"/>
    <mergeCell ref="N110:P110"/>
    <mergeCell ref="Q110:T110"/>
    <mergeCell ref="A96:C96"/>
    <mergeCell ref="N96:P96"/>
    <mergeCell ref="C102:D102"/>
    <mergeCell ref="C103:D103"/>
    <mergeCell ref="N103:O103"/>
    <mergeCell ref="P103:Q103"/>
    <mergeCell ref="N88:P88"/>
    <mergeCell ref="R103:U103"/>
    <mergeCell ref="C104:D104"/>
    <mergeCell ref="P104:Q104"/>
    <mergeCell ref="A94:C94"/>
    <mergeCell ref="A88:C88"/>
    <mergeCell ref="N94:P94"/>
    <mergeCell ref="N73:S73"/>
    <mergeCell ref="T73:U73"/>
    <mergeCell ref="N76:S76"/>
    <mergeCell ref="T76:U76"/>
    <mergeCell ref="A78:B78"/>
    <mergeCell ref="D78:G78"/>
    <mergeCell ref="N78:O78"/>
    <mergeCell ref="Q78:S78"/>
    <mergeCell ref="T78:U78"/>
    <mergeCell ref="N79:S79"/>
    <mergeCell ref="T79:U79"/>
    <mergeCell ref="A81:B81"/>
    <mergeCell ref="D81:G81"/>
    <mergeCell ref="N81:O81"/>
    <mergeCell ref="Q81:S81"/>
    <mergeCell ref="T81:U81"/>
    <mergeCell ref="N82:S82"/>
    <mergeCell ref="A87:C87"/>
    <mergeCell ref="N87:P87"/>
    <mergeCell ref="T82:U82"/>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A30:B30"/>
    <mergeCell ref="F30:G30"/>
    <mergeCell ref="N30:O30"/>
    <mergeCell ref="P30:Q30"/>
    <mergeCell ref="R30:S30"/>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A20:B20"/>
    <mergeCell ref="F20:G20"/>
    <mergeCell ref="N20:O20"/>
    <mergeCell ref="P20:Q20"/>
    <mergeCell ref="R20:S20"/>
    <mergeCell ref="A21:B21"/>
    <mergeCell ref="F21:G21"/>
    <mergeCell ref="N21:O21"/>
    <mergeCell ref="P21:Q21"/>
    <mergeCell ref="R21:S21"/>
    <mergeCell ref="A18:B18"/>
    <mergeCell ref="F18:G18"/>
    <mergeCell ref="N18:O18"/>
    <mergeCell ref="P18:Q18"/>
    <mergeCell ref="R18:S18"/>
    <mergeCell ref="A19:B19"/>
    <mergeCell ref="F19:G19"/>
    <mergeCell ref="N19:O19"/>
    <mergeCell ref="P19:Q19"/>
    <mergeCell ref="R19:S19"/>
    <mergeCell ref="A16:B16"/>
    <mergeCell ref="F16:G16"/>
    <mergeCell ref="N16:O16"/>
    <mergeCell ref="P16:Q16"/>
    <mergeCell ref="R16:S16"/>
    <mergeCell ref="A17:B17"/>
    <mergeCell ref="F17:G17"/>
    <mergeCell ref="N17:O17"/>
    <mergeCell ref="P17:Q17"/>
    <mergeCell ref="R17:S17"/>
    <mergeCell ref="A14:B14"/>
    <mergeCell ref="F14:G14"/>
    <mergeCell ref="N14:O14"/>
    <mergeCell ref="P14:Q14"/>
    <mergeCell ref="R14:S14"/>
    <mergeCell ref="A13:B13"/>
    <mergeCell ref="A15:B15"/>
    <mergeCell ref="F15:G15"/>
    <mergeCell ref="N15:O15"/>
    <mergeCell ref="P15:Q15"/>
    <mergeCell ref="R15:S15"/>
    <mergeCell ref="B1:I1"/>
    <mergeCell ref="O1:U1"/>
    <mergeCell ref="N2:U2"/>
    <mergeCell ref="N3:U3"/>
    <mergeCell ref="A4:B4"/>
    <mergeCell ref="C4:E4"/>
    <mergeCell ref="N4:O4"/>
    <mergeCell ref="P4:Q4"/>
    <mergeCell ref="A7:I7"/>
    <mergeCell ref="N7:U7"/>
    <mergeCell ref="N132:T132"/>
    <mergeCell ref="N133:T133"/>
    <mergeCell ref="N8:O8"/>
    <mergeCell ref="P8:Q8"/>
    <mergeCell ref="R8:S8"/>
    <mergeCell ref="T8:U8"/>
    <mergeCell ref="F11:G11"/>
    <mergeCell ref="R11:S11"/>
    <mergeCell ref="F12:G12"/>
    <mergeCell ref="N12:O12"/>
    <mergeCell ref="P12:Q12"/>
    <mergeCell ref="R12:S12"/>
    <mergeCell ref="T9:U9"/>
    <mergeCell ref="F13:G13"/>
    <mergeCell ref="N13:O13"/>
    <mergeCell ref="P13:Q13"/>
    <mergeCell ref="R13:S13"/>
    <mergeCell ref="P60:Q60"/>
    <mergeCell ref="P61:Q61"/>
    <mergeCell ref="P62:Q62"/>
    <mergeCell ref="P63:Q63"/>
    <mergeCell ref="P64:Q64"/>
    <mergeCell ref="T72:U72"/>
    <mergeCell ref="R66:T66"/>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tabColor rgb="FFFFCCCC"/>
  </sheetPr>
  <dimension ref="A1:V221"/>
  <sheetViews>
    <sheetView topLeftCell="A111"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272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108.43</v>
      </c>
      <c r="D16" s="143">
        <v>0</v>
      </c>
      <c r="E16" s="116">
        <f t="shared" si="1"/>
        <v>216.86</v>
      </c>
      <c r="F16" s="850">
        <f>'1461'!F16:G16</f>
        <v>1</v>
      </c>
      <c r="G16" s="850"/>
      <c r="H16" s="80">
        <f t="shared" si="2"/>
        <v>216.86</v>
      </c>
      <c r="I16" s="101">
        <f t="shared" si="3"/>
        <v>1206463.1599999999</v>
      </c>
      <c r="N16" s="851" t="s">
        <v>22</v>
      </c>
      <c r="O16" s="851"/>
      <c r="P16" s="848">
        <f t="shared" si="0"/>
        <v>0</v>
      </c>
      <c r="Q16" s="848"/>
      <c r="R16" s="852">
        <v>1</v>
      </c>
      <c r="S16" s="852"/>
      <c r="T16" s="95">
        <f t="shared" si="4"/>
        <v>0</v>
      </c>
      <c r="U16" s="491">
        <f t="shared" si="5"/>
        <v>0</v>
      </c>
    </row>
    <row r="17" spans="1:21" x14ac:dyDescent="0.25">
      <c r="A17" s="804" t="s">
        <v>23</v>
      </c>
      <c r="B17" s="804"/>
      <c r="C17" s="143">
        <v>17.010000000000002</v>
      </c>
      <c r="D17" s="143">
        <v>0</v>
      </c>
      <c r="E17" s="116">
        <f t="shared" si="1"/>
        <v>34.020000000000003</v>
      </c>
      <c r="F17" s="850">
        <f>'1461'!F17:G17</f>
        <v>1</v>
      </c>
      <c r="G17" s="850"/>
      <c r="H17" s="80">
        <f t="shared" si="2"/>
        <v>34.020000000000003</v>
      </c>
      <c r="I17" s="101">
        <f t="shared" si="3"/>
        <v>189264.39</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13.57</v>
      </c>
      <c r="D27" s="143">
        <v>0</v>
      </c>
      <c r="E27" s="116">
        <f t="shared" si="1"/>
        <v>27.14</v>
      </c>
      <c r="F27" s="850">
        <f>'1461'!F27:G27</f>
        <v>1.165</v>
      </c>
      <c r="G27" s="850"/>
      <c r="H27" s="80">
        <f t="shared" si="2"/>
        <v>31.618099999999998</v>
      </c>
      <c r="I27" s="101">
        <f t="shared" si="3"/>
        <v>175901.84</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139.01000000000002</v>
      </c>
      <c r="D30" s="94">
        <f>SUM(D14:D29)</f>
        <v>0</v>
      </c>
      <c r="E30" s="94">
        <f>SUM(E14:E29)</f>
        <v>278.02000000000004</v>
      </c>
      <c r="F30" s="808"/>
      <c r="G30" s="808"/>
      <c r="H30" s="99">
        <f>SUM(H14:H29)</f>
        <v>282.49810000000002</v>
      </c>
      <c r="I30" s="94">
        <f>SUM(I14:I29)</f>
        <v>1571629.39</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282.49810000000002</v>
      </c>
      <c r="F46" s="34"/>
      <c r="G46" s="106"/>
      <c r="H46" s="107" t="s">
        <v>98</v>
      </c>
      <c r="I46" s="94">
        <f>SUM(I44,I30)</f>
        <v>1571629.39</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1571629.39</v>
      </c>
      <c r="G51" s="109" t="s">
        <v>6</v>
      </c>
      <c r="H51" s="420">
        <f>'1461'!H51</f>
        <v>6.6699999999999995E-2</v>
      </c>
      <c r="I51" s="101">
        <f>ROUND(F51*H51,2)</f>
        <v>104827.68</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1571629.39</v>
      </c>
      <c r="G52" s="109" t="s">
        <v>6</v>
      </c>
      <c r="H52" s="420">
        <f>'1461'!H52</f>
        <v>5.4000000000000003E-3</v>
      </c>
      <c r="I52" s="101">
        <f>ROUND(F52*H52,2)</f>
        <v>8486.7999999999993</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113314.48</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16.510000000000002</v>
      </c>
      <c r="D60" s="143">
        <v>0</v>
      </c>
      <c r="E60" s="116">
        <f t="shared" si="10"/>
        <v>33.020000000000003</v>
      </c>
      <c r="F60" s="462" t="s">
        <v>13</v>
      </c>
      <c r="G60" s="461">
        <v>251</v>
      </c>
      <c r="H60" s="475">
        <f>'1461'!H60</f>
        <v>1173</v>
      </c>
      <c r="I60" s="101">
        <f t="shared" si="11"/>
        <v>38732.46</v>
      </c>
      <c r="N60" s="866"/>
      <c r="O60" s="866"/>
      <c r="P60" s="868"/>
      <c r="Q60" s="868"/>
      <c r="R60" s="40" t="s">
        <v>13</v>
      </c>
      <c r="S60" s="467">
        <v>251</v>
      </c>
      <c r="T60" s="478">
        <f t="shared" si="12"/>
        <v>1173</v>
      </c>
      <c r="U60" s="492">
        <f t="shared" si="13"/>
        <v>0</v>
      </c>
      <c r="V60" s="442"/>
    </row>
    <row r="61" spans="1:22" x14ac:dyDescent="0.25">
      <c r="A61" s="815"/>
      <c r="B61" s="815"/>
      <c r="C61" s="143">
        <v>0.5</v>
      </c>
      <c r="D61" s="143">
        <v>0</v>
      </c>
      <c r="E61" s="116">
        <f t="shared" si="10"/>
        <v>1</v>
      </c>
      <c r="F61" s="462" t="s">
        <v>13</v>
      </c>
      <c r="G61" s="461">
        <v>252</v>
      </c>
      <c r="H61" s="475">
        <f>'1461'!H61</f>
        <v>3506</v>
      </c>
      <c r="I61" s="101">
        <f t="shared" si="11"/>
        <v>3506</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17.010000000000002</v>
      </c>
      <c r="D66" s="97">
        <f>SUM(D57:D65)</f>
        <v>0</v>
      </c>
      <c r="E66" s="97">
        <f>SUM(E57:E65)</f>
        <v>34.020000000000003</v>
      </c>
      <c r="F66" s="816" t="s">
        <v>460</v>
      </c>
      <c r="G66" s="816"/>
      <c r="H66" s="816"/>
      <c r="I66" s="97">
        <f>SUM(I57:I65)</f>
        <v>42238.46</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278.02000000000004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1.291E-3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282.49810000000002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1.2329999999999999E-3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278.02000000000004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1.493E-3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278.02000000000004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1.2930000000000001E-3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278.02000000000004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1.4959999999999999E-3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1.2930000000000001E-3</v>
      </c>
      <c r="I85" s="101">
        <f>ROUND(F85*H85,2)</f>
        <v>61146.94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1.291E-3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1.4959999999999999E-3</v>
      </c>
      <c r="I90" s="101">
        <f>ROUND(F90*H90,2)</f>
        <v>28675.15</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1.493E-3</v>
      </c>
      <c r="I92" s="101">
        <f t="shared" ref="I92:I96" si="14">ROUND(F92*H92,2)</f>
        <v>17239.509999999998</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1.2329999999999999E-3</v>
      </c>
      <c r="I94" s="101">
        <f t="shared" si="14"/>
        <v>331450.46999999997</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1.2329999999999999E-3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1.291E-3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282.49810000000002</v>
      </c>
      <c r="D105" s="822"/>
      <c r="E105" s="46">
        <f>H8</f>
        <v>1.0355000000000001</v>
      </c>
      <c r="F105" s="302">
        <f>'1461'!F105</f>
        <v>915.09</v>
      </c>
      <c r="G105" s="39" t="s">
        <v>12</v>
      </c>
      <c r="H105" s="101">
        <f>ROUND(C105*E105*F105,2)</f>
        <v>267688.33</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282.49810000000002</v>
      </c>
      <c r="D107" s="812"/>
      <c r="E107" s="123"/>
      <c r="F107" s="123"/>
      <c r="G107" s="123"/>
      <c r="H107" s="124" t="s">
        <v>100</v>
      </c>
      <c r="I107" s="101">
        <f>IF(A1=75,0,H106+H105+H104)</f>
        <v>267688.33</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2320068.2499999995</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2206753.7699999996</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548"/>
      <c r="O131" s="548"/>
      <c r="P131" s="548"/>
      <c r="Q131" s="548"/>
      <c r="R131" s="548"/>
      <c r="S131" s="548"/>
      <c r="T131" s="54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2206753.7699999996</v>
      </c>
      <c r="I135" s="94">
        <f>ROUND(IF(E30=0,0,IF(E30&gt;250,-(((250/E30)*H135)*IF(G135="H",0.02,0.05)),IF(G135="H",-0.02*H135,-0.05*H135))),2)</f>
        <v>-99217.4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2220850.8499999996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Payments'!Q112</f>
        <v>-182095.15</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2038755.6999999997</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185341.43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11120.29</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A126:C126"/>
    <mergeCell ref="F126:H126"/>
    <mergeCell ref="N130:T130"/>
    <mergeCell ref="A128:H128"/>
    <mergeCell ref="A132:G132"/>
    <mergeCell ref="N135:U135"/>
    <mergeCell ref="A133:G133"/>
    <mergeCell ref="N136:U136"/>
    <mergeCell ref="N126:P126"/>
    <mergeCell ref="N132:T132"/>
    <mergeCell ref="N133:T133"/>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tabColor rgb="FFFFCCCC"/>
  </sheetPr>
  <dimension ref="A1:V221"/>
  <sheetViews>
    <sheetView topLeftCell="A108"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271</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0"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81.99</v>
      </c>
      <c r="D14" s="141">
        <v>0</v>
      </c>
      <c r="E14" s="187">
        <f>IF(D$30=0,C14*2,C14+D14)</f>
        <v>163.98</v>
      </c>
      <c r="F14" s="846">
        <f>'1461'!F14:G14</f>
        <v>1.1080000000000001</v>
      </c>
      <c r="G14" s="846"/>
      <c r="H14" s="145">
        <f>ROUND(E14*F14,4)</f>
        <v>181.68979999999999</v>
      </c>
      <c r="I14" s="111">
        <f>ROUND(ROUND(ROUND(H14*$C$8,4)*($H$8),2)*(MAX($H$9,1)),2)</f>
        <v>1010799.82</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11</v>
      </c>
      <c r="D15" s="143">
        <v>0</v>
      </c>
      <c r="E15" s="116">
        <f t="shared" ref="E15:E29" si="1">IF(D$30=0,C15*2,C15+D15)</f>
        <v>22</v>
      </c>
      <c r="F15" s="850">
        <f>'1461'!F15:G15</f>
        <v>1.1080000000000001</v>
      </c>
      <c r="G15" s="850"/>
      <c r="H15" s="80">
        <f t="shared" ref="H15:H29" si="2">ROUND(E15*F15,4)</f>
        <v>24.376000000000001</v>
      </c>
      <c r="I15" s="101">
        <f t="shared" ref="I15:I29" si="3">ROUND(ROUND(ROUND(H15*$C$8,4)*($H$8),2)*(MAX($H$9,1)),2)</f>
        <v>135611.67000000001</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48.71</v>
      </c>
      <c r="D16" s="143">
        <v>0</v>
      </c>
      <c r="E16" s="116">
        <f t="shared" si="1"/>
        <v>97.42</v>
      </c>
      <c r="F16" s="850">
        <f>'1461'!F16:G16</f>
        <v>1</v>
      </c>
      <c r="G16" s="850"/>
      <c r="H16" s="80">
        <f t="shared" si="2"/>
        <v>97.42</v>
      </c>
      <c r="I16" s="101">
        <f t="shared" si="3"/>
        <v>541979.35</v>
      </c>
      <c r="N16" s="851" t="s">
        <v>22</v>
      </c>
      <c r="O16" s="851"/>
      <c r="P16" s="848">
        <f t="shared" si="0"/>
        <v>0</v>
      </c>
      <c r="Q16" s="848"/>
      <c r="R16" s="852">
        <v>1</v>
      </c>
      <c r="S16" s="852"/>
      <c r="T16" s="95">
        <f t="shared" si="4"/>
        <v>0</v>
      </c>
      <c r="U16" s="491">
        <f t="shared" si="5"/>
        <v>0</v>
      </c>
    </row>
    <row r="17" spans="1:21" x14ac:dyDescent="0.25">
      <c r="A17" s="804" t="s">
        <v>23</v>
      </c>
      <c r="B17" s="804"/>
      <c r="C17" s="143">
        <v>5</v>
      </c>
      <c r="D17" s="143">
        <v>0</v>
      </c>
      <c r="E17" s="116">
        <f t="shared" si="1"/>
        <v>10</v>
      </c>
      <c r="F17" s="850">
        <f>'1461'!F17:G17</f>
        <v>1</v>
      </c>
      <c r="G17" s="850"/>
      <c r="H17" s="80">
        <f t="shared" si="2"/>
        <v>10</v>
      </c>
      <c r="I17" s="101">
        <f t="shared" si="3"/>
        <v>55633.27</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43.75</v>
      </c>
      <c r="D26" s="143">
        <v>0</v>
      </c>
      <c r="E26" s="116">
        <f t="shared" si="1"/>
        <v>87.5</v>
      </c>
      <c r="F26" s="850">
        <f>'1461'!F26:G26</f>
        <v>1.165</v>
      </c>
      <c r="G26" s="850"/>
      <c r="H26" s="80">
        <f t="shared" si="2"/>
        <v>101.9375</v>
      </c>
      <c r="I26" s="101">
        <f t="shared" si="3"/>
        <v>567111.68000000005</v>
      </c>
      <c r="N26" s="851" t="s">
        <v>85</v>
      </c>
      <c r="O26" s="851"/>
      <c r="P26" s="848">
        <f t="shared" si="0"/>
        <v>0</v>
      </c>
      <c r="Q26" s="848"/>
      <c r="R26" s="852">
        <v>1</v>
      </c>
      <c r="S26" s="852"/>
      <c r="T26" s="95">
        <f t="shared" si="4"/>
        <v>0</v>
      </c>
      <c r="U26" s="491">
        <f t="shared" si="5"/>
        <v>0</v>
      </c>
    </row>
    <row r="27" spans="1:21" x14ac:dyDescent="0.25">
      <c r="A27" s="804" t="s">
        <v>86</v>
      </c>
      <c r="B27" s="804"/>
      <c r="C27" s="143">
        <v>9.02</v>
      </c>
      <c r="D27" s="143">
        <v>0</v>
      </c>
      <c r="E27" s="116">
        <f t="shared" si="1"/>
        <v>18.04</v>
      </c>
      <c r="F27" s="850">
        <f>'1461'!F27:G27</f>
        <v>1.165</v>
      </c>
      <c r="G27" s="850"/>
      <c r="H27" s="80">
        <f t="shared" si="2"/>
        <v>21.0166</v>
      </c>
      <c r="I27" s="101">
        <f t="shared" si="3"/>
        <v>116922.22</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199.47</v>
      </c>
      <c r="D30" s="94">
        <f>SUM(D14:D29)</f>
        <v>0</v>
      </c>
      <c r="E30" s="94">
        <f>SUM(E14:E29)</f>
        <v>398.94</v>
      </c>
      <c r="F30" s="808"/>
      <c r="G30" s="808"/>
      <c r="H30" s="99">
        <f>SUM(H14:H29)</f>
        <v>436.43989999999997</v>
      </c>
      <c r="I30" s="94">
        <f>SUM(I14:I29)</f>
        <v>2428058.0100000002</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436.43989999999997</v>
      </c>
      <c r="F46" s="34"/>
      <c r="G46" s="106"/>
      <c r="H46" s="107" t="s">
        <v>98</v>
      </c>
      <c r="I46" s="94">
        <f>SUM(I44,I30)</f>
        <v>2428058.0100000002</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2428058.0100000002</v>
      </c>
      <c r="G51" s="109" t="s">
        <v>6</v>
      </c>
      <c r="H51" s="420">
        <f>'1461'!H51</f>
        <v>6.6699999999999995E-2</v>
      </c>
      <c r="I51" s="101">
        <f>ROUND(F51*H51,2)</f>
        <v>161951.47</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2428058.0100000002</v>
      </c>
      <c r="G52" s="109" t="s">
        <v>6</v>
      </c>
      <c r="H52" s="420">
        <f>'1461'!H52</f>
        <v>5.4000000000000003E-3</v>
      </c>
      <c r="I52" s="101">
        <f>ROUND(F52*H52,2)</f>
        <v>13111.51</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175062.98</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9</v>
      </c>
      <c r="D57" s="143">
        <v>0</v>
      </c>
      <c r="E57" s="116">
        <f t="shared" ref="E57:E65" si="10">IF(D$66=0,C57*2,C57+D57)</f>
        <v>18</v>
      </c>
      <c r="F57" s="461" t="s">
        <v>451</v>
      </c>
      <c r="G57" s="461">
        <v>251</v>
      </c>
      <c r="H57" s="475">
        <f>'1461'!H57</f>
        <v>1047</v>
      </c>
      <c r="I57" s="101">
        <f>ROUND(E57*H57,2)</f>
        <v>18846</v>
      </c>
      <c r="N57" s="865" t="s">
        <v>459</v>
      </c>
      <c r="O57" s="865"/>
      <c r="P57" s="867"/>
      <c r="Q57" s="867"/>
      <c r="R57" s="467" t="s">
        <v>451</v>
      </c>
      <c r="S57" s="467">
        <v>251</v>
      </c>
      <c r="T57" s="478">
        <f>H57</f>
        <v>1047</v>
      </c>
      <c r="U57" s="492">
        <f>ROUND(P57*T57,2)</f>
        <v>0</v>
      </c>
      <c r="V57" s="442"/>
    </row>
    <row r="58" spans="1:22" x14ac:dyDescent="0.25">
      <c r="A58" s="815"/>
      <c r="B58" s="815"/>
      <c r="C58" s="143">
        <v>2</v>
      </c>
      <c r="D58" s="143">
        <v>0</v>
      </c>
      <c r="E58" s="116">
        <f t="shared" si="10"/>
        <v>4</v>
      </c>
      <c r="F58" s="461" t="s">
        <v>451</v>
      </c>
      <c r="G58" s="461">
        <v>252</v>
      </c>
      <c r="H58" s="475">
        <f>'1461'!H58</f>
        <v>3380</v>
      </c>
      <c r="I58" s="101">
        <f t="shared" ref="I58:I65" si="11">ROUND(E58*H58,2)</f>
        <v>13520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4</v>
      </c>
      <c r="D60" s="143">
        <v>0</v>
      </c>
      <c r="E60" s="116">
        <f t="shared" si="10"/>
        <v>8</v>
      </c>
      <c r="F60" s="462" t="s">
        <v>13</v>
      </c>
      <c r="G60" s="461">
        <v>251</v>
      </c>
      <c r="H60" s="475">
        <f>'1461'!H60</f>
        <v>1173</v>
      </c>
      <c r="I60" s="101">
        <f t="shared" si="11"/>
        <v>9384</v>
      </c>
      <c r="N60" s="866"/>
      <c r="O60" s="866"/>
      <c r="P60" s="868"/>
      <c r="Q60" s="868"/>
      <c r="R60" s="40" t="s">
        <v>13</v>
      </c>
      <c r="S60" s="467">
        <v>251</v>
      </c>
      <c r="T60" s="478">
        <f t="shared" si="12"/>
        <v>1173</v>
      </c>
      <c r="U60" s="492">
        <f t="shared" si="13"/>
        <v>0</v>
      </c>
      <c r="V60" s="442"/>
    </row>
    <row r="61" spans="1:22" x14ac:dyDescent="0.25">
      <c r="A61" s="815"/>
      <c r="B61" s="815"/>
      <c r="C61" s="143">
        <v>1</v>
      </c>
      <c r="D61" s="143">
        <v>0</v>
      </c>
      <c r="E61" s="116">
        <f t="shared" si="10"/>
        <v>2</v>
      </c>
      <c r="F61" s="462" t="s">
        <v>13</v>
      </c>
      <c r="G61" s="461">
        <v>252</v>
      </c>
      <c r="H61" s="475">
        <f>'1461'!H61</f>
        <v>3506</v>
      </c>
      <c r="I61" s="101">
        <f t="shared" si="11"/>
        <v>7012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16</v>
      </c>
      <c r="D66" s="97">
        <f>SUM(D57:D65)</f>
        <v>0</v>
      </c>
      <c r="E66" s="97">
        <f>SUM(E57:E65)</f>
        <v>32</v>
      </c>
      <c r="F66" s="816" t="s">
        <v>460</v>
      </c>
      <c r="G66" s="816"/>
      <c r="H66" s="816"/>
      <c r="I66" s="97">
        <f>SUM(I57:I65)</f>
        <v>48762</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398.94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1.853E-3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436.43989999999997</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1.905E-3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398.94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2.1429999999999999E-3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398.94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1.8550000000000001E-3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398.94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2.147E-3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1.8550000000000001E-3</v>
      </c>
      <c r="I85" s="101">
        <f>ROUND(F85*H85,2)</f>
        <v>87724.34</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1.853E-3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2.147E-3</v>
      </c>
      <c r="I90" s="101">
        <f>ROUND(F90*H90,2)</f>
        <v>41153.440000000002</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2.1429999999999999E-3</v>
      </c>
      <c r="I92" s="101">
        <f t="shared" ref="I92:I96" si="14">ROUND(F92*H92,2)</f>
        <v>24744.98</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1.905E-3</v>
      </c>
      <c r="I94" s="101">
        <f t="shared" si="14"/>
        <v>512095.01</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1.905E-3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1.853E-3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308.00329999999997</v>
      </c>
      <c r="D104" s="822"/>
      <c r="E104" s="46">
        <f>H8</f>
        <v>1.0355000000000001</v>
      </c>
      <c r="F104" s="302">
        <f>'1461'!F104</f>
        <v>958.42</v>
      </c>
      <c r="G104" s="39" t="s">
        <v>12</v>
      </c>
      <c r="H104" s="101">
        <f>ROUND(C104*E104*F104,2)</f>
        <v>305676</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128.4366</v>
      </c>
      <c r="D105" s="822"/>
      <c r="E105" s="46">
        <f>H8</f>
        <v>1.0355000000000001</v>
      </c>
      <c r="F105" s="302">
        <f>'1461'!F105</f>
        <v>915.09</v>
      </c>
      <c r="G105" s="39" t="s">
        <v>12</v>
      </c>
      <c r="H105" s="101">
        <f>ROUND(C105*E105*F105,2)</f>
        <v>121703.4</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436.43989999999997</v>
      </c>
      <c r="D107" s="812"/>
      <c r="E107" s="123"/>
      <c r="F107" s="123"/>
      <c r="G107" s="123"/>
      <c r="H107" s="124" t="s">
        <v>100</v>
      </c>
      <c r="I107" s="101">
        <f>IF(A1=75,0,H106+H105+H104)</f>
        <v>427379.4</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0"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1</v>
      </c>
      <c r="E113" s="144">
        <f>(C113+D113)/2</f>
        <v>0.5</v>
      </c>
      <c r="F113" s="126" t="s">
        <v>30</v>
      </c>
      <c r="G113" s="303">
        <f>'1461'!G113</f>
        <v>617</v>
      </c>
      <c r="I113" s="101">
        <f>ROUND(G113*E113,2)</f>
        <v>308.5</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3570225.68</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3395162.7</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3395162.7</v>
      </c>
      <c r="I135" s="94">
        <f>ROUND(IF(E30=0,0,IF(E30&gt;250,-(((250/E30)*H135)*IF(G135="H",0.02,0.05)),IF(G135="H",-0.02*H135,-0.05*H135))),2)</f>
        <v>-106380.74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3463844.94</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Payments'!Q113</f>
        <v>-285991.09999999998</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3177853.84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288895.8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63377.4</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A126:C126"/>
    <mergeCell ref="F126:H126"/>
    <mergeCell ref="N130:T130"/>
    <mergeCell ref="A128:H128"/>
    <mergeCell ref="A132:G132"/>
    <mergeCell ref="N135:U135"/>
    <mergeCell ref="A133:G133"/>
    <mergeCell ref="N136:U136"/>
    <mergeCell ref="N126:P126"/>
    <mergeCell ref="N132:T132"/>
    <mergeCell ref="N133:T133"/>
    <mergeCell ref="A123:B123"/>
    <mergeCell ref="F123:G123"/>
    <mergeCell ref="N123:O123"/>
    <mergeCell ref="P123:Q123"/>
    <mergeCell ref="R123:S123"/>
    <mergeCell ref="A124:B124"/>
    <mergeCell ref="N124:O124"/>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94:C94"/>
    <mergeCell ref="A88:C88"/>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tabColor rgb="FFFFCCCC"/>
  </sheetPr>
  <dimension ref="A1:V221"/>
  <sheetViews>
    <sheetView topLeftCell="A111"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265</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1.5</v>
      </c>
      <c r="D15" s="143">
        <v>0</v>
      </c>
      <c r="E15" s="116">
        <f t="shared" ref="E15:E29" si="1">IF(D$30=0,C15*2,C15+D15)</f>
        <v>3</v>
      </c>
      <c r="F15" s="850">
        <f>'1461'!F15:G15</f>
        <v>1.1080000000000001</v>
      </c>
      <c r="G15" s="850"/>
      <c r="H15" s="80">
        <f t="shared" ref="H15:H29" si="2">ROUND(E15*F15,4)</f>
        <v>3.3239999999999998</v>
      </c>
      <c r="I15" s="101">
        <f t="shared" ref="I15:I29" si="3">ROUND(ROUND(ROUND(H15*$C$8,4)*($H$8),2)*(MAX($H$9,1)),2)</f>
        <v>18492.5</v>
      </c>
      <c r="J15" s="65" t="str">
        <f>IF(ROUND(E15,2)=ROUND(SUM(E57:E59),2)," ","CHECK PK-3 LINES BELOW")</f>
        <v xml:space="preserve"> </v>
      </c>
      <c r="N15" s="851" t="s">
        <v>21</v>
      </c>
      <c r="O15" s="851"/>
      <c r="P15" s="848">
        <f t="shared" si="0"/>
        <v>3</v>
      </c>
      <c r="Q15" s="848"/>
      <c r="R15" s="852">
        <v>1</v>
      </c>
      <c r="S15" s="852"/>
      <c r="T15" s="95">
        <f t="shared" ref="T15:T29" si="4">ROUND(P15*R15,4)</f>
        <v>3</v>
      </c>
      <c r="U15" s="491">
        <f t="shared" ref="U15:U29" si="5">ROUND(ROUND(ROUND(T15*$C$8,4)*($H$8),2)*(MAX($H$9,1)),2)</f>
        <v>16689.98</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1</v>
      </c>
      <c r="D17" s="143">
        <v>0</v>
      </c>
      <c r="E17" s="116">
        <f t="shared" si="1"/>
        <v>2</v>
      </c>
      <c r="F17" s="850">
        <f>'1461'!F17:G17</f>
        <v>1</v>
      </c>
      <c r="G17" s="850"/>
      <c r="H17" s="80">
        <f t="shared" si="2"/>
        <v>2</v>
      </c>
      <c r="I17" s="101">
        <f t="shared" si="3"/>
        <v>11126.65</v>
      </c>
      <c r="J17" s="65" t="str">
        <f>IF(ROUND(E17,2)=ROUND(SUM(E60:E62),2)," ","CHECK 4-8 LINES BELOW")</f>
        <v xml:space="preserve"> </v>
      </c>
      <c r="N17" s="851" t="s">
        <v>23</v>
      </c>
      <c r="O17" s="851"/>
      <c r="P17" s="848">
        <f t="shared" si="0"/>
        <v>2</v>
      </c>
      <c r="Q17" s="848"/>
      <c r="R17" s="852">
        <v>1</v>
      </c>
      <c r="S17" s="852"/>
      <c r="T17" s="95">
        <f t="shared" si="4"/>
        <v>2</v>
      </c>
      <c r="U17" s="491">
        <f t="shared" si="5"/>
        <v>11126.65</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12</v>
      </c>
      <c r="D20" s="143">
        <v>0</v>
      </c>
      <c r="E20" s="116">
        <f t="shared" si="1"/>
        <v>24</v>
      </c>
      <c r="F20" s="850">
        <f>'1461'!F20:G20</f>
        <v>3.609</v>
      </c>
      <c r="G20" s="850"/>
      <c r="H20" s="80">
        <f t="shared" si="2"/>
        <v>86.616</v>
      </c>
      <c r="I20" s="101">
        <f t="shared" si="3"/>
        <v>481873.16</v>
      </c>
      <c r="N20" s="851" t="s">
        <v>79</v>
      </c>
      <c r="O20" s="851"/>
      <c r="P20" s="848">
        <f t="shared" si="0"/>
        <v>24</v>
      </c>
      <c r="Q20" s="848"/>
      <c r="R20" s="852">
        <v>1</v>
      </c>
      <c r="S20" s="852"/>
      <c r="T20" s="95">
        <f t="shared" si="4"/>
        <v>24</v>
      </c>
      <c r="U20" s="491">
        <f t="shared" si="5"/>
        <v>133519.85999999999</v>
      </c>
    </row>
    <row r="21" spans="1:21" x14ac:dyDescent="0.25">
      <c r="A21" s="804" t="s">
        <v>80</v>
      </c>
      <c r="B21" s="804"/>
      <c r="C21" s="143">
        <v>7</v>
      </c>
      <c r="D21" s="143">
        <v>0</v>
      </c>
      <c r="E21" s="116">
        <f t="shared" si="1"/>
        <v>14</v>
      </c>
      <c r="F21" s="850">
        <f>'1461'!F21:G21</f>
        <v>3.609</v>
      </c>
      <c r="G21" s="850"/>
      <c r="H21" s="80">
        <f t="shared" si="2"/>
        <v>50.526000000000003</v>
      </c>
      <c r="I21" s="101">
        <f t="shared" si="3"/>
        <v>281092.68</v>
      </c>
      <c r="N21" s="851" t="s">
        <v>80</v>
      </c>
      <c r="O21" s="851"/>
      <c r="P21" s="848">
        <f t="shared" si="0"/>
        <v>14</v>
      </c>
      <c r="Q21" s="848"/>
      <c r="R21" s="852">
        <v>1</v>
      </c>
      <c r="S21" s="852"/>
      <c r="T21" s="95">
        <f t="shared" si="4"/>
        <v>14</v>
      </c>
      <c r="U21" s="491">
        <f t="shared" si="5"/>
        <v>77886.58</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16.5</v>
      </c>
      <c r="D23" s="143">
        <v>0</v>
      </c>
      <c r="E23" s="116">
        <f t="shared" si="1"/>
        <v>33</v>
      </c>
      <c r="F23" s="850">
        <f>'1461'!F23:G23</f>
        <v>6.0640000000000001</v>
      </c>
      <c r="G23" s="850"/>
      <c r="H23" s="80">
        <f t="shared" si="2"/>
        <v>200.11199999999999</v>
      </c>
      <c r="I23" s="101">
        <f t="shared" si="3"/>
        <v>1113288.55</v>
      </c>
      <c r="N23" s="851" t="s">
        <v>82</v>
      </c>
      <c r="O23" s="851"/>
      <c r="P23" s="848">
        <f t="shared" si="0"/>
        <v>33</v>
      </c>
      <c r="Q23" s="848"/>
      <c r="R23" s="852">
        <v>1</v>
      </c>
      <c r="S23" s="852"/>
      <c r="T23" s="95">
        <f t="shared" si="4"/>
        <v>33</v>
      </c>
      <c r="U23" s="491">
        <f t="shared" si="5"/>
        <v>183589.8</v>
      </c>
    </row>
    <row r="24" spans="1:21" x14ac:dyDescent="0.25">
      <c r="A24" s="804" t="s">
        <v>83</v>
      </c>
      <c r="B24" s="804"/>
      <c r="C24" s="143">
        <v>12.5</v>
      </c>
      <c r="D24" s="143">
        <v>0</v>
      </c>
      <c r="E24" s="116">
        <f t="shared" si="1"/>
        <v>25</v>
      </c>
      <c r="F24" s="850">
        <f>'1461'!F24:G24</f>
        <v>6.0640000000000001</v>
      </c>
      <c r="G24" s="850"/>
      <c r="H24" s="80">
        <f t="shared" si="2"/>
        <v>151.6</v>
      </c>
      <c r="I24" s="101">
        <f t="shared" si="3"/>
        <v>843400.42</v>
      </c>
      <c r="N24" s="851" t="s">
        <v>83</v>
      </c>
      <c r="O24" s="851"/>
      <c r="P24" s="848">
        <f t="shared" si="0"/>
        <v>25</v>
      </c>
      <c r="Q24" s="848"/>
      <c r="R24" s="852">
        <v>1</v>
      </c>
      <c r="S24" s="852"/>
      <c r="T24" s="95">
        <f t="shared" si="4"/>
        <v>25</v>
      </c>
      <c r="U24" s="491">
        <f t="shared" si="5"/>
        <v>139083.18</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50.5</v>
      </c>
      <c r="D30" s="94">
        <f>SUM(D14:D29)</f>
        <v>0</v>
      </c>
      <c r="E30" s="94">
        <f>SUM(E14:E29)</f>
        <v>101</v>
      </c>
      <c r="F30" s="808"/>
      <c r="G30" s="808"/>
      <c r="H30" s="99">
        <f>SUM(H14:H29)</f>
        <v>494.178</v>
      </c>
      <c r="I30" s="94">
        <f>SUM(I14:I29)</f>
        <v>2749273.96</v>
      </c>
      <c r="N30" s="855" t="s">
        <v>5</v>
      </c>
      <c r="O30" s="855"/>
      <c r="P30" s="856">
        <f>SUM(P14:P29)</f>
        <v>101</v>
      </c>
      <c r="Q30" s="856"/>
      <c r="R30" s="857"/>
      <c r="S30" s="857"/>
      <c r="T30" s="100">
        <f>SUM(T14:T29)</f>
        <v>101</v>
      </c>
      <c r="U30" s="491">
        <f>SUM(U14:U29)</f>
        <v>561896.05000000005</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494.178</v>
      </c>
      <c r="F46" s="34"/>
      <c r="G46" s="106"/>
      <c r="H46" s="107" t="s">
        <v>98</v>
      </c>
      <c r="I46" s="94">
        <f>SUM(I44,I30)</f>
        <v>2749273.96</v>
      </c>
      <c r="N46" s="863" t="s">
        <v>44</v>
      </c>
      <c r="O46" s="863"/>
      <c r="P46" s="863"/>
      <c r="Q46" s="863"/>
      <c r="R46" s="35">
        <f>R44+T30</f>
        <v>101</v>
      </c>
      <c r="S46" s="857" t="s">
        <v>42</v>
      </c>
      <c r="T46" s="857"/>
      <c r="U46" s="108">
        <f>SUM(U44,U30)</f>
        <v>561896.05000000005</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2749273.96</v>
      </c>
      <c r="G51" s="109" t="s">
        <v>6</v>
      </c>
      <c r="H51" s="420">
        <f>'1461'!H51</f>
        <v>6.6699999999999995E-2</v>
      </c>
      <c r="I51" s="101">
        <f>ROUND(F51*H51,2)</f>
        <v>183376.57</v>
      </c>
      <c r="N51" s="425"/>
      <c r="O51" s="426" t="s">
        <v>556</v>
      </c>
      <c r="P51" s="28"/>
      <c r="Q51" s="44" t="s">
        <v>414</v>
      </c>
      <c r="R51" s="427">
        <f>U30</f>
        <v>561896.05000000005</v>
      </c>
      <c r="S51" s="428" t="s">
        <v>6</v>
      </c>
      <c r="T51" s="429">
        <v>6.6699999999999995E-2</v>
      </c>
      <c r="U51" s="421">
        <f>ROUND(R51*T51,2)</f>
        <v>37478.47</v>
      </c>
    </row>
    <row r="52" spans="1:22" x14ac:dyDescent="0.25">
      <c r="A52" s="26"/>
      <c r="B52" s="575" t="str">
        <f>'1461'!B52</f>
        <v>Growth Portion (0.54% of Conference Funding)</v>
      </c>
      <c r="C52" s="26"/>
      <c r="D52" s="26"/>
      <c r="E52" s="43" t="s">
        <v>414</v>
      </c>
      <c r="F52" s="419">
        <v>2749273.96</v>
      </c>
      <c r="G52" s="109" t="s">
        <v>6</v>
      </c>
      <c r="H52" s="420">
        <f>'1461'!H52</f>
        <v>5.4000000000000003E-3</v>
      </c>
      <c r="I52" s="101">
        <f>ROUND(F52*H52,2)</f>
        <v>14846.08</v>
      </c>
      <c r="N52" s="28"/>
      <c r="O52" s="757" t="s">
        <v>560</v>
      </c>
      <c r="P52" s="28"/>
      <c r="Q52" s="44" t="s">
        <v>414</v>
      </c>
      <c r="R52" s="427">
        <f>U30</f>
        <v>561896.05000000005</v>
      </c>
      <c r="S52" s="428" t="s">
        <v>6</v>
      </c>
      <c r="T52" s="429">
        <v>5.4000000000000003E-3</v>
      </c>
      <c r="U52" s="430">
        <f>ROUND(R52*T52,2)</f>
        <v>3034.24</v>
      </c>
    </row>
    <row r="53" spans="1:22" x14ac:dyDescent="0.25">
      <c r="A53" s="26"/>
      <c r="B53" s="81" t="s">
        <v>415</v>
      </c>
      <c r="C53" s="26"/>
      <c r="D53" s="26"/>
      <c r="E53" s="43"/>
      <c r="F53" s="419"/>
      <c r="G53" s="109"/>
      <c r="H53" s="420"/>
      <c r="I53" s="97">
        <f>SUM(I51:I52)</f>
        <v>198222.65</v>
      </c>
      <c r="N53" s="28"/>
      <c r="O53" s="402" t="s">
        <v>415</v>
      </c>
      <c r="P53" s="28"/>
      <c r="Q53" s="44"/>
      <c r="R53" s="427"/>
      <c r="S53" s="428"/>
      <c r="T53" s="429"/>
      <c r="U53" s="421">
        <f>SUM(U51:U52)</f>
        <v>40512.71</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1.5</v>
      </c>
      <c r="D59" s="143">
        <v>0</v>
      </c>
      <c r="E59" s="116">
        <f t="shared" si="10"/>
        <v>3</v>
      </c>
      <c r="F59" s="461" t="s">
        <v>451</v>
      </c>
      <c r="G59" s="461">
        <v>253</v>
      </c>
      <c r="H59" s="475">
        <f>'1461'!H59</f>
        <v>6896</v>
      </c>
      <c r="I59" s="101">
        <f t="shared" si="11"/>
        <v>20688</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1</v>
      </c>
      <c r="D62" s="143">
        <v>0</v>
      </c>
      <c r="E62" s="116">
        <f t="shared" si="10"/>
        <v>2</v>
      </c>
      <c r="F62" s="462" t="s">
        <v>13</v>
      </c>
      <c r="G62" s="461">
        <v>253</v>
      </c>
      <c r="H62" s="475">
        <f>'1461'!H62</f>
        <v>7023</v>
      </c>
      <c r="I62" s="101">
        <f t="shared" si="11"/>
        <v>14046</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2.5</v>
      </c>
      <c r="D66" s="97">
        <f>SUM(D57:D65)</f>
        <v>0</v>
      </c>
      <c r="E66" s="97">
        <f>SUM(E57:E65)</f>
        <v>5</v>
      </c>
      <c r="F66" s="816" t="s">
        <v>460</v>
      </c>
      <c r="G66" s="816"/>
      <c r="H66" s="816"/>
      <c r="I66" s="97">
        <f>SUM(I57:I65)</f>
        <v>34734</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101</v>
      </c>
      <c r="D69" s="791" t="s">
        <v>427</v>
      </c>
      <c r="E69" s="791"/>
      <c r="F69" s="791"/>
      <c r="G69" s="791"/>
      <c r="H69" s="299">
        <f>'1461'!H69</f>
        <v>215320.92</v>
      </c>
      <c r="I69" s="113"/>
      <c r="N69" s="870" t="s">
        <v>420</v>
      </c>
      <c r="O69" s="851"/>
      <c r="P69" s="41">
        <f>P30</f>
        <v>101</v>
      </c>
      <c r="Q69" s="871" t="s">
        <v>422</v>
      </c>
      <c r="R69" s="872"/>
      <c r="S69" s="872"/>
      <c r="T69" s="873">
        <f>H69</f>
        <v>215320.92</v>
      </c>
      <c r="U69" s="873"/>
    </row>
    <row r="70" spans="1:22" x14ac:dyDescent="0.25">
      <c r="B70" s="69"/>
      <c r="G70" s="42" t="s">
        <v>12</v>
      </c>
      <c r="H70" s="114">
        <f>ROUND(C69/H69,6)</f>
        <v>4.6900000000000002E-4</v>
      </c>
      <c r="I70" s="115"/>
      <c r="N70" s="851"/>
      <c r="O70" s="851"/>
      <c r="P70" s="851"/>
      <c r="Q70" s="851"/>
      <c r="R70" s="851"/>
      <c r="S70" s="851"/>
      <c r="T70" s="869">
        <f>ROUND(P69/T69,6)</f>
        <v>4.6900000000000002E-4</v>
      </c>
      <c r="U70" s="869"/>
    </row>
    <row r="71" spans="1:22" x14ac:dyDescent="0.25">
      <c r="A71" s="460" t="s">
        <v>463</v>
      </c>
      <c r="N71" s="471" t="s">
        <v>471</v>
      </c>
      <c r="O71" s="51"/>
      <c r="P71" s="51"/>
      <c r="Q71" s="51"/>
      <c r="R71" s="51"/>
      <c r="S71" s="51"/>
      <c r="T71" s="51"/>
      <c r="U71" s="51"/>
    </row>
    <row r="72" spans="1:22" x14ac:dyDescent="0.25">
      <c r="A72" s="810" t="s">
        <v>417</v>
      </c>
      <c r="B72" s="804"/>
      <c r="C72" s="112">
        <f>H30</f>
        <v>494.178</v>
      </c>
      <c r="D72" s="791" t="s">
        <v>428</v>
      </c>
      <c r="E72" s="791"/>
      <c r="F72" s="791"/>
      <c r="G72" s="791"/>
      <c r="H72" s="300">
        <f>'1461'!H72</f>
        <v>229051.25000000003</v>
      </c>
      <c r="I72" s="116"/>
      <c r="N72" s="870" t="s">
        <v>421</v>
      </c>
      <c r="O72" s="851"/>
      <c r="P72" s="41">
        <f>T30</f>
        <v>101</v>
      </c>
      <c r="Q72" s="871" t="s">
        <v>423</v>
      </c>
      <c r="R72" s="872"/>
      <c r="S72" s="872"/>
      <c r="T72" s="873">
        <f>H72</f>
        <v>229051.25000000003</v>
      </c>
      <c r="U72" s="873"/>
    </row>
    <row r="73" spans="1:22" x14ac:dyDescent="0.25">
      <c r="G73" s="42" t="s">
        <v>12</v>
      </c>
      <c r="H73" s="114">
        <f>ROUND(C72/H72,6)</f>
        <v>2.1570000000000001E-3</v>
      </c>
      <c r="I73" s="114"/>
      <c r="N73" s="851"/>
      <c r="O73" s="851"/>
      <c r="P73" s="851"/>
      <c r="Q73" s="851"/>
      <c r="R73" s="851"/>
      <c r="S73" s="851"/>
      <c r="T73" s="869">
        <f>ROUND(P72/T72,6)</f>
        <v>4.4099999999999999E-4</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101</v>
      </c>
      <c r="D75" s="783" t="s">
        <v>429</v>
      </c>
      <c r="E75" s="783"/>
      <c r="F75" s="783"/>
      <c r="G75" s="783"/>
      <c r="H75" s="299">
        <f>'1461'!H75</f>
        <v>186156.17</v>
      </c>
      <c r="I75" s="113"/>
      <c r="N75" s="870" t="s">
        <v>419</v>
      </c>
      <c r="O75" s="851"/>
      <c r="P75" s="41">
        <f>P30</f>
        <v>101</v>
      </c>
      <c r="Q75" s="878" t="s">
        <v>424</v>
      </c>
      <c r="R75" s="879"/>
      <c r="S75" s="879"/>
      <c r="T75" s="873">
        <f>H75</f>
        <v>186156.17</v>
      </c>
      <c r="U75" s="873"/>
    </row>
    <row r="76" spans="1:22" x14ac:dyDescent="0.25">
      <c r="B76" s="69"/>
      <c r="G76" s="42" t="s">
        <v>12</v>
      </c>
      <c r="H76" s="114">
        <f>ROUND(C75/H75,6)</f>
        <v>5.4299999999999997E-4</v>
      </c>
      <c r="I76" s="115"/>
      <c r="N76" s="851"/>
      <c r="O76" s="851"/>
      <c r="P76" s="851"/>
      <c r="Q76" s="851"/>
      <c r="R76" s="851"/>
      <c r="S76" s="851"/>
      <c r="T76" s="869">
        <f>ROUND(P75/T75,6)</f>
        <v>5.4299999999999997E-4</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101</v>
      </c>
      <c r="D78" s="811" t="s">
        <v>430</v>
      </c>
      <c r="E78" s="811"/>
      <c r="F78" s="811"/>
      <c r="G78" s="811"/>
      <c r="H78" s="299">
        <f>'1461'!H78</f>
        <v>215016.58000000002</v>
      </c>
      <c r="I78" s="113"/>
      <c r="N78" s="870" t="s">
        <v>419</v>
      </c>
      <c r="O78" s="851"/>
      <c r="P78" s="41">
        <f>P30</f>
        <v>101</v>
      </c>
      <c r="Q78" s="876" t="s">
        <v>425</v>
      </c>
      <c r="R78" s="877"/>
      <c r="S78" s="877"/>
      <c r="T78" s="873">
        <f>H78</f>
        <v>215016.58000000002</v>
      </c>
      <c r="U78" s="873"/>
    </row>
    <row r="79" spans="1:22" x14ac:dyDescent="0.25">
      <c r="B79" s="69"/>
      <c r="G79" s="42" t="s">
        <v>12</v>
      </c>
      <c r="H79" s="114">
        <f>ROUND(C78/H78,6)</f>
        <v>4.6999999999999999E-4</v>
      </c>
      <c r="I79" s="115"/>
      <c r="N79" s="851"/>
      <c r="O79" s="851"/>
      <c r="P79" s="851"/>
      <c r="Q79" s="851"/>
      <c r="R79" s="851"/>
      <c r="S79" s="851"/>
      <c r="T79" s="869">
        <f>ROUND(P78/T78,6)</f>
        <v>4.6999999999999999E-4</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101</v>
      </c>
      <c r="D81" s="783" t="s">
        <v>431</v>
      </c>
      <c r="E81" s="783"/>
      <c r="F81" s="783"/>
      <c r="G81" s="783"/>
      <c r="H81" s="299">
        <f>'1461'!H81</f>
        <v>185851.83000000002</v>
      </c>
      <c r="I81" s="113"/>
      <c r="N81" s="870" t="s">
        <v>432</v>
      </c>
      <c r="O81" s="851"/>
      <c r="P81" s="41">
        <f>P30</f>
        <v>101</v>
      </c>
      <c r="Q81" s="878" t="s">
        <v>433</v>
      </c>
      <c r="R81" s="879"/>
      <c r="S81" s="879"/>
      <c r="T81" s="873">
        <f>H81</f>
        <v>185851.83000000002</v>
      </c>
      <c r="U81" s="873"/>
    </row>
    <row r="82" spans="1:21" x14ac:dyDescent="0.25">
      <c r="B82" s="69"/>
      <c r="G82" s="42" t="s">
        <v>12</v>
      </c>
      <c r="H82" s="114">
        <f>ROUND(C81/H81,6)</f>
        <v>5.4299999999999997E-4</v>
      </c>
      <c r="I82" s="115"/>
      <c r="N82" s="851"/>
      <c r="O82" s="851"/>
      <c r="P82" s="851"/>
      <c r="Q82" s="851"/>
      <c r="R82" s="851"/>
      <c r="S82" s="851"/>
      <c r="T82" s="869">
        <f>ROUND(P81/T81,6)</f>
        <v>5.4299999999999997E-4</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4.6999999999999999E-4</v>
      </c>
      <c r="I85" s="101">
        <f>ROUND(F85*H85,2)</f>
        <v>22226.65</v>
      </c>
      <c r="N85" s="471" t="s">
        <v>467</v>
      </c>
      <c r="O85" s="51"/>
      <c r="P85" s="51"/>
      <c r="Q85" s="44"/>
      <c r="R85" s="437">
        <f>F85</f>
        <v>47290747</v>
      </c>
      <c r="S85" s="38" t="s">
        <v>6</v>
      </c>
      <c r="T85" s="439">
        <f>T79</f>
        <v>4.6999999999999999E-4</v>
      </c>
      <c r="U85" s="491">
        <f>ROUND(R85*T85,2)</f>
        <v>22226.65</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4.6900000000000002E-4</v>
      </c>
      <c r="I88" s="101">
        <f>ROUND(F88*H88,2)</f>
        <v>0</v>
      </c>
      <c r="N88" s="880" t="s">
        <v>99</v>
      </c>
      <c r="O88" s="851"/>
      <c r="P88" s="851"/>
      <c r="Q88" s="44"/>
      <c r="R88" s="437">
        <f>F88</f>
        <v>0</v>
      </c>
      <c r="S88" s="38" t="s">
        <v>6</v>
      </c>
      <c r="T88" s="439">
        <f>T70</f>
        <v>4.6900000000000002E-4</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5.4299999999999997E-4</v>
      </c>
      <c r="I90" s="101">
        <f>ROUND(F90*H90,2)</f>
        <v>10408.16</v>
      </c>
      <c r="N90" s="471" t="s">
        <v>468</v>
      </c>
      <c r="O90" s="51"/>
      <c r="P90" s="51"/>
      <c r="Q90" s="44"/>
      <c r="R90" s="437">
        <f>F90</f>
        <v>19167881</v>
      </c>
      <c r="S90" s="38" t="s">
        <v>6</v>
      </c>
      <c r="T90" s="439">
        <f>T82</f>
        <v>5.4299999999999997E-4</v>
      </c>
      <c r="U90" s="491">
        <f>ROUND(R90*T90,2)</f>
        <v>10408.16</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5.4299999999999997E-4</v>
      </c>
      <c r="I92" s="101">
        <f t="shared" ref="I92:I96" si="14">ROUND(F92*H92,2)</f>
        <v>6269.96</v>
      </c>
      <c r="N92" s="471" t="s">
        <v>469</v>
      </c>
      <c r="O92" s="51"/>
      <c r="P92" s="51"/>
      <c r="Q92" s="44"/>
      <c r="R92" s="437">
        <f t="shared" ref="R92:R96" si="15">F92</f>
        <v>11546889</v>
      </c>
      <c r="S92" s="38" t="s">
        <v>6</v>
      </c>
      <c r="T92" s="439">
        <f>T76</f>
        <v>5.4299999999999997E-4</v>
      </c>
      <c r="U92" s="491">
        <f>ROUND(R92*T92,2)</f>
        <v>6269.96</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2.1570000000000001E-3</v>
      </c>
      <c r="I94" s="101">
        <f t="shared" si="14"/>
        <v>579836.71</v>
      </c>
      <c r="N94" s="851" t="s">
        <v>435</v>
      </c>
      <c r="O94" s="851"/>
      <c r="P94" s="851"/>
      <c r="Q94" s="44"/>
      <c r="R94" s="437">
        <f t="shared" si="15"/>
        <v>268816278</v>
      </c>
      <c r="S94" s="38" t="s">
        <v>6</v>
      </c>
      <c r="T94" s="439">
        <f>T73</f>
        <v>4.4099999999999999E-4</v>
      </c>
      <c r="U94" s="491">
        <f>ROUND(R94*T94,2)</f>
        <v>118547.98</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2.1570000000000001E-3</v>
      </c>
      <c r="I96" s="101">
        <f t="shared" si="14"/>
        <v>0</v>
      </c>
      <c r="N96" s="870" t="s">
        <v>436</v>
      </c>
      <c r="O96" s="851"/>
      <c r="P96" s="851"/>
      <c r="Q96" s="44"/>
      <c r="R96" s="437">
        <f t="shared" si="15"/>
        <v>0</v>
      </c>
      <c r="S96" s="38" t="s">
        <v>6</v>
      </c>
      <c r="T96" s="439">
        <f>T73</f>
        <v>4.4099999999999999E-4</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4.6900000000000002E-4</v>
      </c>
      <c r="I98" s="101">
        <f t="shared" ref="I98" si="16">ROUND(F98*H98,2)</f>
        <v>0</v>
      </c>
      <c r="N98" s="550" t="s">
        <v>507</v>
      </c>
      <c r="O98" s="550"/>
      <c r="P98" s="550"/>
      <c r="Q98" s="44"/>
      <c r="R98" s="553">
        <f>F98</f>
        <v>0</v>
      </c>
      <c r="S98" s="551" t="s">
        <v>6</v>
      </c>
      <c r="T98" s="439">
        <f>T70</f>
        <v>4.6900000000000002E-4</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290.05200000000002</v>
      </c>
      <c r="D104" s="822"/>
      <c r="E104" s="46">
        <f>H8</f>
        <v>1.0355000000000001</v>
      </c>
      <c r="F104" s="302">
        <f>'1461'!F104</f>
        <v>958.42</v>
      </c>
      <c r="G104" s="39" t="s">
        <v>12</v>
      </c>
      <c r="H104" s="101">
        <f>ROUND(C104*E104*F104,2)</f>
        <v>287860.34000000003</v>
      </c>
      <c r="I104" s="104"/>
      <c r="N104" s="28" t="s">
        <v>17</v>
      </c>
      <c r="O104" s="47">
        <f>T14+T15+T20+T23+T26</f>
        <v>60</v>
      </c>
      <c r="P104" s="881">
        <f>T8</f>
        <v>1.0355000000000001</v>
      </c>
      <c r="Q104" s="881"/>
      <c r="R104" s="48">
        <f>F104</f>
        <v>958.42</v>
      </c>
      <c r="S104" s="40" t="s">
        <v>12</v>
      </c>
      <c r="T104" s="497">
        <f>ROUND(O104*P104*R104,2)</f>
        <v>59546.63</v>
      </c>
      <c r="U104" s="102"/>
    </row>
    <row r="105" spans="1:21" x14ac:dyDescent="0.25">
      <c r="A105" s="49"/>
      <c r="B105" s="49" t="s">
        <v>104</v>
      </c>
      <c r="C105" s="822">
        <f>H16+H17+H21+H24+H27</f>
        <v>204.126</v>
      </c>
      <c r="D105" s="822"/>
      <c r="E105" s="46">
        <f>H8</f>
        <v>1.0355000000000001</v>
      </c>
      <c r="F105" s="302">
        <f>'1461'!F105</f>
        <v>915.09</v>
      </c>
      <c r="G105" s="39" t="s">
        <v>12</v>
      </c>
      <c r="H105" s="101">
        <f>ROUND(C105*E105*F105,2)</f>
        <v>193424.84</v>
      </c>
      <c r="N105" s="50" t="s">
        <v>13</v>
      </c>
      <c r="O105" s="47">
        <f>T16+T17+T21+T24+T27</f>
        <v>41</v>
      </c>
      <c r="P105" s="881">
        <f>T8</f>
        <v>1.0355000000000001</v>
      </c>
      <c r="Q105" s="881"/>
      <c r="R105" s="48">
        <f>F105</f>
        <v>915.09</v>
      </c>
      <c r="S105" s="40" t="s">
        <v>12</v>
      </c>
      <c r="T105" s="497">
        <f>ROUND(O105*P105*R105,2)</f>
        <v>38850.6</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494.178</v>
      </c>
      <c r="D107" s="812"/>
      <c r="E107" s="123"/>
      <c r="F107" s="123"/>
      <c r="G107" s="123"/>
      <c r="H107" s="124" t="s">
        <v>100</v>
      </c>
      <c r="I107" s="101">
        <f>IF(A1=75,0,H106+H105+H104)</f>
        <v>481285.18000000005</v>
      </c>
      <c r="N107" s="56" t="s">
        <v>89</v>
      </c>
      <c r="O107" s="57">
        <f>SUM(O104:O106)</f>
        <v>101</v>
      </c>
      <c r="P107" s="887" t="s">
        <v>16</v>
      </c>
      <c r="Q107" s="888"/>
      <c r="R107" s="888"/>
      <c r="S107" s="888"/>
      <c r="T107" s="888"/>
      <c r="U107" s="491">
        <f>IF(N1=75,0,T106+T105+T104)</f>
        <v>98397.23</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3884034.62</v>
      </c>
      <c r="N128" s="471"/>
      <c r="O128" s="470"/>
      <c r="P128" s="470"/>
      <c r="Q128" s="305"/>
      <c r="R128" s="305"/>
      <c r="S128" s="305"/>
      <c r="T128" s="305"/>
      <c r="U128" s="498">
        <f>SUM(U30,U85,U88,U90,U92,U94,U96,U107,U113,U114,U124,U126)</f>
        <v>817746.03</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3685811.97</v>
      </c>
      <c r="N130" s="851" t="s">
        <v>447</v>
      </c>
      <c r="O130" s="851"/>
      <c r="P130" s="851"/>
      <c r="Q130" s="851"/>
      <c r="R130" s="851"/>
      <c r="S130" s="851"/>
      <c r="T130" s="851"/>
      <c r="U130" s="132">
        <f>U128-U53</f>
        <v>777233.32000000007</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f>IF(E30=0,"",IF((E15+E17+SUM(E19:E25))/E30&gt;0.75,1,""))</f>
        <v>1</v>
      </c>
      <c r="I133" s="116">
        <f>U130</f>
        <v>777233.32000000007</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777233.32000000007</v>
      </c>
      <c r="I135" s="94">
        <f>ROUND(IF(E30=0,0,IF(E30&gt;250,-(((250/E30)*H135)*IF(G135="H",0.02,0.05)),IF(G135="H",-0.02*H135,-0.05*H135))),2)</f>
        <v>-38861.67</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3845172.95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Payments'!Q114</f>
        <v>-312807.54399999999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3532365.4060000004</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321124.13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34:H37"/>
    <mergeCell ref="N35:T35"/>
    <mergeCell ref="A37:B37"/>
    <mergeCell ref="N37:O37"/>
    <mergeCell ref="P37:T37"/>
    <mergeCell ref="A40:B40"/>
    <mergeCell ref="N40:O40"/>
    <mergeCell ref="P40:T40"/>
    <mergeCell ref="A41:B41"/>
    <mergeCell ref="N41:O41"/>
    <mergeCell ref="P41:T41"/>
    <mergeCell ref="A38:B38"/>
    <mergeCell ref="N38:O38"/>
    <mergeCell ref="P38:T38"/>
    <mergeCell ref="A39:B39"/>
    <mergeCell ref="N39:O39"/>
    <mergeCell ref="P39:T39"/>
    <mergeCell ref="A42:B42"/>
    <mergeCell ref="N42:O42"/>
    <mergeCell ref="P42:T42"/>
    <mergeCell ref="A43:B43"/>
    <mergeCell ref="N43:O43"/>
    <mergeCell ref="P43:T43"/>
    <mergeCell ref="P56:Q56"/>
    <mergeCell ref="P59:Q59"/>
    <mergeCell ref="P60:Q60"/>
    <mergeCell ref="A57:B65"/>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22:B122"/>
    <mergeCell ref="F122:G122"/>
    <mergeCell ref="N122:O122"/>
    <mergeCell ref="P122:Q122"/>
    <mergeCell ref="R122:S122"/>
    <mergeCell ref="A123:B123"/>
    <mergeCell ref="F123:G123"/>
    <mergeCell ref="N123:O123"/>
    <mergeCell ref="P123:Q123"/>
    <mergeCell ref="R123:S123"/>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s>
  <pageMargins left="0.1" right="0.1" top="0.5" bottom="0.5" header="0" footer="0.1"/>
  <pageSetup scale="70" fitToHeight="3" orientation="portrait" r:id="rId1"/>
  <headerFooter alignWithMargins="0">
    <oddFooter>&amp;L&amp;8&amp;Z&amp;F&amp;R&amp;P of &amp;N</oddFooter>
  </headerFooter>
  <rowBreaks count="1" manualBreakCount="1">
    <brk id="151" max="16383" man="1"/>
  </rowBreaks>
  <colBreaks count="1" manualBreakCount="1">
    <brk id="9"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6">
    <tabColor rgb="FFFFCCCC"/>
  </sheetPr>
  <dimension ref="A1:V221"/>
  <sheetViews>
    <sheetView topLeftCell="A111"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5703125"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283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t="s">
        <v>549</v>
      </c>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349"/>
      <c r="D11" s="349"/>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37</v>
      </c>
      <c r="D14" s="141">
        <v>0</v>
      </c>
      <c r="E14" s="187">
        <f>IF(D$30=0,C14*2,C14+D14)</f>
        <v>74</v>
      </c>
      <c r="F14" s="846">
        <f>'1461'!F14:G14</f>
        <v>1.1080000000000001</v>
      </c>
      <c r="G14" s="846"/>
      <c r="H14" s="145">
        <f>ROUND(E14*F14,4)</f>
        <v>81.992000000000004</v>
      </c>
      <c r="I14" s="111">
        <f>ROUND(ROUND(ROUND(H14*$C$8,4)*($H$8),2)*(MAX($H$9,1)),2)</f>
        <v>456148.33</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35</v>
      </c>
      <c r="D16" s="143">
        <v>0</v>
      </c>
      <c r="E16" s="116">
        <f t="shared" si="1"/>
        <v>70</v>
      </c>
      <c r="F16" s="850">
        <f>'1461'!F16:G16</f>
        <v>1</v>
      </c>
      <c r="G16" s="850"/>
      <c r="H16" s="80">
        <f t="shared" si="2"/>
        <v>70</v>
      </c>
      <c r="I16" s="101">
        <f t="shared" si="3"/>
        <v>389432.91</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0</v>
      </c>
      <c r="D18" s="143">
        <v>0</v>
      </c>
      <c r="E18" s="116">
        <f t="shared" si="1"/>
        <v>0</v>
      </c>
      <c r="F18" s="850">
        <f>'1461'!F18:G18</f>
        <v>0.97199999999999998</v>
      </c>
      <c r="G18" s="850"/>
      <c r="H18" s="80">
        <f t="shared" si="2"/>
        <v>0</v>
      </c>
      <c r="I18" s="101">
        <f t="shared" si="3"/>
        <v>0</v>
      </c>
      <c r="N18" s="851" t="s">
        <v>24</v>
      </c>
      <c r="O18" s="851"/>
      <c r="P18" s="848">
        <f t="shared" si="0"/>
        <v>0</v>
      </c>
      <c r="Q18" s="848"/>
      <c r="R18" s="852">
        <v>1</v>
      </c>
      <c r="S18" s="852"/>
      <c r="T18" s="95">
        <f t="shared" si="4"/>
        <v>0</v>
      </c>
      <c r="U18" s="491">
        <f t="shared" si="5"/>
        <v>0</v>
      </c>
    </row>
    <row r="19" spans="1:21" x14ac:dyDescent="0.25">
      <c r="A19" s="804" t="s">
        <v>25</v>
      </c>
      <c r="B19" s="804"/>
      <c r="C19" s="143">
        <v>0</v>
      </c>
      <c r="D19" s="143">
        <v>0</v>
      </c>
      <c r="E19" s="116">
        <f t="shared" si="1"/>
        <v>0</v>
      </c>
      <c r="F19" s="850">
        <f>'1461'!F19:G19</f>
        <v>0.97199999999999998</v>
      </c>
      <c r="G19" s="850"/>
      <c r="H19" s="80">
        <f t="shared" si="2"/>
        <v>0</v>
      </c>
      <c r="I19" s="101">
        <f t="shared" si="3"/>
        <v>0</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0</v>
      </c>
      <c r="D28" s="143">
        <v>0</v>
      </c>
      <c r="E28" s="116">
        <f t="shared" si="1"/>
        <v>0</v>
      </c>
      <c r="F28" s="850">
        <f>'1461'!F28:G28</f>
        <v>1.165</v>
      </c>
      <c r="G28" s="850"/>
      <c r="H28" s="80">
        <f t="shared" si="2"/>
        <v>0</v>
      </c>
      <c r="I28" s="101">
        <f t="shared" si="3"/>
        <v>0</v>
      </c>
      <c r="N28" s="851" t="s">
        <v>87</v>
      </c>
      <c r="O28" s="851"/>
      <c r="P28" s="848">
        <f t="shared" si="0"/>
        <v>0</v>
      </c>
      <c r="Q28" s="848"/>
      <c r="R28" s="852">
        <v>1</v>
      </c>
      <c r="S28" s="852"/>
      <c r="T28" s="95">
        <f t="shared" si="4"/>
        <v>0</v>
      </c>
      <c r="U28" s="491">
        <f t="shared" si="5"/>
        <v>0</v>
      </c>
    </row>
    <row r="29" spans="1:21" x14ac:dyDescent="0.25">
      <c r="A29" s="804" t="s">
        <v>88</v>
      </c>
      <c r="B29" s="804"/>
      <c r="C29" s="110">
        <v>0</v>
      </c>
      <c r="D29" s="110">
        <v>0</v>
      </c>
      <c r="E29" s="154">
        <f t="shared" si="1"/>
        <v>0</v>
      </c>
      <c r="F29" s="850">
        <f>'1461'!F29:G29</f>
        <v>1.081</v>
      </c>
      <c r="G29" s="850"/>
      <c r="H29" s="93">
        <f t="shared" si="2"/>
        <v>0</v>
      </c>
      <c r="I29" s="94">
        <f t="shared" si="3"/>
        <v>0</v>
      </c>
      <c r="N29" s="853" t="s">
        <v>88</v>
      </c>
      <c r="O29" s="853"/>
      <c r="P29" s="848">
        <f t="shared" si="0"/>
        <v>0</v>
      </c>
      <c r="Q29" s="848"/>
      <c r="R29" s="854">
        <v>1</v>
      </c>
      <c r="S29" s="854"/>
      <c r="T29" s="95">
        <f t="shared" si="4"/>
        <v>0</v>
      </c>
      <c r="U29" s="491">
        <f t="shared" si="5"/>
        <v>0</v>
      </c>
    </row>
    <row r="30" spans="1:21" x14ac:dyDescent="0.25">
      <c r="A30" s="816" t="s">
        <v>5</v>
      </c>
      <c r="B30" s="816"/>
      <c r="C30" s="94">
        <f>SUM(C14:C29)</f>
        <v>72</v>
      </c>
      <c r="D30" s="94">
        <f>SUM(D14:D29)</f>
        <v>0</v>
      </c>
      <c r="E30" s="94">
        <f>SUM(E14:E29)</f>
        <v>144</v>
      </c>
      <c r="F30" s="808"/>
      <c r="G30" s="808"/>
      <c r="H30" s="99">
        <f>SUM(H14:H29)</f>
        <v>151.99200000000002</v>
      </c>
      <c r="I30" s="94">
        <f>SUM(I14:I29)</f>
        <v>845581.24</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151.99200000000002</v>
      </c>
      <c r="F46" s="34"/>
      <c r="G46" s="106"/>
      <c r="H46" s="107" t="s">
        <v>98</v>
      </c>
      <c r="I46" s="94">
        <f>SUM(I44,I30)</f>
        <v>845581.24</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845581.24</v>
      </c>
      <c r="G51" s="109" t="s">
        <v>6</v>
      </c>
      <c r="H51" s="420">
        <f>'1461'!H51</f>
        <v>6.6699999999999995E-2</v>
      </c>
      <c r="I51" s="101">
        <f>ROUND(F51*H51,2)</f>
        <v>56400.27</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845581.24</v>
      </c>
      <c r="G52" s="109" t="s">
        <v>6</v>
      </c>
      <c r="H52" s="420">
        <f>'1461'!H52</f>
        <v>5.4000000000000003E-3</v>
      </c>
      <c r="I52" s="101">
        <f>ROUND(F52*H52,2)</f>
        <v>4566.1400000000003</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60966.409999999996</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0</v>
      </c>
      <c r="D63" s="143">
        <v>0</v>
      </c>
      <c r="E63" s="116">
        <f t="shared" si="10"/>
        <v>0</v>
      </c>
      <c r="F63" s="462" t="s">
        <v>14</v>
      </c>
      <c r="G63" s="461">
        <v>251</v>
      </c>
      <c r="H63" s="475">
        <f>'1461'!H63</f>
        <v>835</v>
      </c>
      <c r="I63" s="101">
        <f t="shared" si="11"/>
        <v>0</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0</v>
      </c>
      <c r="D66" s="97">
        <f>SUM(D57:D65)</f>
        <v>0</v>
      </c>
      <c r="E66" s="97">
        <f>SUM(E57:E65)</f>
        <v>0</v>
      </c>
      <c r="F66" s="816" t="s">
        <v>460</v>
      </c>
      <c r="G66" s="816"/>
      <c r="H66" s="816"/>
      <c r="I66" s="97">
        <f>SUM(I57:I65)</f>
        <v>0</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144</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6.69E-4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151.99200000000002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6.6399999999999999E-4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144</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7.7399999999999995E-4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144</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6.7000000000000002E-4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144</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7.7499999999999997E-4</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6.7000000000000002E-4</v>
      </c>
      <c r="I85" s="101">
        <f>ROUND(F85*H85,2)</f>
        <v>31684.799999999999</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6.69E-4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7.7499999999999997E-4</v>
      </c>
      <c r="I90" s="101">
        <f>ROUND(F90*H90,2)</f>
        <v>14855.11</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7.7399999999999995E-4</v>
      </c>
      <c r="I92" s="101">
        <f t="shared" ref="I92:I96" si="14">ROUND(F92*H92,2)</f>
        <v>8937.2900000000009</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6.6399999999999999E-4</v>
      </c>
      <c r="I94" s="101">
        <f t="shared" si="14"/>
        <v>178494.01</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6.6399999999999999E-4</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6.69E-4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81.992000000000004</v>
      </c>
      <c r="D104" s="822"/>
      <c r="E104" s="46">
        <f>H8</f>
        <v>1.0355000000000001</v>
      </c>
      <c r="F104" s="302">
        <f>'1461'!F104</f>
        <v>958.42</v>
      </c>
      <c r="G104" s="39" t="s">
        <v>12</v>
      </c>
      <c r="H104" s="101">
        <f>ROUND(C104*E104*F104,2)</f>
        <v>81372.460000000006</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70</v>
      </c>
      <c r="D105" s="822"/>
      <c r="E105" s="46">
        <f>H8</f>
        <v>1.0355000000000001</v>
      </c>
      <c r="F105" s="302">
        <f>'1461'!F105</f>
        <v>915.09</v>
      </c>
      <c r="G105" s="39" t="s">
        <v>12</v>
      </c>
      <c r="H105" s="101">
        <f>ROUND(C105*E105*F105,2)</f>
        <v>66330.3</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0</v>
      </c>
      <c r="D106" s="822"/>
      <c r="E106" s="46">
        <f>H8</f>
        <v>1.0355000000000001</v>
      </c>
      <c r="F106" s="302">
        <f>'1461'!F106</f>
        <v>917.3</v>
      </c>
      <c r="G106" s="39" t="s">
        <v>12</v>
      </c>
      <c r="H106" s="94">
        <f>ROUND(C106*E106*F106,2)</f>
        <v>0</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151.99200000000002</v>
      </c>
      <c r="D107" s="812"/>
      <c r="E107" s="123"/>
      <c r="F107" s="123"/>
      <c r="G107" s="123"/>
      <c r="H107" s="124" t="s">
        <v>100</v>
      </c>
      <c r="I107" s="101">
        <f>IF(A1=75,0,H106+H105+H104)</f>
        <v>147702.76</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1227255.2100000002</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1166288.8000000003</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1166288.8000000003</v>
      </c>
      <c r="I135" s="94">
        <f>ROUND(IF(E30=0,0,IF(E30&gt;250,-(((250/E30)*H135)*IF(G135="H",0.02,0.05)),IF(G135="H",-0.02*H135,-0.05*H135))),2)</f>
        <v>-58314.44</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1168940.7700000003</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Payments'!R115</f>
        <v>-95722.880000000005</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1073217.8900000001</v>
      </c>
      <c r="J141" s="236"/>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97565.26</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7:U7"/>
    <mergeCell ref="N8:O8"/>
    <mergeCell ref="P8:Q8"/>
    <mergeCell ref="R8:S8"/>
    <mergeCell ref="T8:U8"/>
    <mergeCell ref="F11:G11"/>
    <mergeCell ref="R11:S11"/>
    <mergeCell ref="N94:P94"/>
    <mergeCell ref="B1:I1"/>
    <mergeCell ref="O1:U1"/>
    <mergeCell ref="N2:U2"/>
    <mergeCell ref="N3:U3"/>
    <mergeCell ref="A4:B4"/>
    <mergeCell ref="C4:E4"/>
    <mergeCell ref="N4:O4"/>
    <mergeCell ref="P4:Q4"/>
    <mergeCell ref="A7:I7"/>
    <mergeCell ref="A12:B12"/>
    <mergeCell ref="F12:G12"/>
    <mergeCell ref="N12:O12"/>
    <mergeCell ref="P12:Q12"/>
    <mergeCell ref="R12:S12"/>
    <mergeCell ref="A13:B13"/>
    <mergeCell ref="F13:G13"/>
    <mergeCell ref="N13:O13"/>
    <mergeCell ref="P13:Q13"/>
    <mergeCell ref="R13:S13"/>
    <mergeCell ref="A14:B14"/>
    <mergeCell ref="F14:G14"/>
    <mergeCell ref="N14:O14"/>
    <mergeCell ref="P14:Q14"/>
    <mergeCell ref="R14:S14"/>
    <mergeCell ref="A15:B15"/>
    <mergeCell ref="F15:G15"/>
    <mergeCell ref="N15:O15"/>
    <mergeCell ref="P15:Q15"/>
    <mergeCell ref="R15:S15"/>
    <mergeCell ref="A16:B16"/>
    <mergeCell ref="F16:G16"/>
    <mergeCell ref="N16:O16"/>
    <mergeCell ref="P16:Q16"/>
    <mergeCell ref="R16:S16"/>
    <mergeCell ref="A17:B17"/>
    <mergeCell ref="F17:G17"/>
    <mergeCell ref="N17:O17"/>
    <mergeCell ref="P17:Q17"/>
    <mergeCell ref="R17:S17"/>
    <mergeCell ref="A18:B18"/>
    <mergeCell ref="F18:G18"/>
    <mergeCell ref="N18:O18"/>
    <mergeCell ref="P18:Q18"/>
    <mergeCell ref="R18:S18"/>
    <mergeCell ref="A19:B19"/>
    <mergeCell ref="F19:G19"/>
    <mergeCell ref="N19:O19"/>
    <mergeCell ref="P19:Q19"/>
    <mergeCell ref="R19:S19"/>
    <mergeCell ref="A20:B20"/>
    <mergeCell ref="F20:G20"/>
    <mergeCell ref="N20:O20"/>
    <mergeCell ref="P20:Q20"/>
    <mergeCell ref="R20:S20"/>
    <mergeCell ref="A21:B21"/>
    <mergeCell ref="F21:G21"/>
    <mergeCell ref="N21:O21"/>
    <mergeCell ref="P21:Q21"/>
    <mergeCell ref="R21:S21"/>
    <mergeCell ref="A22:B22"/>
    <mergeCell ref="F22:G22"/>
    <mergeCell ref="N22:O22"/>
    <mergeCell ref="P22:Q22"/>
    <mergeCell ref="R22:S22"/>
    <mergeCell ref="A23:B23"/>
    <mergeCell ref="F23:G23"/>
    <mergeCell ref="N23:O23"/>
    <mergeCell ref="P23:Q23"/>
    <mergeCell ref="R23:S23"/>
    <mergeCell ref="A24:B24"/>
    <mergeCell ref="F24:G24"/>
    <mergeCell ref="N24:O24"/>
    <mergeCell ref="P24:Q24"/>
    <mergeCell ref="R24:S24"/>
    <mergeCell ref="A25:B25"/>
    <mergeCell ref="F25:G25"/>
    <mergeCell ref="N25:O25"/>
    <mergeCell ref="P25:Q25"/>
    <mergeCell ref="R25:S25"/>
    <mergeCell ref="A26:B26"/>
    <mergeCell ref="F26:G26"/>
    <mergeCell ref="N26:O26"/>
    <mergeCell ref="P26:Q26"/>
    <mergeCell ref="R26:S26"/>
    <mergeCell ref="A27:B27"/>
    <mergeCell ref="F27:G27"/>
    <mergeCell ref="N27:O27"/>
    <mergeCell ref="P27:Q27"/>
    <mergeCell ref="R27:S27"/>
    <mergeCell ref="A28:B28"/>
    <mergeCell ref="F28:G28"/>
    <mergeCell ref="N28:O28"/>
    <mergeCell ref="P28:Q28"/>
    <mergeCell ref="R28:S28"/>
    <mergeCell ref="A29:B29"/>
    <mergeCell ref="F29:G29"/>
    <mergeCell ref="N29:O29"/>
    <mergeCell ref="P29:Q29"/>
    <mergeCell ref="R29:S29"/>
    <mergeCell ref="A30:B30"/>
    <mergeCell ref="F30:G30"/>
    <mergeCell ref="N30:O30"/>
    <mergeCell ref="P30:Q30"/>
    <mergeCell ref="R30:S30"/>
    <mergeCell ref="F34:H37"/>
    <mergeCell ref="N35:T35"/>
    <mergeCell ref="A37:B37"/>
    <mergeCell ref="N37:O37"/>
    <mergeCell ref="P37:T37"/>
    <mergeCell ref="A40:B40"/>
    <mergeCell ref="N40:O40"/>
    <mergeCell ref="P40:T40"/>
    <mergeCell ref="A41:B41"/>
    <mergeCell ref="N41:O41"/>
    <mergeCell ref="P41:T41"/>
    <mergeCell ref="A38:B38"/>
    <mergeCell ref="N38:O38"/>
    <mergeCell ref="P38:T38"/>
    <mergeCell ref="A39:B39"/>
    <mergeCell ref="N39:O39"/>
    <mergeCell ref="P39:T39"/>
    <mergeCell ref="A42:B42"/>
    <mergeCell ref="N42:O42"/>
    <mergeCell ref="P42:T42"/>
    <mergeCell ref="A43:B43"/>
    <mergeCell ref="N43:O43"/>
    <mergeCell ref="P43:T43"/>
    <mergeCell ref="P56:Q56"/>
    <mergeCell ref="P59:Q59"/>
    <mergeCell ref="P60:Q60"/>
    <mergeCell ref="A57:B65"/>
    <mergeCell ref="F66:H66"/>
    <mergeCell ref="N57:O65"/>
    <mergeCell ref="P57:Q57"/>
    <mergeCell ref="P58:Q58"/>
    <mergeCell ref="T69:U69"/>
    <mergeCell ref="N44:Q44"/>
    <mergeCell ref="S44:T44"/>
    <mergeCell ref="N46:Q46"/>
    <mergeCell ref="S46:T46"/>
    <mergeCell ref="P61:Q61"/>
    <mergeCell ref="P62:Q62"/>
    <mergeCell ref="P63:Q63"/>
    <mergeCell ref="P64:Q64"/>
    <mergeCell ref="P65:Q65"/>
    <mergeCell ref="P66:Q66"/>
    <mergeCell ref="R66:T66"/>
    <mergeCell ref="A96:C96"/>
    <mergeCell ref="N96:P96"/>
    <mergeCell ref="A94:C94"/>
    <mergeCell ref="A88:C88"/>
    <mergeCell ref="N73:S73"/>
    <mergeCell ref="T73:U73"/>
    <mergeCell ref="A87:C87"/>
    <mergeCell ref="N87:P87"/>
    <mergeCell ref="N79:S79"/>
    <mergeCell ref="T79:U79"/>
    <mergeCell ref="A81:B81"/>
    <mergeCell ref="D81:G81"/>
    <mergeCell ref="N81:O81"/>
    <mergeCell ref="Q81:S81"/>
    <mergeCell ref="T81:U81"/>
    <mergeCell ref="N82:S82"/>
    <mergeCell ref="T82:U82"/>
    <mergeCell ref="N88:P88"/>
    <mergeCell ref="C105:D105"/>
    <mergeCell ref="P105:Q105"/>
    <mergeCell ref="C106:D106"/>
    <mergeCell ref="P106:Q106"/>
    <mergeCell ref="C107:D107"/>
    <mergeCell ref="P107:T107"/>
    <mergeCell ref="C102:D102"/>
    <mergeCell ref="C103:D103"/>
    <mergeCell ref="N103:O103"/>
    <mergeCell ref="P103:Q103"/>
    <mergeCell ref="R103:U103"/>
    <mergeCell ref="C104:D104"/>
    <mergeCell ref="P104:Q104"/>
    <mergeCell ref="A114:B114"/>
    <mergeCell ref="N114:O114"/>
    <mergeCell ref="P114:R114"/>
    <mergeCell ref="A117:C117"/>
    <mergeCell ref="F117:I117"/>
    <mergeCell ref="N117:U117"/>
    <mergeCell ref="A108:I108"/>
    <mergeCell ref="N108:U108"/>
    <mergeCell ref="F110:I110"/>
    <mergeCell ref="N110:P110"/>
    <mergeCell ref="Q110:T110"/>
    <mergeCell ref="A113:B113"/>
    <mergeCell ref="N113:O113"/>
    <mergeCell ref="P113:R113"/>
    <mergeCell ref="R120:S120"/>
    <mergeCell ref="A121:B121"/>
    <mergeCell ref="F121:G121"/>
    <mergeCell ref="N121:O121"/>
    <mergeCell ref="P121:Q121"/>
    <mergeCell ref="R121:S121"/>
    <mergeCell ref="C118:E118"/>
    <mergeCell ref="F119:G119"/>
    <mergeCell ref="A120:B120"/>
    <mergeCell ref="F120:G120"/>
    <mergeCell ref="N120:O120"/>
    <mergeCell ref="P120:Q120"/>
    <mergeCell ref="A122:B122"/>
    <mergeCell ref="F122:G122"/>
    <mergeCell ref="N122:O122"/>
    <mergeCell ref="P122:Q122"/>
    <mergeCell ref="R122:S122"/>
    <mergeCell ref="A123:B123"/>
    <mergeCell ref="F123:G123"/>
    <mergeCell ref="N123:O123"/>
    <mergeCell ref="P123:Q123"/>
    <mergeCell ref="R123:S123"/>
    <mergeCell ref="N155:U155"/>
    <mergeCell ref="N130:T130"/>
    <mergeCell ref="A128:H128"/>
    <mergeCell ref="A132:G132"/>
    <mergeCell ref="N135:U135"/>
    <mergeCell ref="A133:G133"/>
    <mergeCell ref="N136:U136"/>
    <mergeCell ref="A124:B124"/>
    <mergeCell ref="N124:O124"/>
    <mergeCell ref="A126:C126"/>
    <mergeCell ref="F126:H126"/>
    <mergeCell ref="N126:P126"/>
    <mergeCell ref="N132:T132"/>
    <mergeCell ref="N133:T133"/>
    <mergeCell ref="T9:U9"/>
    <mergeCell ref="A75:B75"/>
    <mergeCell ref="D75:G75"/>
    <mergeCell ref="N75:O75"/>
    <mergeCell ref="Q75:S75"/>
    <mergeCell ref="T75:U75"/>
    <mergeCell ref="N76:S76"/>
    <mergeCell ref="T76:U76"/>
    <mergeCell ref="A78:B78"/>
    <mergeCell ref="D78:G78"/>
    <mergeCell ref="N78:O78"/>
    <mergeCell ref="Q78:S78"/>
    <mergeCell ref="T78:U78"/>
    <mergeCell ref="N70:S70"/>
    <mergeCell ref="T70:U70"/>
    <mergeCell ref="A72:B72"/>
    <mergeCell ref="D72:G72"/>
    <mergeCell ref="N72:O72"/>
    <mergeCell ref="Q72:S72"/>
    <mergeCell ref="T72:U72"/>
    <mergeCell ref="A69:B69"/>
    <mergeCell ref="D69:G69"/>
    <mergeCell ref="N69:O69"/>
    <mergeCell ref="Q69:S6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1">
    <tabColor rgb="FFFFCCCC"/>
  </sheetPr>
  <dimension ref="A1:V221"/>
  <sheetViews>
    <sheetView topLeftCell="A105" workbookViewId="0">
      <selection activeCell="I94" sqref="I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322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147.03</v>
      </c>
      <c r="D16" s="143">
        <v>0</v>
      </c>
      <c r="E16" s="116">
        <f t="shared" si="1"/>
        <v>294.06</v>
      </c>
      <c r="F16" s="850">
        <f>'1461'!F16:G16</f>
        <v>1</v>
      </c>
      <c r="G16" s="850"/>
      <c r="H16" s="80">
        <f t="shared" si="2"/>
        <v>294.06</v>
      </c>
      <c r="I16" s="101">
        <f t="shared" si="3"/>
        <v>1635952.03</v>
      </c>
      <c r="N16" s="851" t="s">
        <v>22</v>
      </c>
      <c r="O16" s="851"/>
      <c r="P16" s="848">
        <f t="shared" si="0"/>
        <v>0</v>
      </c>
      <c r="Q16" s="848"/>
      <c r="R16" s="852">
        <v>1</v>
      </c>
      <c r="S16" s="852"/>
      <c r="T16" s="95">
        <f t="shared" si="4"/>
        <v>0</v>
      </c>
      <c r="U16" s="491">
        <f t="shared" si="5"/>
        <v>0</v>
      </c>
    </row>
    <row r="17" spans="1:21" x14ac:dyDescent="0.25">
      <c r="A17" s="804" t="s">
        <v>23</v>
      </c>
      <c r="B17" s="804"/>
      <c r="C17" s="143">
        <v>22.5</v>
      </c>
      <c r="D17" s="143">
        <v>0</v>
      </c>
      <c r="E17" s="116">
        <f t="shared" si="1"/>
        <v>45</v>
      </c>
      <c r="F17" s="850">
        <f>'1461'!F17:G17</f>
        <v>1</v>
      </c>
      <c r="G17" s="850"/>
      <c r="H17" s="80">
        <f t="shared" si="2"/>
        <v>45</v>
      </c>
      <c r="I17" s="101">
        <f t="shared" si="3"/>
        <v>250349.73</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189.59</v>
      </c>
      <c r="D18" s="143">
        <v>0</v>
      </c>
      <c r="E18" s="116">
        <f t="shared" si="1"/>
        <v>379.18</v>
      </c>
      <c r="F18" s="850">
        <f>'1461'!F18:G18</f>
        <v>0.97199999999999998</v>
      </c>
      <c r="G18" s="850"/>
      <c r="H18" s="80">
        <f t="shared" si="2"/>
        <v>368.56299999999999</v>
      </c>
      <c r="I18" s="101">
        <f t="shared" si="3"/>
        <v>2050436.6</v>
      </c>
      <c r="N18" s="851" t="s">
        <v>24</v>
      </c>
      <c r="O18" s="851"/>
      <c r="P18" s="848">
        <f t="shared" si="0"/>
        <v>0</v>
      </c>
      <c r="Q18" s="848"/>
      <c r="R18" s="852">
        <v>1</v>
      </c>
      <c r="S18" s="852"/>
      <c r="T18" s="95">
        <f t="shared" si="4"/>
        <v>0</v>
      </c>
      <c r="U18" s="491">
        <f t="shared" si="5"/>
        <v>0</v>
      </c>
    </row>
    <row r="19" spans="1:21" x14ac:dyDescent="0.25">
      <c r="A19" s="804" t="s">
        <v>25</v>
      </c>
      <c r="B19" s="804"/>
      <c r="C19" s="143">
        <v>30.5</v>
      </c>
      <c r="D19" s="143">
        <v>0</v>
      </c>
      <c r="E19" s="116">
        <f t="shared" si="1"/>
        <v>61</v>
      </c>
      <c r="F19" s="850">
        <f>'1461'!F19:G19</f>
        <v>0.97199999999999998</v>
      </c>
      <c r="G19" s="850"/>
      <c r="H19" s="80">
        <f t="shared" si="2"/>
        <v>59.292000000000002</v>
      </c>
      <c r="I19" s="101">
        <f t="shared" si="3"/>
        <v>329860.8</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27.85</v>
      </c>
      <c r="D27" s="143">
        <v>0</v>
      </c>
      <c r="E27" s="116">
        <f t="shared" si="1"/>
        <v>55.7</v>
      </c>
      <c r="F27" s="850">
        <f>'1461'!F27:G27</f>
        <v>1.165</v>
      </c>
      <c r="G27" s="850"/>
      <c r="H27" s="80">
        <f t="shared" si="2"/>
        <v>64.890500000000003</v>
      </c>
      <c r="I27" s="101">
        <f t="shared" si="3"/>
        <v>361007.09</v>
      </c>
      <c r="N27" s="851" t="s">
        <v>86</v>
      </c>
      <c r="O27" s="851"/>
      <c r="P27" s="848">
        <f t="shared" si="0"/>
        <v>0</v>
      </c>
      <c r="Q27" s="848"/>
      <c r="R27" s="852">
        <v>1</v>
      </c>
      <c r="S27" s="852"/>
      <c r="T27" s="95">
        <f t="shared" si="4"/>
        <v>0</v>
      </c>
      <c r="U27" s="491">
        <f t="shared" si="5"/>
        <v>0</v>
      </c>
    </row>
    <row r="28" spans="1:21" x14ac:dyDescent="0.25">
      <c r="A28" s="804" t="s">
        <v>87</v>
      </c>
      <c r="B28" s="804"/>
      <c r="C28" s="143">
        <v>45.26</v>
      </c>
      <c r="D28" s="143">
        <v>0</v>
      </c>
      <c r="E28" s="116">
        <f t="shared" si="1"/>
        <v>90.52</v>
      </c>
      <c r="F28" s="850">
        <f>'1461'!F28:G28</f>
        <v>1.165</v>
      </c>
      <c r="G28" s="850"/>
      <c r="H28" s="80">
        <f t="shared" si="2"/>
        <v>105.4558</v>
      </c>
      <c r="I28" s="101">
        <f t="shared" si="3"/>
        <v>586685.13</v>
      </c>
      <c r="N28" s="851" t="s">
        <v>87</v>
      </c>
      <c r="O28" s="851"/>
      <c r="P28" s="848">
        <f t="shared" si="0"/>
        <v>0</v>
      </c>
      <c r="Q28" s="848"/>
      <c r="R28" s="852">
        <v>1</v>
      </c>
      <c r="S28" s="852"/>
      <c r="T28" s="95">
        <f t="shared" si="4"/>
        <v>0</v>
      </c>
      <c r="U28" s="491">
        <f t="shared" si="5"/>
        <v>0</v>
      </c>
    </row>
    <row r="29" spans="1:21" x14ac:dyDescent="0.25">
      <c r="A29" s="804" t="s">
        <v>88</v>
      </c>
      <c r="B29" s="804"/>
      <c r="C29" s="110">
        <v>24.55</v>
      </c>
      <c r="D29" s="110">
        <v>0</v>
      </c>
      <c r="E29" s="154">
        <f t="shared" si="1"/>
        <v>49.1</v>
      </c>
      <c r="F29" s="850">
        <f>'1461'!F29:G29</f>
        <v>1.081</v>
      </c>
      <c r="G29" s="850"/>
      <c r="H29" s="93">
        <f t="shared" si="2"/>
        <v>53.077100000000002</v>
      </c>
      <c r="I29" s="94">
        <f t="shared" si="3"/>
        <v>295285.28000000003</v>
      </c>
      <c r="N29" s="853" t="s">
        <v>88</v>
      </c>
      <c r="O29" s="853"/>
      <c r="P29" s="848">
        <f t="shared" si="0"/>
        <v>0</v>
      </c>
      <c r="Q29" s="848"/>
      <c r="R29" s="854">
        <v>1</v>
      </c>
      <c r="S29" s="854"/>
      <c r="T29" s="95">
        <f t="shared" si="4"/>
        <v>0</v>
      </c>
      <c r="U29" s="491">
        <f t="shared" si="5"/>
        <v>0</v>
      </c>
    </row>
    <row r="30" spans="1:21" x14ac:dyDescent="0.25">
      <c r="A30" s="816" t="s">
        <v>5</v>
      </c>
      <c r="B30" s="816"/>
      <c r="C30" s="94">
        <f>SUM(C14:C29)</f>
        <v>487.28000000000003</v>
      </c>
      <c r="D30" s="94">
        <f>SUM(D14:D29)</f>
        <v>0</v>
      </c>
      <c r="E30" s="94">
        <f>SUM(E14:E29)</f>
        <v>974.56000000000006</v>
      </c>
      <c r="F30" s="808"/>
      <c r="G30" s="808"/>
      <c r="H30" s="99">
        <f>SUM(H14:H29)</f>
        <v>990.33839999999998</v>
      </c>
      <c r="I30" s="94">
        <f>SUM(I14:I29)</f>
        <v>5509576.6600000001</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990.33839999999998</v>
      </c>
      <c r="F46" s="34"/>
      <c r="G46" s="106"/>
      <c r="H46" s="107" t="s">
        <v>98</v>
      </c>
      <c r="I46" s="94">
        <f>SUM(I44,I30)</f>
        <v>5509576.6600000001</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5509576.6600000001</v>
      </c>
      <c r="G51" s="109" t="s">
        <v>6</v>
      </c>
      <c r="H51" s="420">
        <f>'1461'!H51</f>
        <v>6.6699999999999995E-2</v>
      </c>
      <c r="I51" s="101">
        <f>ROUND(F51*H51,2)</f>
        <v>367488.76</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5509576.6600000001</v>
      </c>
      <c r="G52" s="109" t="s">
        <v>6</v>
      </c>
      <c r="H52" s="420">
        <f>'1461'!H52</f>
        <v>5.4000000000000003E-3</v>
      </c>
      <c r="I52" s="101">
        <f>ROUND(F52*H52,2)</f>
        <v>29751.71</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397240.47000000003</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19</v>
      </c>
      <c r="D60" s="143">
        <v>0</v>
      </c>
      <c r="E60" s="116">
        <f t="shared" si="10"/>
        <v>38</v>
      </c>
      <c r="F60" s="462" t="s">
        <v>13</v>
      </c>
      <c r="G60" s="461">
        <v>251</v>
      </c>
      <c r="H60" s="475">
        <f>'1461'!H60</f>
        <v>1173</v>
      </c>
      <c r="I60" s="101">
        <f t="shared" si="11"/>
        <v>44574</v>
      </c>
      <c r="N60" s="866"/>
      <c r="O60" s="866"/>
      <c r="P60" s="868"/>
      <c r="Q60" s="868"/>
      <c r="R60" s="40" t="s">
        <v>13</v>
      </c>
      <c r="S60" s="467">
        <v>251</v>
      </c>
      <c r="T60" s="478">
        <f t="shared" si="12"/>
        <v>1173</v>
      </c>
      <c r="U60" s="492">
        <f t="shared" si="13"/>
        <v>0</v>
      </c>
      <c r="V60" s="442"/>
    </row>
    <row r="61" spans="1:22" x14ac:dyDescent="0.25">
      <c r="A61" s="815"/>
      <c r="B61" s="815"/>
      <c r="C61" s="143">
        <v>3.5</v>
      </c>
      <c r="D61" s="143">
        <v>0</v>
      </c>
      <c r="E61" s="116">
        <f t="shared" si="10"/>
        <v>7</v>
      </c>
      <c r="F61" s="462" t="s">
        <v>13</v>
      </c>
      <c r="G61" s="461">
        <v>252</v>
      </c>
      <c r="H61" s="475">
        <f>'1461'!H61</f>
        <v>3506</v>
      </c>
      <c r="I61" s="101">
        <f t="shared" si="11"/>
        <v>24542</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25.5</v>
      </c>
      <c r="D63" s="143">
        <v>0</v>
      </c>
      <c r="E63" s="116">
        <f t="shared" si="10"/>
        <v>51</v>
      </c>
      <c r="F63" s="462" t="s">
        <v>14</v>
      </c>
      <c r="G63" s="461">
        <v>251</v>
      </c>
      <c r="H63" s="475">
        <f>'1461'!H63</f>
        <v>835</v>
      </c>
      <c r="I63" s="101">
        <f t="shared" si="11"/>
        <v>42585</v>
      </c>
      <c r="N63" s="866"/>
      <c r="O63" s="866"/>
      <c r="P63" s="868"/>
      <c r="Q63" s="868"/>
      <c r="R63" s="40" t="s">
        <v>14</v>
      </c>
      <c r="S63" s="467">
        <v>251</v>
      </c>
      <c r="T63" s="478">
        <f t="shared" si="12"/>
        <v>835</v>
      </c>
      <c r="U63" s="492">
        <f t="shared" si="13"/>
        <v>0</v>
      </c>
      <c r="V63" s="442"/>
    </row>
    <row r="64" spans="1:22" x14ac:dyDescent="0.25">
      <c r="A64" s="815"/>
      <c r="B64" s="815"/>
      <c r="C64" s="143">
        <v>5</v>
      </c>
      <c r="D64" s="143">
        <v>0</v>
      </c>
      <c r="E64" s="116">
        <f t="shared" si="10"/>
        <v>10</v>
      </c>
      <c r="F64" s="462" t="s">
        <v>14</v>
      </c>
      <c r="G64" s="461">
        <v>252</v>
      </c>
      <c r="H64" s="475">
        <f>'1461'!H64</f>
        <v>3168</v>
      </c>
      <c r="I64" s="101">
        <f t="shared" si="11"/>
        <v>31680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53</v>
      </c>
      <c r="D66" s="97">
        <f>SUM(D57:D65)</f>
        <v>0</v>
      </c>
      <c r="E66" s="97">
        <f>SUM(E57:E65)</f>
        <v>106</v>
      </c>
      <c r="F66" s="816" t="s">
        <v>460</v>
      </c>
      <c r="G66" s="816"/>
      <c r="H66" s="816"/>
      <c r="I66" s="97">
        <f>SUM(I57:I65)</f>
        <v>143381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974.56000000000006</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4.5259999999999996E-3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990.33839999999998</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4.3239999999999997E-3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974.56000000000006</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5.2350000000000001E-3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974.56000000000006</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4.5319999999999996E-3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974.56000000000006</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5.2440000000000004E-3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4.5319999999999996E-3</v>
      </c>
      <c r="I85" s="101">
        <f>ROUND(F85*H85,2)</f>
        <v>214321.67</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4.5259999999999996E-3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5.2440000000000004E-3</v>
      </c>
      <c r="I90" s="101">
        <f>ROUND(F90*H90,2)</f>
        <v>100516.37</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5.2350000000000001E-3</v>
      </c>
      <c r="I92" s="101">
        <f t="shared" ref="I92:I96" si="14">ROUND(F92*H92,2)</f>
        <v>60447.96</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4.3239999999999997E-3</v>
      </c>
      <c r="I94" s="101">
        <f t="shared" si="14"/>
        <v>1162361.5900000001</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4.3239999999999997E-3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4.5259999999999996E-3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403.95050000000003</v>
      </c>
      <c r="D105" s="822"/>
      <c r="E105" s="46">
        <f>H8</f>
        <v>1.0355000000000001</v>
      </c>
      <c r="F105" s="302">
        <f>'1461'!F105</f>
        <v>915.09</v>
      </c>
      <c r="G105" s="39" t="s">
        <v>12</v>
      </c>
      <c r="H105" s="101">
        <f>ROUND(C105*E105*F105,2)</f>
        <v>382773.68</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586.38789999999995</v>
      </c>
      <c r="D106" s="822"/>
      <c r="E106" s="46">
        <f>H8</f>
        <v>1.0355000000000001</v>
      </c>
      <c r="F106" s="302">
        <f>'1461'!F106</f>
        <v>917.3</v>
      </c>
      <c r="G106" s="39" t="s">
        <v>12</v>
      </c>
      <c r="H106" s="94">
        <f>ROUND(C106*E106*F106,2)</f>
        <v>556988.84</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990.33839999999998</v>
      </c>
      <c r="D107" s="812"/>
      <c r="E107" s="123"/>
      <c r="F107" s="123"/>
      <c r="G107" s="123"/>
      <c r="H107" s="124" t="s">
        <v>100</v>
      </c>
      <c r="I107" s="101">
        <f>IF(A1=75,0,H106+H105+H104)</f>
        <v>939762.52</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8130367.7699999996</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7733127.2999999998</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7733127.2999999998</v>
      </c>
      <c r="I135" s="94">
        <f>ROUND(IF(E30=0,0,IF(E30&gt;250,-(((250/E30)*H135)*IF(G135="H",0.02,0.05)),IF(G135="H",-0.02*H135,-0.05*H135))),2)</f>
        <v>-99187.42</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8031180.3499999996</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Payments'!Q116</f>
        <v>-660664.68999999994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7370515.6600000001</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670046.88</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287468.95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2">
    <tabColor rgb="FFFFCCCC"/>
  </sheetPr>
  <dimension ref="A1:V221"/>
  <sheetViews>
    <sheetView topLeftCell="A108" workbookViewId="0">
      <selection activeCell="I95" sqref="I95"/>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5.7109375"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333</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4"/>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350" t="str">
        <f>'1461'!C10</f>
        <v xml:space="preserve"> </v>
      </c>
      <c r="D10" s="350"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103.18</v>
      </c>
      <c r="D18" s="143">
        <v>0</v>
      </c>
      <c r="E18" s="116">
        <f t="shared" si="1"/>
        <v>206.36</v>
      </c>
      <c r="F18" s="850">
        <f>'1461'!F18:G18</f>
        <v>0.97199999999999998</v>
      </c>
      <c r="G18" s="850"/>
      <c r="H18" s="80">
        <f t="shared" si="2"/>
        <v>200.58189999999999</v>
      </c>
      <c r="I18" s="101">
        <f t="shared" si="3"/>
        <v>1115902.76</v>
      </c>
      <c r="N18" s="851" t="s">
        <v>24</v>
      </c>
      <c r="O18" s="851"/>
      <c r="P18" s="848">
        <f t="shared" si="0"/>
        <v>0</v>
      </c>
      <c r="Q18" s="848"/>
      <c r="R18" s="852">
        <v>1</v>
      </c>
      <c r="S18" s="852"/>
      <c r="T18" s="95">
        <f t="shared" si="4"/>
        <v>0</v>
      </c>
      <c r="U18" s="491">
        <f t="shared" si="5"/>
        <v>0</v>
      </c>
    </row>
    <row r="19" spans="1:21" x14ac:dyDescent="0.25">
      <c r="A19" s="804" t="s">
        <v>25</v>
      </c>
      <c r="B19" s="804"/>
      <c r="C19" s="143">
        <v>17.920000000000002</v>
      </c>
      <c r="D19" s="143">
        <v>0</v>
      </c>
      <c r="E19" s="116">
        <f t="shared" si="1"/>
        <v>35.840000000000003</v>
      </c>
      <c r="F19" s="850">
        <f>'1461'!F19:G19</f>
        <v>0.97199999999999998</v>
      </c>
      <c r="G19" s="850"/>
      <c r="H19" s="80">
        <f t="shared" si="2"/>
        <v>34.836500000000001</v>
      </c>
      <c r="I19" s="101">
        <f t="shared" si="3"/>
        <v>193806.85</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23.78</v>
      </c>
      <c r="D28" s="143">
        <v>0</v>
      </c>
      <c r="E28" s="116">
        <f t="shared" si="1"/>
        <v>47.56</v>
      </c>
      <c r="F28" s="850">
        <f>'1461'!F28:G28</f>
        <v>1.165</v>
      </c>
      <c r="G28" s="850"/>
      <c r="H28" s="80">
        <f t="shared" si="2"/>
        <v>55.407400000000003</v>
      </c>
      <c r="I28" s="101">
        <f t="shared" si="3"/>
        <v>308249.5</v>
      </c>
      <c r="N28" s="851" t="s">
        <v>87</v>
      </c>
      <c r="O28" s="851"/>
      <c r="P28" s="848">
        <f t="shared" si="0"/>
        <v>0</v>
      </c>
      <c r="Q28" s="848"/>
      <c r="R28" s="852">
        <v>1</v>
      </c>
      <c r="S28" s="852"/>
      <c r="T28" s="95">
        <f t="shared" si="4"/>
        <v>0</v>
      </c>
      <c r="U28" s="491">
        <f t="shared" si="5"/>
        <v>0</v>
      </c>
    </row>
    <row r="29" spans="1:21" x14ac:dyDescent="0.25">
      <c r="A29" s="804" t="s">
        <v>88</v>
      </c>
      <c r="B29" s="804"/>
      <c r="C29" s="110">
        <v>8.64</v>
      </c>
      <c r="D29" s="110">
        <v>0</v>
      </c>
      <c r="E29" s="116">
        <f t="shared" si="1"/>
        <v>17.28</v>
      </c>
      <c r="F29" s="850">
        <f>'1461'!F29:G29</f>
        <v>1.081</v>
      </c>
      <c r="G29" s="850"/>
      <c r="H29" s="93">
        <f t="shared" si="2"/>
        <v>18.6797</v>
      </c>
      <c r="I29" s="94">
        <f t="shared" si="3"/>
        <v>103921.28</v>
      </c>
      <c r="N29" s="853" t="s">
        <v>88</v>
      </c>
      <c r="O29" s="853"/>
      <c r="P29" s="848">
        <f t="shared" si="0"/>
        <v>0</v>
      </c>
      <c r="Q29" s="848"/>
      <c r="R29" s="854">
        <v>1</v>
      </c>
      <c r="S29" s="854"/>
      <c r="T29" s="95">
        <f t="shared" si="4"/>
        <v>0</v>
      </c>
      <c r="U29" s="491">
        <f t="shared" si="5"/>
        <v>0</v>
      </c>
    </row>
    <row r="30" spans="1:21" x14ac:dyDescent="0.25">
      <c r="A30" s="816" t="s">
        <v>5</v>
      </c>
      <c r="B30" s="816"/>
      <c r="C30" s="94">
        <f>SUM(C14:C29)</f>
        <v>153.51999999999998</v>
      </c>
      <c r="D30" s="94">
        <f>SUM(D14:D29)</f>
        <v>0</v>
      </c>
      <c r="E30" s="97">
        <f>SUM(E14:E29)</f>
        <v>307.03999999999996</v>
      </c>
      <c r="F30" s="808"/>
      <c r="G30" s="808"/>
      <c r="H30" s="99">
        <f>SUM(H14:H29)</f>
        <v>309.50550000000004</v>
      </c>
      <c r="I30" s="94">
        <f>SUM(I14:I29)</f>
        <v>1721880.3900000001</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42">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44">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44">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44">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44">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36">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309.50550000000004</v>
      </c>
      <c r="F46" s="34"/>
      <c r="G46" s="106"/>
      <c r="H46" s="107" t="s">
        <v>98</v>
      </c>
      <c r="I46" s="94">
        <f>SUM(I44,I30)</f>
        <v>1721880.3900000001</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1721880.3900000001</v>
      </c>
      <c r="G51" s="109" t="s">
        <v>6</v>
      </c>
      <c r="H51" s="420">
        <f>'1461'!H51</f>
        <v>6.6699999999999995E-2</v>
      </c>
      <c r="I51" s="101">
        <f>ROUND(F51*H51,2)</f>
        <v>114849.42</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1721880.3900000001</v>
      </c>
      <c r="G52" s="109" t="s">
        <v>6</v>
      </c>
      <c r="H52" s="420">
        <f>'1461'!H52</f>
        <v>5.4000000000000003E-3</v>
      </c>
      <c r="I52" s="101">
        <f>ROUND(F52*H52,2)</f>
        <v>9298.15</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124147.56999999999</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17.920000000000002</v>
      </c>
      <c r="D63" s="143">
        <v>0</v>
      </c>
      <c r="E63" s="116">
        <f t="shared" si="10"/>
        <v>35.840000000000003</v>
      </c>
      <c r="F63" s="462" t="s">
        <v>14</v>
      </c>
      <c r="G63" s="461">
        <v>251</v>
      </c>
      <c r="H63" s="475">
        <f>'1461'!H63</f>
        <v>835</v>
      </c>
      <c r="I63" s="101">
        <f t="shared" si="11"/>
        <v>29926.400000000001</v>
      </c>
      <c r="N63" s="866"/>
      <c r="O63" s="866"/>
      <c r="P63" s="868"/>
      <c r="Q63" s="868"/>
      <c r="R63" s="40" t="s">
        <v>14</v>
      </c>
      <c r="S63" s="467">
        <v>251</v>
      </c>
      <c r="T63" s="478">
        <f t="shared" si="12"/>
        <v>835</v>
      </c>
      <c r="U63" s="492">
        <f t="shared" si="13"/>
        <v>0</v>
      </c>
      <c r="V63" s="442"/>
    </row>
    <row r="64" spans="1:22" x14ac:dyDescent="0.25">
      <c r="A64" s="815"/>
      <c r="B64" s="815"/>
      <c r="C64" s="143">
        <v>0</v>
      </c>
      <c r="D64" s="143">
        <v>0</v>
      </c>
      <c r="E64" s="116">
        <f t="shared" si="10"/>
        <v>0</v>
      </c>
      <c r="F64" s="462" t="s">
        <v>14</v>
      </c>
      <c r="G64" s="461">
        <v>252</v>
      </c>
      <c r="H64" s="475">
        <f>'1461'!H64</f>
        <v>3168</v>
      </c>
      <c r="I64" s="101">
        <f t="shared" si="11"/>
        <v>0</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17.920000000000002</v>
      </c>
      <c r="D66" s="97">
        <f>SUM(D57:D65)</f>
        <v>0</v>
      </c>
      <c r="E66" s="97">
        <f>SUM(E57:E65)</f>
        <v>35.840000000000003</v>
      </c>
      <c r="F66" s="816" t="s">
        <v>460</v>
      </c>
      <c r="G66" s="816"/>
      <c r="H66" s="816"/>
      <c r="I66" s="97">
        <f>SUM(I57:I65)</f>
        <v>29926.400000000001</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307.03999999999996</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1.426E-3</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309.50550000000004</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1.351E-3</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307.03999999999996</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1.6490000000000001E-3</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307.03999999999996</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1.428E-3</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307.03999999999996</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1.652E-3</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1.428E-3</v>
      </c>
      <c r="I85" s="101">
        <f>ROUND(F85*H85,2)</f>
        <v>67531.19</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53"/>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1.426E-3</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1.652E-3</v>
      </c>
      <c r="I90" s="101">
        <f>ROUND(F90*H90,2)</f>
        <v>31665.34</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1.6490000000000001E-3</v>
      </c>
      <c r="I92" s="101">
        <f t="shared" ref="I92:I96" si="14">ROUND(F92*H92,2)</f>
        <v>19040.82</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1.351E-3</v>
      </c>
      <c r="I94" s="101">
        <f>ROUND(F94*H94,2)</f>
        <v>363170.79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1.351E-3</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1.426E-3</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309.50550000000004</v>
      </c>
      <c r="D106" s="822"/>
      <c r="E106" s="46">
        <f>H8</f>
        <v>1.0355000000000001</v>
      </c>
      <c r="F106" s="302">
        <f>'1461'!F106</f>
        <v>917.3</v>
      </c>
      <c r="G106" s="39" t="s">
        <v>12</v>
      </c>
      <c r="H106" s="94">
        <f>ROUND(C106*E106*F106,2)</f>
        <v>293988.18</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309.50550000000004</v>
      </c>
      <c r="D107" s="812"/>
      <c r="E107" s="123"/>
      <c r="F107" s="123"/>
      <c r="G107" s="123"/>
      <c r="H107" s="124" t="s">
        <v>100</v>
      </c>
      <c r="I107" s="101">
        <f>IF(A1=75,0,H106+H105+H104)</f>
        <v>293988.18</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t="s">
        <v>2</v>
      </c>
      <c r="D112" s="340" t="s">
        <v>2</v>
      </c>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44">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44">
        <f>C114</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42">
        <f>IF(D30=0,C121*2,C121+D121)</f>
        <v>0</v>
      </c>
      <c r="F121" s="902">
        <v>0</v>
      </c>
      <c r="G121" s="902"/>
      <c r="H121" s="61">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44">
        <f>IF(D31=0,C122*2,C122+D122)</f>
        <v>0</v>
      </c>
      <c r="F122" s="824">
        <f>ROUND(F121/2,2)</f>
        <v>0</v>
      </c>
      <c r="G122" s="824"/>
      <c r="H122" s="61">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44">
        <f>IF(D32=0,C123*2,C123+D123)</f>
        <v>0</v>
      </c>
      <c r="F123" s="825"/>
      <c r="G123" s="825"/>
      <c r="H123" s="63">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2527203.1100000003</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2403055.5400000005</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2403055.5400000005</v>
      </c>
      <c r="I135" s="94">
        <f>ROUND(IF(E30=0,0,IF(E30&gt;250,-(((250/E30)*H135)*IF(G135="H",0.02,0.05)),IF(G135="H",-0.02*H135,-0.05*H135))),2)</f>
        <v>-97831.53</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2429371.5800000005</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Payments'!Q117</f>
        <v>-200228.99</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2229142.5900000008</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202649.33</v>
      </c>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22321.25</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386"/>
      <c r="Q149" s="73"/>
      <c r="R149" s="73"/>
      <c r="S149" s="73"/>
      <c r="T149" s="73"/>
      <c r="U149" s="73"/>
    </row>
    <row r="150" spans="1:21" x14ac:dyDescent="0.25">
      <c r="B150" s="69"/>
      <c r="C150" s="69"/>
      <c r="D150" s="69"/>
      <c r="E150" s="69"/>
      <c r="F150" s="69"/>
      <c r="G150" s="69"/>
      <c r="H150" s="65"/>
      <c r="I150" s="134"/>
      <c r="N150" s="73"/>
      <c r="O150" s="73"/>
      <c r="P150" s="386"/>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N155:U155"/>
    <mergeCell ref="N130:T130"/>
    <mergeCell ref="A128:H128"/>
    <mergeCell ref="A132:G132"/>
    <mergeCell ref="N135:U135"/>
    <mergeCell ref="A133:G133"/>
    <mergeCell ref="N136:U136"/>
    <mergeCell ref="A123:B123"/>
    <mergeCell ref="F123:G123"/>
    <mergeCell ref="N123:O123"/>
    <mergeCell ref="P123:Q123"/>
    <mergeCell ref="R123:S123"/>
    <mergeCell ref="A124:B124"/>
    <mergeCell ref="N124:O124"/>
    <mergeCell ref="A126:C126"/>
    <mergeCell ref="F126:H126"/>
    <mergeCell ref="N126:P126"/>
    <mergeCell ref="N132:T132"/>
    <mergeCell ref="N133:T133"/>
    <mergeCell ref="A121:B121"/>
    <mergeCell ref="F121:G121"/>
    <mergeCell ref="N121:O121"/>
    <mergeCell ref="P121:Q121"/>
    <mergeCell ref="R121:S121"/>
    <mergeCell ref="A122:B122"/>
    <mergeCell ref="F122:G122"/>
    <mergeCell ref="N122:O122"/>
    <mergeCell ref="P122:Q122"/>
    <mergeCell ref="R122:S122"/>
    <mergeCell ref="A117:C117"/>
    <mergeCell ref="F117:I117"/>
    <mergeCell ref="N117:U117"/>
    <mergeCell ref="C118:E118"/>
    <mergeCell ref="F119:G119"/>
    <mergeCell ref="A120:B120"/>
    <mergeCell ref="F120:G120"/>
    <mergeCell ref="N120:O120"/>
    <mergeCell ref="P120:Q120"/>
    <mergeCell ref="R120:S120"/>
    <mergeCell ref="F110:I110"/>
    <mergeCell ref="N110:P110"/>
    <mergeCell ref="Q110:T11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T78:U78"/>
    <mergeCell ref="A96:C96"/>
    <mergeCell ref="N96:P96"/>
    <mergeCell ref="C102:D102"/>
    <mergeCell ref="C103:D103"/>
    <mergeCell ref="N103:O103"/>
    <mergeCell ref="P103:Q103"/>
    <mergeCell ref="N88:P88"/>
    <mergeCell ref="R103:U103"/>
    <mergeCell ref="T72:U72"/>
    <mergeCell ref="R66:T66"/>
    <mergeCell ref="A88:C88"/>
    <mergeCell ref="A94:C94"/>
    <mergeCell ref="N94:P94"/>
    <mergeCell ref="N79:S79"/>
    <mergeCell ref="T79:U79"/>
    <mergeCell ref="A81:B81"/>
    <mergeCell ref="D81:G81"/>
    <mergeCell ref="N81:O81"/>
    <mergeCell ref="Q81:S81"/>
    <mergeCell ref="T81:U81"/>
    <mergeCell ref="N82:S82"/>
    <mergeCell ref="A87:C87"/>
    <mergeCell ref="N87:P87"/>
    <mergeCell ref="T82:U82"/>
    <mergeCell ref="N73:S73"/>
    <mergeCell ref="T73:U73"/>
    <mergeCell ref="N76:S76"/>
    <mergeCell ref="T76:U76"/>
    <mergeCell ref="A78:B78"/>
    <mergeCell ref="D78:G78"/>
    <mergeCell ref="N78:O78"/>
    <mergeCell ref="Q78:S78"/>
    <mergeCell ref="A43:B43"/>
    <mergeCell ref="N43:O43"/>
    <mergeCell ref="P43:T43"/>
    <mergeCell ref="N44:Q44"/>
    <mergeCell ref="S44:T44"/>
    <mergeCell ref="N46:Q46"/>
    <mergeCell ref="S46:T46"/>
    <mergeCell ref="A57:B65"/>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A40:B40"/>
    <mergeCell ref="N40:O40"/>
    <mergeCell ref="P40:T40"/>
    <mergeCell ref="A41:B41"/>
    <mergeCell ref="N41:O41"/>
    <mergeCell ref="P41:T41"/>
    <mergeCell ref="A42:B42"/>
    <mergeCell ref="N42:O42"/>
    <mergeCell ref="P42:T42"/>
    <mergeCell ref="F66:H66"/>
    <mergeCell ref="N57:O65"/>
    <mergeCell ref="P65:Q65"/>
    <mergeCell ref="P66:Q66"/>
    <mergeCell ref="F34:H37"/>
    <mergeCell ref="N35:T35"/>
    <mergeCell ref="A37:B37"/>
    <mergeCell ref="N37:O37"/>
    <mergeCell ref="P37:T37"/>
    <mergeCell ref="A38:B38"/>
    <mergeCell ref="N38:O38"/>
    <mergeCell ref="P38:T38"/>
    <mergeCell ref="A39:B39"/>
    <mergeCell ref="N39:O39"/>
    <mergeCell ref="P39:T39"/>
    <mergeCell ref="P56:Q56"/>
    <mergeCell ref="P57:Q57"/>
    <mergeCell ref="P58:Q58"/>
    <mergeCell ref="P59:Q59"/>
    <mergeCell ref="P60:Q60"/>
    <mergeCell ref="P61:Q61"/>
    <mergeCell ref="P62:Q62"/>
    <mergeCell ref="P63:Q63"/>
    <mergeCell ref="P64:Q64"/>
    <mergeCell ref="A29:B29"/>
    <mergeCell ref="F29:G29"/>
    <mergeCell ref="N29:O29"/>
    <mergeCell ref="P29:Q29"/>
    <mergeCell ref="R29:S29"/>
    <mergeCell ref="A30:B30"/>
    <mergeCell ref="F30:G30"/>
    <mergeCell ref="N30:O30"/>
    <mergeCell ref="P30:Q30"/>
    <mergeCell ref="R30:S30"/>
    <mergeCell ref="A27:B27"/>
    <mergeCell ref="F27:G27"/>
    <mergeCell ref="N27:O27"/>
    <mergeCell ref="P27:Q27"/>
    <mergeCell ref="R27:S27"/>
    <mergeCell ref="A28:B28"/>
    <mergeCell ref="F28:G28"/>
    <mergeCell ref="N28:O28"/>
    <mergeCell ref="P28:Q28"/>
    <mergeCell ref="R28:S28"/>
    <mergeCell ref="A25:B25"/>
    <mergeCell ref="F25:G25"/>
    <mergeCell ref="N25:O25"/>
    <mergeCell ref="P25:Q25"/>
    <mergeCell ref="R25:S25"/>
    <mergeCell ref="A26:B26"/>
    <mergeCell ref="F26:G26"/>
    <mergeCell ref="N26:O26"/>
    <mergeCell ref="P26:Q26"/>
    <mergeCell ref="R26:S26"/>
    <mergeCell ref="A23:B23"/>
    <mergeCell ref="F23:G23"/>
    <mergeCell ref="N23:O23"/>
    <mergeCell ref="P23:Q23"/>
    <mergeCell ref="R23:S23"/>
    <mergeCell ref="A24:B24"/>
    <mergeCell ref="F24:G24"/>
    <mergeCell ref="N24:O24"/>
    <mergeCell ref="P24:Q24"/>
    <mergeCell ref="R24:S24"/>
    <mergeCell ref="A21:B21"/>
    <mergeCell ref="F21:G21"/>
    <mergeCell ref="N21:O21"/>
    <mergeCell ref="P21:Q21"/>
    <mergeCell ref="R21:S21"/>
    <mergeCell ref="A22:B22"/>
    <mergeCell ref="F22:G22"/>
    <mergeCell ref="N22:O22"/>
    <mergeCell ref="P22:Q22"/>
    <mergeCell ref="R22:S22"/>
    <mergeCell ref="A19:B19"/>
    <mergeCell ref="F19:G19"/>
    <mergeCell ref="N19:O19"/>
    <mergeCell ref="P19:Q19"/>
    <mergeCell ref="R19:S19"/>
    <mergeCell ref="A20:B20"/>
    <mergeCell ref="F20:G20"/>
    <mergeCell ref="N20:O20"/>
    <mergeCell ref="P20:Q20"/>
    <mergeCell ref="R20:S20"/>
    <mergeCell ref="A17:B17"/>
    <mergeCell ref="F17:G17"/>
    <mergeCell ref="N17:O17"/>
    <mergeCell ref="P17:Q17"/>
    <mergeCell ref="R17:S17"/>
    <mergeCell ref="A18:B18"/>
    <mergeCell ref="F18:G18"/>
    <mergeCell ref="N18:O18"/>
    <mergeCell ref="P18:Q18"/>
    <mergeCell ref="R18:S18"/>
    <mergeCell ref="A15:B15"/>
    <mergeCell ref="F15:G15"/>
    <mergeCell ref="N15:O15"/>
    <mergeCell ref="P15:Q15"/>
    <mergeCell ref="R15:S15"/>
    <mergeCell ref="A16:B16"/>
    <mergeCell ref="F16:G16"/>
    <mergeCell ref="N16:O16"/>
    <mergeCell ref="P16:Q16"/>
    <mergeCell ref="R16:S16"/>
    <mergeCell ref="A13:B13"/>
    <mergeCell ref="F13:G13"/>
    <mergeCell ref="N13:O13"/>
    <mergeCell ref="P13:Q13"/>
    <mergeCell ref="R13:S13"/>
    <mergeCell ref="A14:B14"/>
    <mergeCell ref="F14:G14"/>
    <mergeCell ref="N14:O14"/>
    <mergeCell ref="P14:Q14"/>
    <mergeCell ref="R14:S14"/>
    <mergeCell ref="B1:I1"/>
    <mergeCell ref="O1:U1"/>
    <mergeCell ref="N2:U2"/>
    <mergeCell ref="N3:U3"/>
    <mergeCell ref="A4:B4"/>
    <mergeCell ref="C4:E4"/>
    <mergeCell ref="N4:O4"/>
    <mergeCell ref="P4:Q4"/>
    <mergeCell ref="A7:I7"/>
    <mergeCell ref="N7:U7"/>
    <mergeCell ref="N8:O8"/>
    <mergeCell ref="P8:Q8"/>
    <mergeCell ref="R8:S8"/>
    <mergeCell ref="T8:U8"/>
    <mergeCell ref="F11:G11"/>
    <mergeCell ref="R11:S11"/>
    <mergeCell ref="A12:B12"/>
    <mergeCell ref="F12:G12"/>
    <mergeCell ref="N12:O12"/>
    <mergeCell ref="P12:Q12"/>
    <mergeCell ref="R12:S12"/>
    <mergeCell ref="T9:U9"/>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21">
    <tabColor rgb="FFFFCCCC"/>
  </sheetPr>
  <dimension ref="A1:V221"/>
  <sheetViews>
    <sheetView topLeftCell="A105" workbookViewId="0">
      <selection activeCell="H94" sqref="H94"/>
    </sheetView>
    <sheetView workbookViewId="1"/>
  </sheetViews>
  <sheetFormatPr defaultColWidth="9.140625" defaultRowHeight="15.75" x14ac:dyDescent="0.25"/>
  <cols>
    <col min="1" max="1" width="10.28515625" style="69" customWidth="1"/>
    <col min="2" max="2" width="30.28515625" style="3" bestFit="1" customWidth="1"/>
    <col min="3" max="4" width="10.7109375" style="3" customWidth="1"/>
    <col min="5" max="5" width="11.7109375" style="3" customWidth="1"/>
    <col min="6" max="6" width="14" style="3" customWidth="1"/>
    <col min="7" max="7" width="7.42578125" style="3" customWidth="1"/>
    <col min="8" max="8" width="14.5703125" style="3" customWidth="1"/>
    <col min="9" max="9" width="23.7109375" style="3" bestFit="1" customWidth="1"/>
    <col min="10" max="10" width="11" style="3" bestFit="1" customWidth="1"/>
    <col min="11" max="12" width="10.28515625" style="3" bestFit="1" customWidth="1"/>
    <col min="13" max="13" width="9.140625" style="3"/>
    <col min="14" max="14" width="10.28515625" style="69" customWidth="1"/>
    <col min="15" max="15" width="34.28515625" style="3" customWidth="1"/>
    <col min="16" max="16" width="16.42578125" style="3" customWidth="1"/>
    <col min="17" max="17" width="6.7109375" style="3" customWidth="1"/>
    <col min="18" max="18" width="14.5703125" style="3" customWidth="1"/>
    <col min="19" max="19" width="8" style="3" customWidth="1"/>
    <col min="20" max="20" width="15.42578125" style="3" customWidth="1"/>
    <col min="21" max="21" width="21.42578125" style="3" customWidth="1"/>
    <col min="22" max="16384" width="9.140625" style="3"/>
  </cols>
  <sheetData>
    <row r="1" spans="1:21" ht="16.5" thickBot="1" x14ac:dyDescent="0.3">
      <c r="A1" s="82"/>
      <c r="B1" s="792" t="s">
        <v>15</v>
      </c>
      <c r="C1" s="793"/>
      <c r="D1" s="793"/>
      <c r="E1" s="793"/>
      <c r="F1" s="793"/>
      <c r="G1" s="793"/>
      <c r="H1" s="793"/>
      <c r="I1" s="793"/>
      <c r="J1" s="135"/>
      <c r="K1" s="135"/>
      <c r="L1" s="135"/>
      <c r="N1" s="82">
        <f>A1</f>
        <v>0</v>
      </c>
      <c r="O1" s="826" t="s">
        <v>15</v>
      </c>
      <c r="P1" s="827"/>
      <c r="Q1" s="827"/>
      <c r="R1" s="827"/>
      <c r="S1" s="827"/>
      <c r="T1" s="827"/>
      <c r="U1" s="827"/>
    </row>
    <row r="2" spans="1:21" ht="21" x14ac:dyDescent="0.35">
      <c r="A2" s="1" t="s">
        <v>372</v>
      </c>
      <c r="B2" s="2"/>
      <c r="C2" s="2"/>
      <c r="D2" s="2"/>
      <c r="E2" s="2"/>
      <c r="F2" s="2"/>
      <c r="G2" s="2"/>
      <c r="H2" s="2"/>
      <c r="I2" s="2"/>
      <c r="N2" s="828" t="s">
        <v>18</v>
      </c>
      <c r="O2" s="828"/>
      <c r="P2" s="828"/>
      <c r="Q2" s="828"/>
      <c r="R2" s="828"/>
      <c r="S2" s="828"/>
      <c r="T2" s="828"/>
      <c r="U2" s="828"/>
    </row>
    <row r="3" spans="1:21" x14ac:dyDescent="0.25">
      <c r="A3" s="81" t="str">
        <f>'1461'!A3</f>
        <v>Based on the FLDOE 2025-26 FEFP Calculation</v>
      </c>
      <c r="N3" s="829" t="str">
        <f>A3</f>
        <v>Based on the FLDOE 2025-26 FEFP Calculation</v>
      </c>
      <c r="O3" s="829"/>
      <c r="P3" s="829"/>
      <c r="Q3" s="829"/>
      <c r="R3" s="829"/>
      <c r="S3" s="829"/>
      <c r="T3" s="829"/>
      <c r="U3" s="829"/>
    </row>
    <row r="4" spans="1:21" x14ac:dyDescent="0.25">
      <c r="A4" s="794" t="s">
        <v>0</v>
      </c>
      <c r="B4" s="794"/>
      <c r="C4" s="795" t="s">
        <v>9</v>
      </c>
      <c r="D4" s="795"/>
      <c r="E4" s="795"/>
      <c r="F4" s="4" t="str">
        <f>'1461'!F4</f>
        <v>August 2025</v>
      </c>
      <c r="G4" s="4"/>
      <c r="H4" s="151"/>
      <c r="I4" s="4"/>
      <c r="N4" s="830" t="s">
        <v>0</v>
      </c>
      <c r="O4" s="830"/>
      <c r="P4" s="831" t="str">
        <f>C4</f>
        <v>Palm Beach</v>
      </c>
      <c r="Q4" s="831"/>
      <c r="R4" s="5"/>
      <c r="S4" s="5"/>
      <c r="T4" s="5"/>
      <c r="U4" s="5"/>
    </row>
    <row r="5" spans="1:21" ht="12" customHeight="1" thickBot="1" x14ac:dyDescent="0.3">
      <c r="A5" s="235"/>
      <c r="B5" s="235"/>
      <c r="C5" s="226"/>
      <c r="D5" s="226"/>
      <c r="E5" s="226"/>
      <c r="F5" s="227"/>
      <c r="G5" s="227"/>
      <c r="H5" s="227"/>
      <c r="I5" s="227"/>
      <c r="N5" s="83"/>
      <c r="O5" s="83"/>
      <c r="P5" s="6"/>
      <c r="Q5" s="6"/>
      <c r="R5" s="5"/>
      <c r="S5" s="5"/>
      <c r="T5" s="5"/>
      <c r="U5" s="5"/>
    </row>
    <row r="6" spans="1:21" ht="12" customHeight="1" x14ac:dyDescent="0.25">
      <c r="A6" s="128"/>
      <c r="B6" s="128"/>
      <c r="C6" s="234"/>
      <c r="D6" s="234"/>
      <c r="E6" s="234"/>
      <c r="F6" s="4"/>
      <c r="G6" s="4"/>
      <c r="H6" s="4"/>
      <c r="I6" s="4"/>
      <c r="N6" s="83"/>
      <c r="O6" s="83"/>
      <c r="P6" s="6"/>
      <c r="Q6" s="6"/>
      <c r="R6" s="5"/>
      <c r="S6" s="5"/>
      <c r="T6" s="5"/>
      <c r="U6" s="5"/>
    </row>
    <row r="7" spans="1:21" x14ac:dyDescent="0.25">
      <c r="A7" s="796" t="s">
        <v>446</v>
      </c>
      <c r="B7" s="837"/>
      <c r="C7" s="837"/>
      <c r="D7" s="837"/>
      <c r="E7" s="837"/>
      <c r="F7" s="837"/>
      <c r="G7" s="837"/>
      <c r="H7" s="837"/>
      <c r="I7" s="837"/>
      <c r="N7" s="830" t="str">
        <f>A7</f>
        <v>1A.   2023-24 FEFP State and Local Funding</v>
      </c>
      <c r="O7" s="830"/>
      <c r="P7" s="830"/>
      <c r="Q7" s="830"/>
      <c r="R7" s="830"/>
      <c r="S7" s="830"/>
      <c r="T7" s="830"/>
      <c r="U7" s="830"/>
    </row>
    <row r="8" spans="1:21" x14ac:dyDescent="0.25">
      <c r="A8" s="84"/>
      <c r="B8" s="85" t="s">
        <v>92</v>
      </c>
      <c r="C8" s="298">
        <f>'1461'!C8</f>
        <v>5372.6</v>
      </c>
      <c r="D8" s="86"/>
      <c r="E8" s="87"/>
      <c r="F8" s="84"/>
      <c r="G8" s="85" t="s">
        <v>408</v>
      </c>
      <c r="H8" s="286">
        <f>'1461'!H8</f>
        <v>1.0355000000000001</v>
      </c>
      <c r="I8" s="75"/>
      <c r="N8" s="838" t="s">
        <v>10</v>
      </c>
      <c r="O8" s="838"/>
      <c r="P8" s="839">
        <f>C8</f>
        <v>5372.6</v>
      </c>
      <c r="Q8" s="839"/>
      <c r="R8" s="840" t="s">
        <v>409</v>
      </c>
      <c r="S8" s="841"/>
      <c r="T8" s="832">
        <f>H8</f>
        <v>1.0355000000000001</v>
      </c>
      <c r="U8" s="832"/>
    </row>
    <row r="9" spans="1:21" x14ac:dyDescent="0.25">
      <c r="A9" s="84"/>
      <c r="B9" s="85"/>
      <c r="C9" s="221"/>
      <c r="D9" s="86"/>
      <c r="E9" s="87"/>
      <c r="F9" s="84"/>
      <c r="G9" s="85" t="s">
        <v>406</v>
      </c>
      <c r="H9" s="286">
        <f>'1461'!H9</f>
        <v>1</v>
      </c>
      <c r="I9" s="75"/>
      <c r="N9" s="12"/>
      <c r="O9" s="12"/>
      <c r="P9" s="13"/>
      <c r="Q9" s="13"/>
      <c r="R9" s="406" t="s">
        <v>407</v>
      </c>
      <c r="S9" s="403"/>
      <c r="T9" s="832">
        <f>H9</f>
        <v>1</v>
      </c>
      <c r="U9" s="832"/>
    </row>
    <row r="10" spans="1:21" x14ac:dyDescent="0.25">
      <c r="A10" s="7"/>
      <c r="B10" s="42" t="s">
        <v>328</v>
      </c>
      <c r="C10" s="474" t="str">
        <f>'1461'!C10</f>
        <v xml:space="preserve"> </v>
      </c>
      <c r="D10" s="88" t="str">
        <f>'1461'!D10</f>
        <v xml:space="preserve"> </v>
      </c>
      <c r="E10" s="8"/>
      <c r="F10" s="9"/>
      <c r="G10" s="9"/>
      <c r="H10" s="10"/>
      <c r="I10" s="304" t="str">
        <f>'1461'!I10</f>
        <v>2025-26</v>
      </c>
      <c r="N10" s="12"/>
      <c r="O10" s="12"/>
      <c r="P10" s="13"/>
      <c r="Q10" s="13"/>
      <c r="R10" s="14"/>
      <c r="S10" s="14"/>
      <c r="T10" s="15"/>
      <c r="U10" s="384" t="str">
        <f>I10</f>
        <v>2025-26</v>
      </c>
    </row>
    <row r="11" spans="1:21" x14ac:dyDescent="0.25">
      <c r="A11" s="7"/>
      <c r="B11" s="7"/>
      <c r="C11" s="88" t="str">
        <f>'1461'!C11</f>
        <v>Oct 2024</v>
      </c>
      <c r="D11" s="349" t="str">
        <f>'1461'!D11</f>
        <v>Feb 2025</v>
      </c>
      <c r="E11" s="89" t="s">
        <v>8</v>
      </c>
      <c r="F11" s="797" t="s">
        <v>1</v>
      </c>
      <c r="G11" s="797"/>
      <c r="H11" s="10" t="s">
        <v>60</v>
      </c>
      <c r="I11" s="11" t="s">
        <v>27</v>
      </c>
      <c r="N11" s="12"/>
      <c r="O11" s="12"/>
      <c r="P11" s="13"/>
      <c r="Q11" s="13"/>
      <c r="R11" s="833" t="s">
        <v>1</v>
      </c>
      <c r="S11" s="833"/>
      <c r="T11" s="15" t="s">
        <v>60</v>
      </c>
      <c r="U11" s="16" t="s">
        <v>27</v>
      </c>
    </row>
    <row r="12" spans="1:21" ht="15.75" customHeight="1" x14ac:dyDescent="0.25">
      <c r="A12" s="798" t="s">
        <v>1</v>
      </c>
      <c r="B12" s="798"/>
      <c r="C12" s="342" t="str">
        <f>'1461'!C12</f>
        <v>FTE</v>
      </c>
      <c r="D12" s="340" t="str">
        <f>'1461'!D12</f>
        <v>FTE</v>
      </c>
      <c r="E12" s="340" t="s">
        <v>2</v>
      </c>
      <c r="F12" s="799" t="s">
        <v>63</v>
      </c>
      <c r="G12" s="799"/>
      <c r="H12" s="17" t="s">
        <v>59</v>
      </c>
      <c r="I12" s="407" t="s">
        <v>410</v>
      </c>
      <c r="N12" s="834" t="s">
        <v>1</v>
      </c>
      <c r="O12" s="834"/>
      <c r="P12" s="835" t="s">
        <v>19</v>
      </c>
      <c r="Q12" s="835"/>
      <c r="R12" s="836" t="s">
        <v>63</v>
      </c>
      <c r="S12" s="836"/>
      <c r="T12" s="18" t="s">
        <v>59</v>
      </c>
      <c r="U12" s="19" t="str">
        <f>I12</f>
        <v>(WFTE x BSA x CWF x SDF)</v>
      </c>
    </row>
    <row r="13" spans="1:21" x14ac:dyDescent="0.25">
      <c r="A13" s="800" t="s">
        <v>36</v>
      </c>
      <c r="B13" s="800"/>
      <c r="C13" s="91"/>
      <c r="D13" s="91"/>
      <c r="E13" s="92" t="s">
        <v>37</v>
      </c>
      <c r="F13" s="842" t="s">
        <v>38</v>
      </c>
      <c r="G13" s="842"/>
      <c r="H13" s="20" t="s">
        <v>39</v>
      </c>
      <c r="I13" s="21" t="s">
        <v>40</v>
      </c>
      <c r="N13" s="843" t="s">
        <v>36</v>
      </c>
      <c r="O13" s="843"/>
      <c r="P13" s="844" t="s">
        <v>37</v>
      </c>
      <c r="Q13" s="844"/>
      <c r="R13" s="845" t="s">
        <v>38</v>
      </c>
      <c r="S13" s="845"/>
      <c r="T13" s="22" t="s">
        <v>39</v>
      </c>
      <c r="U13" s="23" t="s">
        <v>40</v>
      </c>
    </row>
    <row r="14" spans="1:21" x14ac:dyDescent="0.25">
      <c r="A14" s="802" t="s">
        <v>20</v>
      </c>
      <c r="B14" s="802"/>
      <c r="C14" s="143">
        <v>0</v>
      </c>
      <c r="D14" s="141">
        <v>0</v>
      </c>
      <c r="E14" s="187">
        <f>IF(D$30=0,C14*2,C14+D14)</f>
        <v>0</v>
      </c>
      <c r="F14" s="846">
        <f>'1461'!F14:G14</f>
        <v>1.1080000000000001</v>
      </c>
      <c r="G14" s="846"/>
      <c r="H14" s="145">
        <f>ROUND(E14*F14,4)</f>
        <v>0</v>
      </c>
      <c r="I14" s="111">
        <f>ROUND(ROUND(ROUND(H14*$C$8,4)*($H$8),2)*(MAX($H$9,1)),2)</f>
        <v>0</v>
      </c>
      <c r="N14" s="847" t="s">
        <v>20</v>
      </c>
      <c r="O14" s="847"/>
      <c r="P14" s="848">
        <f t="shared" ref="P14:P29" si="0">IF($H$133=1,E14,0)</f>
        <v>0</v>
      </c>
      <c r="Q14" s="848"/>
      <c r="R14" s="849">
        <v>1</v>
      </c>
      <c r="S14" s="849"/>
      <c r="T14" s="95">
        <f>ROUND(P14*R14,4)</f>
        <v>0</v>
      </c>
      <c r="U14" s="491">
        <f>ROUND(ROUND(ROUND(T14*$C$8,4)*($H$8),2)*(MAX($H$9,1)),2)</f>
        <v>0</v>
      </c>
    </row>
    <row r="15" spans="1:21" x14ac:dyDescent="0.25">
      <c r="A15" s="804" t="s">
        <v>21</v>
      </c>
      <c r="B15" s="804"/>
      <c r="C15" s="143">
        <v>0</v>
      </c>
      <c r="D15" s="143">
        <v>0</v>
      </c>
      <c r="E15" s="116">
        <f t="shared" ref="E15:E29" si="1">IF(D$30=0,C15*2,C15+D15)</f>
        <v>0</v>
      </c>
      <c r="F15" s="850">
        <f>'1461'!F15:G15</f>
        <v>1.1080000000000001</v>
      </c>
      <c r="G15" s="850"/>
      <c r="H15" s="80">
        <f t="shared" ref="H15:H29" si="2">ROUND(E15*F15,4)</f>
        <v>0</v>
      </c>
      <c r="I15" s="101">
        <f t="shared" ref="I15:I29" si="3">ROUND(ROUND(ROUND(H15*$C$8,4)*($H$8),2)*(MAX($H$9,1)),2)</f>
        <v>0</v>
      </c>
      <c r="J15" s="65" t="str">
        <f>IF(ROUND(E15,2)=ROUND(SUM(E57:E59),2)," ","CHECK PK-3 LINES BELOW")</f>
        <v xml:space="preserve"> </v>
      </c>
      <c r="N15" s="851" t="s">
        <v>21</v>
      </c>
      <c r="O15" s="851"/>
      <c r="P15" s="848">
        <f t="shared" si="0"/>
        <v>0</v>
      </c>
      <c r="Q15" s="848"/>
      <c r="R15" s="852">
        <v>1</v>
      </c>
      <c r="S15" s="852"/>
      <c r="T15" s="95">
        <f t="shared" ref="T15:T29" si="4">ROUND(P15*R15,4)</f>
        <v>0</v>
      </c>
      <c r="U15" s="491">
        <f t="shared" ref="U15:U29" si="5">ROUND(ROUND(ROUND(T15*$C$8,4)*($H$8),2)*(MAX($H$9,1)),2)</f>
        <v>0</v>
      </c>
    </row>
    <row r="16" spans="1:21" x14ac:dyDescent="0.25">
      <c r="A16" s="804" t="s">
        <v>22</v>
      </c>
      <c r="B16" s="804"/>
      <c r="C16" s="143">
        <v>0</v>
      </c>
      <c r="D16" s="143">
        <v>0</v>
      </c>
      <c r="E16" s="116">
        <f t="shared" si="1"/>
        <v>0</v>
      </c>
      <c r="F16" s="850">
        <f>'1461'!F16:G16</f>
        <v>1</v>
      </c>
      <c r="G16" s="850"/>
      <c r="H16" s="80">
        <f t="shared" si="2"/>
        <v>0</v>
      </c>
      <c r="I16" s="101">
        <f t="shared" si="3"/>
        <v>0</v>
      </c>
      <c r="N16" s="851" t="s">
        <v>22</v>
      </c>
      <c r="O16" s="851"/>
      <c r="P16" s="848">
        <f t="shared" si="0"/>
        <v>0</v>
      </c>
      <c r="Q16" s="848"/>
      <c r="R16" s="852">
        <v>1</v>
      </c>
      <c r="S16" s="852"/>
      <c r="T16" s="95">
        <f t="shared" si="4"/>
        <v>0</v>
      </c>
      <c r="U16" s="491">
        <f t="shared" si="5"/>
        <v>0</v>
      </c>
    </row>
    <row r="17" spans="1:21" x14ac:dyDescent="0.25">
      <c r="A17" s="804" t="s">
        <v>23</v>
      </c>
      <c r="B17" s="804"/>
      <c r="C17" s="143">
        <v>0</v>
      </c>
      <c r="D17" s="143">
        <v>0</v>
      </c>
      <c r="E17" s="116">
        <f t="shared" si="1"/>
        <v>0</v>
      </c>
      <c r="F17" s="850">
        <f>'1461'!F17:G17</f>
        <v>1</v>
      </c>
      <c r="G17" s="850"/>
      <c r="H17" s="80">
        <f t="shared" si="2"/>
        <v>0</v>
      </c>
      <c r="I17" s="101">
        <f t="shared" si="3"/>
        <v>0</v>
      </c>
      <c r="J17" s="65" t="str">
        <f>IF(ROUND(E17,2)=ROUND(SUM(E60:E62),2)," ","CHECK 4-8 LINES BELOW")</f>
        <v xml:space="preserve"> </v>
      </c>
      <c r="N17" s="851" t="s">
        <v>23</v>
      </c>
      <c r="O17" s="851"/>
      <c r="P17" s="848">
        <f t="shared" si="0"/>
        <v>0</v>
      </c>
      <c r="Q17" s="848"/>
      <c r="R17" s="852">
        <v>1</v>
      </c>
      <c r="S17" s="852"/>
      <c r="T17" s="95">
        <f t="shared" si="4"/>
        <v>0</v>
      </c>
      <c r="U17" s="491">
        <f t="shared" si="5"/>
        <v>0</v>
      </c>
    </row>
    <row r="18" spans="1:21" x14ac:dyDescent="0.25">
      <c r="A18" s="804" t="s">
        <v>24</v>
      </c>
      <c r="B18" s="804"/>
      <c r="C18" s="143">
        <v>35.590000000000003</v>
      </c>
      <c r="D18" s="143">
        <v>0</v>
      </c>
      <c r="E18" s="116">
        <f t="shared" si="1"/>
        <v>71.180000000000007</v>
      </c>
      <c r="F18" s="850">
        <f>'1461'!F18:G18</f>
        <v>0.97199999999999998</v>
      </c>
      <c r="G18" s="850"/>
      <c r="H18" s="80">
        <f t="shared" si="2"/>
        <v>69.186999999999998</v>
      </c>
      <c r="I18" s="101">
        <f t="shared" si="3"/>
        <v>384909.93</v>
      </c>
      <c r="N18" s="851" t="s">
        <v>24</v>
      </c>
      <c r="O18" s="851"/>
      <c r="P18" s="848">
        <f t="shared" si="0"/>
        <v>0</v>
      </c>
      <c r="Q18" s="848"/>
      <c r="R18" s="852">
        <v>1</v>
      </c>
      <c r="S18" s="852"/>
      <c r="T18" s="95">
        <f t="shared" si="4"/>
        <v>0</v>
      </c>
      <c r="U18" s="491">
        <f t="shared" si="5"/>
        <v>0</v>
      </c>
    </row>
    <row r="19" spans="1:21" x14ac:dyDescent="0.25">
      <c r="A19" s="804" t="s">
        <v>25</v>
      </c>
      <c r="B19" s="804"/>
      <c r="C19" s="143">
        <v>8.27</v>
      </c>
      <c r="D19" s="143">
        <v>0</v>
      </c>
      <c r="E19" s="116">
        <f t="shared" si="1"/>
        <v>16.54</v>
      </c>
      <c r="F19" s="850">
        <f>'1461'!F19:G19</f>
        <v>0.97199999999999998</v>
      </c>
      <c r="G19" s="850"/>
      <c r="H19" s="80">
        <f t="shared" si="2"/>
        <v>16.076899999999998</v>
      </c>
      <c r="I19" s="101">
        <f t="shared" si="3"/>
        <v>89441.06</v>
      </c>
      <c r="J19" s="65" t="str">
        <f>IF(ROUND(E19,2)=ROUND(SUM(E63:E65),2)," ","CHECK 4-8 LINES BELOW")</f>
        <v xml:space="preserve"> </v>
      </c>
      <c r="N19" s="851" t="s">
        <v>25</v>
      </c>
      <c r="O19" s="851"/>
      <c r="P19" s="848">
        <f t="shared" si="0"/>
        <v>0</v>
      </c>
      <c r="Q19" s="848"/>
      <c r="R19" s="852">
        <v>1</v>
      </c>
      <c r="S19" s="852"/>
      <c r="T19" s="95">
        <f t="shared" si="4"/>
        <v>0</v>
      </c>
      <c r="U19" s="490">
        <f t="shared" si="5"/>
        <v>0</v>
      </c>
    </row>
    <row r="20" spans="1:21" x14ac:dyDescent="0.25">
      <c r="A20" s="804" t="s">
        <v>79</v>
      </c>
      <c r="B20" s="804"/>
      <c r="C20" s="143">
        <v>0</v>
      </c>
      <c r="D20" s="143">
        <v>0</v>
      </c>
      <c r="E20" s="116">
        <f t="shared" si="1"/>
        <v>0</v>
      </c>
      <c r="F20" s="850">
        <f>'1461'!F20:G20</f>
        <v>3.609</v>
      </c>
      <c r="G20" s="850"/>
      <c r="H20" s="80">
        <f t="shared" si="2"/>
        <v>0</v>
      </c>
      <c r="I20" s="101">
        <f t="shared" si="3"/>
        <v>0</v>
      </c>
      <c r="N20" s="851" t="s">
        <v>79</v>
      </c>
      <c r="O20" s="851"/>
      <c r="P20" s="848">
        <f t="shared" si="0"/>
        <v>0</v>
      </c>
      <c r="Q20" s="848"/>
      <c r="R20" s="852">
        <v>1</v>
      </c>
      <c r="S20" s="852"/>
      <c r="T20" s="95">
        <f t="shared" si="4"/>
        <v>0</v>
      </c>
      <c r="U20" s="491">
        <f t="shared" si="5"/>
        <v>0</v>
      </c>
    </row>
    <row r="21" spans="1:21" x14ac:dyDescent="0.25">
      <c r="A21" s="804" t="s">
        <v>80</v>
      </c>
      <c r="B21" s="804"/>
      <c r="C21" s="143">
        <v>0</v>
      </c>
      <c r="D21" s="143">
        <v>0</v>
      </c>
      <c r="E21" s="116">
        <f t="shared" si="1"/>
        <v>0</v>
      </c>
      <c r="F21" s="850">
        <f>'1461'!F21:G21</f>
        <v>3.609</v>
      </c>
      <c r="G21" s="850"/>
      <c r="H21" s="80">
        <f t="shared" si="2"/>
        <v>0</v>
      </c>
      <c r="I21" s="101">
        <f t="shared" si="3"/>
        <v>0</v>
      </c>
      <c r="N21" s="851" t="s">
        <v>80</v>
      </c>
      <c r="O21" s="851"/>
      <c r="P21" s="848">
        <f t="shared" si="0"/>
        <v>0</v>
      </c>
      <c r="Q21" s="848"/>
      <c r="R21" s="852">
        <v>1</v>
      </c>
      <c r="S21" s="852"/>
      <c r="T21" s="95">
        <f t="shared" si="4"/>
        <v>0</v>
      </c>
      <c r="U21" s="491">
        <f t="shared" si="5"/>
        <v>0</v>
      </c>
    </row>
    <row r="22" spans="1:21" x14ac:dyDescent="0.25">
      <c r="A22" s="804" t="s">
        <v>81</v>
      </c>
      <c r="B22" s="804"/>
      <c r="C22" s="143">
        <v>0</v>
      </c>
      <c r="D22" s="143">
        <v>0</v>
      </c>
      <c r="E22" s="116">
        <f t="shared" si="1"/>
        <v>0</v>
      </c>
      <c r="F22" s="850">
        <f>'1461'!F22:G22</f>
        <v>3.609</v>
      </c>
      <c r="G22" s="850"/>
      <c r="H22" s="80">
        <f t="shared" si="2"/>
        <v>0</v>
      </c>
      <c r="I22" s="101">
        <f t="shared" si="3"/>
        <v>0</v>
      </c>
      <c r="N22" s="851" t="s">
        <v>81</v>
      </c>
      <c r="O22" s="851"/>
      <c r="P22" s="848">
        <f t="shared" si="0"/>
        <v>0</v>
      </c>
      <c r="Q22" s="848"/>
      <c r="R22" s="852">
        <v>1</v>
      </c>
      <c r="S22" s="852"/>
      <c r="T22" s="95">
        <f t="shared" si="4"/>
        <v>0</v>
      </c>
      <c r="U22" s="491">
        <f t="shared" si="5"/>
        <v>0</v>
      </c>
    </row>
    <row r="23" spans="1:21" x14ac:dyDescent="0.25">
      <c r="A23" s="804" t="s">
        <v>82</v>
      </c>
      <c r="B23" s="804"/>
      <c r="C23" s="143">
        <v>0</v>
      </c>
      <c r="D23" s="143">
        <v>0</v>
      </c>
      <c r="E23" s="116">
        <f t="shared" si="1"/>
        <v>0</v>
      </c>
      <c r="F23" s="850">
        <f>'1461'!F23:G23</f>
        <v>6.0640000000000001</v>
      </c>
      <c r="G23" s="850"/>
      <c r="H23" s="80">
        <f t="shared" si="2"/>
        <v>0</v>
      </c>
      <c r="I23" s="101">
        <f t="shared" si="3"/>
        <v>0</v>
      </c>
      <c r="N23" s="851" t="s">
        <v>82</v>
      </c>
      <c r="O23" s="851"/>
      <c r="P23" s="848">
        <f t="shared" si="0"/>
        <v>0</v>
      </c>
      <c r="Q23" s="848"/>
      <c r="R23" s="852">
        <v>1</v>
      </c>
      <c r="S23" s="852"/>
      <c r="T23" s="95">
        <f t="shared" si="4"/>
        <v>0</v>
      </c>
      <c r="U23" s="491">
        <f t="shared" si="5"/>
        <v>0</v>
      </c>
    </row>
    <row r="24" spans="1:21" x14ac:dyDescent="0.25">
      <c r="A24" s="804" t="s">
        <v>83</v>
      </c>
      <c r="B24" s="804"/>
      <c r="C24" s="143">
        <v>0</v>
      </c>
      <c r="D24" s="143">
        <v>0</v>
      </c>
      <c r="E24" s="116">
        <f t="shared" si="1"/>
        <v>0</v>
      </c>
      <c r="F24" s="850">
        <f>'1461'!F24:G24</f>
        <v>6.0640000000000001</v>
      </c>
      <c r="G24" s="850"/>
      <c r="H24" s="80">
        <f t="shared" si="2"/>
        <v>0</v>
      </c>
      <c r="I24" s="101">
        <f t="shared" si="3"/>
        <v>0</v>
      </c>
      <c r="N24" s="851" t="s">
        <v>83</v>
      </c>
      <c r="O24" s="851"/>
      <c r="P24" s="848">
        <f t="shared" si="0"/>
        <v>0</v>
      </c>
      <c r="Q24" s="848"/>
      <c r="R24" s="852">
        <v>1</v>
      </c>
      <c r="S24" s="852"/>
      <c r="T24" s="95">
        <f t="shared" si="4"/>
        <v>0</v>
      </c>
      <c r="U24" s="491">
        <f t="shared" si="5"/>
        <v>0</v>
      </c>
    </row>
    <row r="25" spans="1:21" x14ac:dyDescent="0.25">
      <c r="A25" s="804" t="s">
        <v>84</v>
      </c>
      <c r="B25" s="804"/>
      <c r="C25" s="143">
        <v>0</v>
      </c>
      <c r="D25" s="143">
        <v>0</v>
      </c>
      <c r="E25" s="116">
        <f t="shared" si="1"/>
        <v>0</v>
      </c>
      <c r="F25" s="850">
        <f>'1461'!F25:G25</f>
        <v>6.0640000000000001</v>
      </c>
      <c r="G25" s="850"/>
      <c r="H25" s="80">
        <f t="shared" si="2"/>
        <v>0</v>
      </c>
      <c r="I25" s="101">
        <f t="shared" si="3"/>
        <v>0</v>
      </c>
      <c r="N25" s="851" t="s">
        <v>84</v>
      </c>
      <c r="O25" s="851"/>
      <c r="P25" s="848">
        <f t="shared" si="0"/>
        <v>0</v>
      </c>
      <c r="Q25" s="848"/>
      <c r="R25" s="852">
        <v>1</v>
      </c>
      <c r="S25" s="852"/>
      <c r="T25" s="95">
        <f t="shared" si="4"/>
        <v>0</v>
      </c>
      <c r="U25" s="491">
        <f t="shared" si="5"/>
        <v>0</v>
      </c>
    </row>
    <row r="26" spans="1:21" x14ac:dyDescent="0.25">
      <c r="A26" s="804" t="s">
        <v>85</v>
      </c>
      <c r="B26" s="804"/>
      <c r="C26" s="143">
        <v>0</v>
      </c>
      <c r="D26" s="143">
        <v>0</v>
      </c>
      <c r="E26" s="116">
        <f t="shared" si="1"/>
        <v>0</v>
      </c>
      <c r="F26" s="850">
        <f>'1461'!F26:G26</f>
        <v>1.165</v>
      </c>
      <c r="G26" s="850"/>
      <c r="H26" s="80">
        <f t="shared" si="2"/>
        <v>0</v>
      </c>
      <c r="I26" s="101">
        <f t="shared" si="3"/>
        <v>0</v>
      </c>
      <c r="N26" s="851" t="s">
        <v>85</v>
      </c>
      <c r="O26" s="851"/>
      <c r="P26" s="848">
        <f t="shared" si="0"/>
        <v>0</v>
      </c>
      <c r="Q26" s="848"/>
      <c r="R26" s="852">
        <v>1</v>
      </c>
      <c r="S26" s="852"/>
      <c r="T26" s="95">
        <f t="shared" si="4"/>
        <v>0</v>
      </c>
      <c r="U26" s="491">
        <f t="shared" si="5"/>
        <v>0</v>
      </c>
    </row>
    <row r="27" spans="1:21" x14ac:dyDescent="0.25">
      <c r="A27" s="804" t="s">
        <v>86</v>
      </c>
      <c r="B27" s="804"/>
      <c r="C27" s="143">
        <v>0</v>
      </c>
      <c r="D27" s="143">
        <v>0</v>
      </c>
      <c r="E27" s="116">
        <f t="shared" si="1"/>
        <v>0</v>
      </c>
      <c r="F27" s="850">
        <f>'1461'!F27:G27</f>
        <v>1.165</v>
      </c>
      <c r="G27" s="850"/>
      <c r="H27" s="80">
        <f t="shared" si="2"/>
        <v>0</v>
      </c>
      <c r="I27" s="101">
        <f t="shared" si="3"/>
        <v>0</v>
      </c>
      <c r="N27" s="851" t="s">
        <v>86</v>
      </c>
      <c r="O27" s="851"/>
      <c r="P27" s="848">
        <f t="shared" si="0"/>
        <v>0</v>
      </c>
      <c r="Q27" s="848"/>
      <c r="R27" s="852">
        <v>1</v>
      </c>
      <c r="S27" s="852"/>
      <c r="T27" s="95">
        <f t="shared" si="4"/>
        <v>0</v>
      </c>
      <c r="U27" s="491">
        <f t="shared" si="5"/>
        <v>0</v>
      </c>
    </row>
    <row r="28" spans="1:21" x14ac:dyDescent="0.25">
      <c r="A28" s="804" t="s">
        <v>87</v>
      </c>
      <c r="B28" s="804"/>
      <c r="C28" s="143">
        <v>4.28</v>
      </c>
      <c r="D28" s="143">
        <v>0</v>
      </c>
      <c r="E28" s="116">
        <f t="shared" si="1"/>
        <v>8.56</v>
      </c>
      <c r="F28" s="850">
        <f>'1461'!F28:G28</f>
        <v>1.165</v>
      </c>
      <c r="G28" s="850"/>
      <c r="H28" s="80">
        <f t="shared" si="2"/>
        <v>9.9724000000000004</v>
      </c>
      <c r="I28" s="101">
        <f t="shared" si="3"/>
        <v>55479.73</v>
      </c>
      <c r="N28" s="851" t="s">
        <v>87</v>
      </c>
      <c r="O28" s="851"/>
      <c r="P28" s="848">
        <f t="shared" si="0"/>
        <v>0</v>
      </c>
      <c r="Q28" s="848"/>
      <c r="R28" s="852">
        <v>1</v>
      </c>
      <c r="S28" s="852"/>
      <c r="T28" s="95">
        <f t="shared" si="4"/>
        <v>0</v>
      </c>
      <c r="U28" s="491">
        <f t="shared" si="5"/>
        <v>0</v>
      </c>
    </row>
    <row r="29" spans="1:21" x14ac:dyDescent="0.25">
      <c r="A29" s="804" t="s">
        <v>88</v>
      </c>
      <c r="B29" s="804"/>
      <c r="C29" s="110">
        <v>3.37</v>
      </c>
      <c r="D29" s="110">
        <v>0</v>
      </c>
      <c r="E29" s="154">
        <f t="shared" si="1"/>
        <v>6.74</v>
      </c>
      <c r="F29" s="850">
        <f>'1461'!F29:G29</f>
        <v>1.081</v>
      </c>
      <c r="G29" s="850"/>
      <c r="H29" s="93">
        <f t="shared" si="2"/>
        <v>7.2858999999999998</v>
      </c>
      <c r="I29" s="94">
        <f t="shared" si="3"/>
        <v>40533.85</v>
      </c>
      <c r="N29" s="853" t="s">
        <v>88</v>
      </c>
      <c r="O29" s="853"/>
      <c r="P29" s="848">
        <f t="shared" si="0"/>
        <v>0</v>
      </c>
      <c r="Q29" s="848"/>
      <c r="R29" s="854">
        <v>1</v>
      </c>
      <c r="S29" s="854"/>
      <c r="T29" s="95">
        <f t="shared" si="4"/>
        <v>0</v>
      </c>
      <c r="U29" s="491">
        <f t="shared" si="5"/>
        <v>0</v>
      </c>
    </row>
    <row r="30" spans="1:21" x14ac:dyDescent="0.25">
      <c r="A30" s="816" t="s">
        <v>5</v>
      </c>
      <c r="B30" s="816"/>
      <c r="C30" s="94">
        <f>SUM(C14:C29)</f>
        <v>51.51</v>
      </c>
      <c r="D30" s="94">
        <f>SUM(D14:D29)</f>
        <v>0</v>
      </c>
      <c r="E30" s="94">
        <f>SUM(E14:E29)</f>
        <v>103.02</v>
      </c>
      <c r="F30" s="808"/>
      <c r="G30" s="808"/>
      <c r="H30" s="99">
        <f>SUM(H14:H29)</f>
        <v>102.5222</v>
      </c>
      <c r="I30" s="94">
        <f>SUM(I14:I29)</f>
        <v>570364.56999999995</v>
      </c>
      <c r="N30" s="855" t="s">
        <v>5</v>
      </c>
      <c r="O30" s="855"/>
      <c r="P30" s="856">
        <f>SUM(P14:P29)</f>
        <v>0</v>
      </c>
      <c r="Q30" s="856"/>
      <c r="R30" s="857"/>
      <c r="S30" s="857"/>
      <c r="T30" s="100">
        <f>SUM(T14:T29)</f>
        <v>0</v>
      </c>
      <c r="U30" s="491">
        <f>SUM(U14:U29)</f>
        <v>0</v>
      </c>
    </row>
    <row r="31" spans="1:21" x14ac:dyDescent="0.25">
      <c r="A31" s="26"/>
      <c r="B31" s="26"/>
      <c r="C31" s="101"/>
      <c r="D31" s="101"/>
      <c r="E31" s="101"/>
      <c r="F31" s="27"/>
      <c r="G31" s="27"/>
      <c r="H31" s="80"/>
      <c r="I31" s="101"/>
      <c r="N31" s="28"/>
      <c r="O31" s="28"/>
      <c r="P31" s="29"/>
      <c r="Q31" s="29"/>
      <c r="R31" s="30"/>
      <c r="S31" s="30"/>
      <c r="T31" s="102"/>
      <c r="U31" s="103"/>
    </row>
    <row r="32" spans="1:21" x14ac:dyDescent="0.25">
      <c r="A32" s="146" t="s">
        <v>72</v>
      </c>
      <c r="B32" s="26"/>
      <c r="C32" s="101"/>
      <c r="D32" s="101"/>
      <c r="E32" s="101"/>
      <c r="F32" s="27"/>
      <c r="G32" s="27"/>
      <c r="H32" s="80"/>
      <c r="I32" s="101"/>
      <c r="N32" s="28"/>
      <c r="O32" s="28"/>
      <c r="P32" s="29"/>
      <c r="Q32" s="29"/>
      <c r="R32" s="30"/>
      <c r="S32" s="30"/>
      <c r="T32" s="102"/>
      <c r="U32" s="103"/>
    </row>
    <row r="33" spans="1:21" x14ac:dyDescent="0.25">
      <c r="A33" s="146"/>
      <c r="B33" s="26"/>
      <c r="C33" s="101"/>
      <c r="D33" s="101"/>
      <c r="E33" s="101"/>
      <c r="F33" s="27"/>
      <c r="G33" s="27"/>
      <c r="H33" s="80"/>
      <c r="I33" s="101"/>
      <c r="N33" s="28"/>
      <c r="O33" s="28"/>
      <c r="P33" s="29"/>
      <c r="Q33" s="29"/>
      <c r="R33" s="30"/>
      <c r="S33" s="30"/>
      <c r="T33" s="102"/>
      <c r="U33" s="103"/>
    </row>
    <row r="34" spans="1:21" hidden="1" x14ac:dyDescent="0.25">
      <c r="A34" s="146"/>
      <c r="B34" s="26"/>
      <c r="C34" s="101"/>
      <c r="D34" s="101"/>
      <c r="E34" s="101"/>
      <c r="F34" s="897" t="s">
        <v>232</v>
      </c>
      <c r="G34" s="897"/>
      <c r="H34" s="897"/>
      <c r="I34" s="101"/>
      <c r="N34" s="28"/>
      <c r="O34" s="28"/>
      <c r="P34" s="29"/>
      <c r="Q34" s="29"/>
      <c r="R34" s="30"/>
      <c r="S34" s="30"/>
      <c r="T34" s="102"/>
      <c r="U34" s="103"/>
    </row>
    <row r="35" spans="1:21" hidden="1" x14ac:dyDescent="0.25">
      <c r="A35" s="3"/>
      <c r="B35" s="69"/>
      <c r="C35" s="69"/>
      <c r="D35" s="69"/>
      <c r="E35" s="69"/>
      <c r="F35" s="897"/>
      <c r="G35" s="897"/>
      <c r="H35" s="897"/>
      <c r="I35" s="24" t="s">
        <v>61</v>
      </c>
      <c r="N35" s="829" t="s">
        <v>26</v>
      </c>
      <c r="O35" s="829"/>
      <c r="P35" s="829"/>
      <c r="Q35" s="829"/>
      <c r="R35" s="829"/>
      <c r="S35" s="829"/>
      <c r="T35" s="829"/>
      <c r="U35" s="25" t="str">
        <f>I35</f>
        <v>2015-16</v>
      </c>
    </row>
    <row r="36" spans="1:21" hidden="1" x14ac:dyDescent="0.25">
      <c r="A36" s="26"/>
      <c r="B36" s="26"/>
      <c r="C36" s="88" t="s">
        <v>93</v>
      </c>
      <c r="D36" s="88" t="s">
        <v>94</v>
      </c>
      <c r="E36" s="89" t="s">
        <v>8</v>
      </c>
      <c r="F36" s="897"/>
      <c r="G36" s="897"/>
      <c r="H36" s="897"/>
      <c r="I36" s="24" t="s">
        <v>27</v>
      </c>
      <c r="N36" s="28"/>
      <c r="O36" s="28"/>
      <c r="P36" s="29"/>
      <c r="Q36" s="29"/>
      <c r="R36" s="30"/>
      <c r="S36" s="30"/>
      <c r="T36" s="102"/>
      <c r="U36" s="25" t="s">
        <v>27</v>
      </c>
    </row>
    <row r="37" spans="1:21" ht="26.25" hidden="1" x14ac:dyDescent="0.25">
      <c r="A37" s="798" t="s">
        <v>50</v>
      </c>
      <c r="B37" s="798"/>
      <c r="C37" s="90" t="s">
        <v>2</v>
      </c>
      <c r="D37" s="90" t="s">
        <v>2</v>
      </c>
      <c r="E37" s="90" t="s">
        <v>2</v>
      </c>
      <c r="F37" s="898"/>
      <c r="G37" s="898"/>
      <c r="H37" s="898"/>
      <c r="I37" s="31" t="s">
        <v>410</v>
      </c>
      <c r="N37" s="834" t="s">
        <v>50</v>
      </c>
      <c r="O37" s="834"/>
      <c r="P37" s="862" t="s">
        <v>19</v>
      </c>
      <c r="Q37" s="862"/>
      <c r="R37" s="862"/>
      <c r="S37" s="862"/>
      <c r="T37" s="862"/>
      <c r="U37" s="19" t="str">
        <f>I37</f>
        <v>(WFTE x BSA x CWF x SDF)</v>
      </c>
    </row>
    <row r="38" spans="1:21" hidden="1" x14ac:dyDescent="0.25">
      <c r="A38" s="802" t="s">
        <v>45</v>
      </c>
      <c r="B38" s="802"/>
      <c r="C38" s="147">
        <v>0</v>
      </c>
      <c r="D38" s="147">
        <v>0</v>
      </c>
      <c r="E38" s="187">
        <f t="shared" ref="E38:E43" si="6">IF(D$44=0,C38*2,C38+D38)</f>
        <v>0</v>
      </c>
      <c r="F38" s="148"/>
      <c r="G38" s="148"/>
      <c r="H38" s="148"/>
      <c r="I38" s="111">
        <f>ROUND(ROUND(ROUND(E38*$C$8,4)*($H$8),2)*(MAX($H$9,1)),2)</f>
        <v>0</v>
      </c>
      <c r="N38" s="847" t="s">
        <v>45</v>
      </c>
      <c r="O38" s="847"/>
      <c r="P38" s="858">
        <f t="shared" ref="P38:P43" si="7">IF($H$133=1,E38,0)</f>
        <v>0</v>
      </c>
      <c r="Q38" s="858"/>
      <c r="R38" s="858"/>
      <c r="S38" s="858"/>
      <c r="T38" s="858"/>
      <c r="U38" s="98">
        <f>ROUND(ROUND(ROUND(P38*$C$8,4)*($H$8),2)*(MAX($H$9,1)),2)</f>
        <v>0</v>
      </c>
    </row>
    <row r="39" spans="1:21" hidden="1" x14ac:dyDescent="0.25">
      <c r="A39" s="804" t="s">
        <v>46</v>
      </c>
      <c r="B39" s="804"/>
      <c r="C39" s="150">
        <v>0</v>
      </c>
      <c r="D39" s="150">
        <v>0</v>
      </c>
      <c r="E39" s="116">
        <f t="shared" si="6"/>
        <v>0</v>
      </c>
      <c r="F39" s="151"/>
      <c r="G39" s="151"/>
      <c r="H39" s="151"/>
      <c r="I39" s="101">
        <f t="shared" ref="I39:I43" si="8">ROUND(ROUND(ROUND(E39*$C$8,4)*($H$8),2)*(MAX($H$9,1)),2)</f>
        <v>0</v>
      </c>
      <c r="N39" s="851" t="s">
        <v>46</v>
      </c>
      <c r="O39" s="851"/>
      <c r="P39" s="858">
        <f t="shared" si="7"/>
        <v>0</v>
      </c>
      <c r="Q39" s="858"/>
      <c r="R39" s="858"/>
      <c r="S39" s="858"/>
      <c r="T39" s="858"/>
      <c r="U39" s="98">
        <f t="shared" ref="U39:U43" si="9">ROUND(ROUND(ROUND(P39*$C$8,4)*($H$8),2)*(MAX($H$9,1)),2)</f>
        <v>0</v>
      </c>
    </row>
    <row r="40" spans="1:21" hidden="1" x14ac:dyDescent="0.25">
      <c r="A40" s="809" t="s">
        <v>47</v>
      </c>
      <c r="B40" s="809"/>
      <c r="C40" s="150">
        <v>0</v>
      </c>
      <c r="D40" s="150">
        <v>0</v>
      </c>
      <c r="E40" s="116">
        <f t="shared" si="6"/>
        <v>0</v>
      </c>
      <c r="F40" s="151"/>
      <c r="G40" s="151"/>
      <c r="H40" s="151"/>
      <c r="I40" s="101">
        <f t="shared" si="8"/>
        <v>0</v>
      </c>
      <c r="N40" s="859" t="s">
        <v>47</v>
      </c>
      <c r="O40" s="859"/>
      <c r="P40" s="858">
        <f t="shared" si="7"/>
        <v>0</v>
      </c>
      <c r="Q40" s="858"/>
      <c r="R40" s="858"/>
      <c r="S40" s="858"/>
      <c r="T40" s="858"/>
      <c r="U40" s="98">
        <f t="shared" si="9"/>
        <v>0</v>
      </c>
    </row>
    <row r="41" spans="1:21" hidden="1" x14ac:dyDescent="0.25">
      <c r="A41" s="804" t="s">
        <v>48</v>
      </c>
      <c r="B41" s="804"/>
      <c r="C41" s="150">
        <v>0</v>
      </c>
      <c r="D41" s="150">
        <v>0</v>
      </c>
      <c r="E41" s="116">
        <f t="shared" si="6"/>
        <v>0</v>
      </c>
      <c r="F41" s="151"/>
      <c r="G41" s="151"/>
      <c r="H41" s="151"/>
      <c r="I41" s="101">
        <f t="shared" si="8"/>
        <v>0</v>
      </c>
      <c r="N41" s="851" t="s">
        <v>48</v>
      </c>
      <c r="O41" s="851"/>
      <c r="P41" s="858">
        <f t="shared" si="7"/>
        <v>0</v>
      </c>
      <c r="Q41" s="858"/>
      <c r="R41" s="858"/>
      <c r="S41" s="858"/>
      <c r="T41" s="858"/>
      <c r="U41" s="98">
        <f t="shared" si="9"/>
        <v>0</v>
      </c>
    </row>
    <row r="42" spans="1:21" hidden="1" x14ac:dyDescent="0.25">
      <c r="A42" s="804" t="s">
        <v>49</v>
      </c>
      <c r="B42" s="804"/>
      <c r="C42" s="150">
        <v>0</v>
      </c>
      <c r="D42" s="150">
        <v>0</v>
      </c>
      <c r="E42" s="116">
        <f t="shared" si="6"/>
        <v>0</v>
      </c>
      <c r="F42" s="151"/>
      <c r="G42" s="151"/>
      <c r="H42" s="151"/>
      <c r="I42" s="101">
        <f t="shared" si="8"/>
        <v>0</v>
      </c>
      <c r="N42" s="851" t="s">
        <v>49</v>
      </c>
      <c r="O42" s="851"/>
      <c r="P42" s="858">
        <f t="shared" si="7"/>
        <v>0</v>
      </c>
      <c r="Q42" s="858"/>
      <c r="R42" s="858"/>
      <c r="S42" s="858"/>
      <c r="T42" s="858"/>
      <c r="U42" s="98">
        <f t="shared" si="9"/>
        <v>0</v>
      </c>
    </row>
    <row r="43" spans="1:21" hidden="1" x14ac:dyDescent="0.25">
      <c r="A43" s="804" t="s">
        <v>41</v>
      </c>
      <c r="B43" s="804"/>
      <c r="C43" s="149">
        <v>0</v>
      </c>
      <c r="D43" s="149">
        <v>0</v>
      </c>
      <c r="E43" s="154">
        <f t="shared" si="6"/>
        <v>0</v>
      </c>
      <c r="F43" s="151"/>
      <c r="G43" s="151"/>
      <c r="H43" s="151"/>
      <c r="I43" s="94">
        <f t="shared" si="8"/>
        <v>0</v>
      </c>
      <c r="N43" s="853" t="s">
        <v>41</v>
      </c>
      <c r="O43" s="853"/>
      <c r="P43" s="858">
        <f t="shared" si="7"/>
        <v>0</v>
      </c>
      <c r="Q43" s="858"/>
      <c r="R43" s="858"/>
      <c r="S43" s="858"/>
      <c r="T43" s="858"/>
      <c r="U43" s="98">
        <f t="shared" si="9"/>
        <v>0</v>
      </c>
    </row>
    <row r="44" spans="1:21" hidden="1" x14ac:dyDescent="0.25">
      <c r="A44" s="3"/>
      <c r="B44" s="52" t="s">
        <v>95</v>
      </c>
      <c r="C44" s="97">
        <f>SUM(C38:C43)</f>
        <v>0</v>
      </c>
      <c r="D44" s="97">
        <f>SUM(D38:D43)</f>
        <v>0</v>
      </c>
      <c r="E44" s="97">
        <f>SUM(E38:E43)</f>
        <v>0</v>
      </c>
      <c r="F44" s="32"/>
      <c r="G44" s="106"/>
      <c r="H44" s="107" t="s">
        <v>97</v>
      </c>
      <c r="I44" s="97">
        <f>SUM(I38:I43)</f>
        <v>0</v>
      </c>
      <c r="N44" s="863" t="s">
        <v>43</v>
      </c>
      <c r="O44" s="863"/>
      <c r="P44" s="863"/>
      <c r="Q44" s="863"/>
      <c r="R44" s="33">
        <f>SUM(P38:R43)</f>
        <v>0</v>
      </c>
      <c r="S44" s="857" t="s">
        <v>51</v>
      </c>
      <c r="T44" s="857"/>
      <c r="U44" s="103">
        <f>SUM(U38:U43)</f>
        <v>0</v>
      </c>
    </row>
    <row r="45" spans="1:21" ht="16.5" hidden="1" thickBot="1" x14ac:dyDescent="0.3">
      <c r="A45" s="3"/>
      <c r="B45" s="52"/>
      <c r="C45" s="101"/>
      <c r="D45" s="101"/>
      <c r="E45" s="111"/>
      <c r="F45" s="32"/>
      <c r="G45" s="106"/>
      <c r="H45" s="107"/>
      <c r="I45" s="101"/>
      <c r="N45" s="28"/>
      <c r="O45" s="28"/>
      <c r="P45" s="28"/>
      <c r="Q45" s="28"/>
      <c r="R45" s="33"/>
      <c r="S45" s="30"/>
      <c r="T45" s="30"/>
      <c r="U45" s="103"/>
    </row>
    <row r="46" spans="1:21" ht="16.5" hidden="1" thickBot="1" x14ac:dyDescent="0.3">
      <c r="A46" s="3"/>
      <c r="B46" s="52" t="s">
        <v>96</v>
      </c>
      <c r="E46" s="152">
        <f>H30+E44</f>
        <v>102.5222</v>
      </c>
      <c r="F46" s="34"/>
      <c r="G46" s="106"/>
      <c r="H46" s="107" t="s">
        <v>98</v>
      </c>
      <c r="I46" s="94">
        <f>SUM(I44,I30)</f>
        <v>570364.56999999995</v>
      </c>
      <c r="N46" s="863" t="s">
        <v>44</v>
      </c>
      <c r="O46" s="863"/>
      <c r="P46" s="863"/>
      <c r="Q46" s="863"/>
      <c r="R46" s="35">
        <f>R44+T30</f>
        <v>0</v>
      </c>
      <c r="S46" s="857" t="s">
        <v>42</v>
      </c>
      <c r="T46" s="857"/>
      <c r="U46" s="108">
        <f>SUM(U44,U30)</f>
        <v>0</v>
      </c>
    </row>
    <row r="47" spans="1:21" ht="16.5" hidden="1" thickTop="1" x14ac:dyDescent="0.25">
      <c r="A47" s="26"/>
      <c r="B47" s="26"/>
      <c r="C47" s="26"/>
      <c r="D47" s="26"/>
      <c r="E47" s="26"/>
      <c r="F47" s="34"/>
      <c r="G47" s="27"/>
      <c r="H47" s="27"/>
      <c r="I47" s="101"/>
      <c r="N47" s="28"/>
      <c r="O47" s="28"/>
      <c r="P47" s="28"/>
      <c r="Q47" s="28"/>
      <c r="R47" s="35"/>
      <c r="S47" s="30"/>
      <c r="T47" s="30"/>
      <c r="U47" s="103"/>
    </row>
    <row r="48" spans="1:21" x14ac:dyDescent="0.25">
      <c r="A48" s="81" t="s">
        <v>411</v>
      </c>
      <c r="B48" s="26"/>
      <c r="C48" s="26"/>
      <c r="D48" s="26"/>
      <c r="E48" s="26"/>
      <c r="F48" s="34"/>
      <c r="G48" s="27"/>
      <c r="H48" s="27"/>
      <c r="I48" s="101"/>
      <c r="N48" s="402" t="s">
        <v>411</v>
      </c>
      <c r="O48" s="28"/>
      <c r="P48" s="28"/>
      <c r="Q48" s="28"/>
      <c r="R48" s="35"/>
      <c r="S48" s="30"/>
      <c r="T48" s="30"/>
      <c r="U48" s="421"/>
    </row>
    <row r="49" spans="1:22" s="410" customFormat="1" ht="9" customHeight="1" x14ac:dyDescent="0.2">
      <c r="A49" s="499" t="s">
        <v>412</v>
      </c>
      <c r="F49" s="411"/>
      <c r="G49" s="412"/>
      <c r="H49" s="412"/>
      <c r="I49" s="413"/>
      <c r="N49" s="422" t="s">
        <v>412</v>
      </c>
      <c r="O49" s="414"/>
      <c r="P49" s="414"/>
      <c r="Q49" s="414"/>
      <c r="R49" s="415"/>
      <c r="S49" s="416"/>
      <c r="T49" s="416"/>
      <c r="U49" s="423"/>
    </row>
    <row r="50" spans="1:22" s="410" customFormat="1" ht="11.25" customHeight="1" x14ac:dyDescent="0.2">
      <c r="A50" s="501" t="s">
        <v>413</v>
      </c>
      <c r="F50" s="411"/>
      <c r="G50" s="412"/>
      <c r="H50" s="412"/>
      <c r="I50" s="413"/>
      <c r="N50" s="424" t="s">
        <v>413</v>
      </c>
      <c r="O50" s="414"/>
      <c r="P50" s="414"/>
      <c r="Q50" s="414"/>
      <c r="R50" s="415"/>
      <c r="S50" s="416"/>
      <c r="T50" s="416"/>
      <c r="U50" s="423"/>
    </row>
    <row r="51" spans="1:22" x14ac:dyDescent="0.25">
      <c r="A51" s="408"/>
      <c r="B51" s="418" t="str">
        <f>'1461'!B51</f>
        <v>Maintenance Portion (6.67% of Conference Funding)</v>
      </c>
      <c r="C51" s="26"/>
      <c r="D51" s="26"/>
      <c r="E51" s="43" t="s">
        <v>414</v>
      </c>
      <c r="F51" s="419">
        <v>570364.56999999995</v>
      </c>
      <c r="G51" s="109" t="s">
        <v>6</v>
      </c>
      <c r="H51" s="420">
        <f>'1461'!H51</f>
        <v>6.6699999999999995E-2</v>
      </c>
      <c r="I51" s="101">
        <f>ROUND(F51*H51,2)</f>
        <v>38043.32</v>
      </c>
      <c r="N51" s="425"/>
      <c r="O51" s="426" t="s">
        <v>556</v>
      </c>
      <c r="P51" s="28"/>
      <c r="Q51" s="44" t="s">
        <v>414</v>
      </c>
      <c r="R51" s="427">
        <f>U30</f>
        <v>0</v>
      </c>
      <c r="S51" s="428" t="s">
        <v>6</v>
      </c>
      <c r="T51" s="429">
        <v>6.6699999999999995E-2</v>
      </c>
      <c r="U51" s="421">
        <f>ROUND(R51*T51,2)</f>
        <v>0</v>
      </c>
    </row>
    <row r="52" spans="1:22" x14ac:dyDescent="0.25">
      <c r="A52" s="26"/>
      <c r="B52" s="575" t="str">
        <f>'1461'!B52</f>
        <v>Growth Portion (0.54% of Conference Funding)</v>
      </c>
      <c r="C52" s="26"/>
      <c r="D52" s="26"/>
      <c r="E52" s="43" t="s">
        <v>414</v>
      </c>
      <c r="F52" s="419">
        <v>570364.56999999995</v>
      </c>
      <c r="G52" s="109" t="s">
        <v>6</v>
      </c>
      <c r="H52" s="420">
        <f>'1461'!H52</f>
        <v>5.4000000000000003E-3</v>
      </c>
      <c r="I52" s="101">
        <f>ROUND(F52*H52,2)</f>
        <v>3079.97</v>
      </c>
      <c r="N52" s="28"/>
      <c r="O52" s="757" t="s">
        <v>560</v>
      </c>
      <c r="P52" s="28"/>
      <c r="Q52" s="44" t="s">
        <v>414</v>
      </c>
      <c r="R52" s="427">
        <f>U30</f>
        <v>0</v>
      </c>
      <c r="S52" s="428" t="s">
        <v>6</v>
      </c>
      <c r="T52" s="429">
        <v>5.4000000000000003E-3</v>
      </c>
      <c r="U52" s="430">
        <f>ROUND(R52*T52,2)</f>
        <v>0</v>
      </c>
    </row>
    <row r="53" spans="1:22" x14ac:dyDescent="0.25">
      <c r="A53" s="26"/>
      <c r="B53" s="81" t="s">
        <v>415</v>
      </c>
      <c r="C53" s="26"/>
      <c r="D53" s="26"/>
      <c r="E53" s="43"/>
      <c r="F53" s="419"/>
      <c r="G53" s="109"/>
      <c r="H53" s="420"/>
      <c r="I53" s="97">
        <f>SUM(I51:I52)</f>
        <v>41123.29</v>
      </c>
      <c r="N53" s="28"/>
      <c r="O53" s="402" t="s">
        <v>415</v>
      </c>
      <c r="P53" s="28"/>
      <c r="Q53" s="44"/>
      <c r="R53" s="427"/>
      <c r="S53" s="428"/>
      <c r="T53" s="429"/>
      <c r="U53" s="421">
        <f>SUM(U51:U52)</f>
        <v>0</v>
      </c>
    </row>
    <row r="54" spans="1:22" x14ac:dyDescent="0.25">
      <c r="C54" s="3" t="str">
        <f>'1461'!C54</f>
        <v/>
      </c>
      <c r="D54" s="3" t="str">
        <f>'1461'!D54</f>
        <v/>
      </c>
      <c r="G54" s="42"/>
      <c r="H54" s="114"/>
      <c r="I54" s="114"/>
      <c r="N54" s="464"/>
      <c r="O54" s="51"/>
      <c r="P54" s="51" t="str">
        <f>'1461'!P54</f>
        <v/>
      </c>
      <c r="Q54" s="51" t="str">
        <f>'1461'!Q54</f>
        <v/>
      </c>
      <c r="R54" s="51"/>
      <c r="S54" s="51"/>
      <c r="T54" s="480"/>
      <c r="U54" s="481"/>
      <c r="V54" s="114"/>
    </row>
    <row r="55" spans="1:22" x14ac:dyDescent="0.25">
      <c r="A55" s="463"/>
      <c r="B55" s="463"/>
      <c r="C55" s="88" t="str">
        <f>'1461'!C55</f>
        <v>Oct 2024</v>
      </c>
      <c r="D55" s="349" t="str">
        <f>'1461'!D55</f>
        <v>Feb 2025</v>
      </c>
      <c r="E55" s="89" t="s">
        <v>8</v>
      </c>
      <c r="F55" s="46" t="s">
        <v>452</v>
      </c>
      <c r="G55" s="109" t="s">
        <v>453</v>
      </c>
      <c r="H55" s="472" t="s">
        <v>454</v>
      </c>
      <c r="I55" s="101"/>
      <c r="N55" s="466"/>
      <c r="O55" s="466"/>
      <c r="P55" s="482"/>
      <c r="Q55" s="483"/>
      <c r="R55" s="484"/>
      <c r="S55" s="486" t="s">
        <v>453</v>
      </c>
      <c r="T55" s="487" t="s">
        <v>454</v>
      </c>
      <c r="U55" s="485"/>
      <c r="V55" s="442"/>
    </row>
    <row r="56" spans="1:22" x14ac:dyDescent="0.25">
      <c r="A56" s="36" t="s">
        <v>455</v>
      </c>
      <c r="B56" s="36"/>
      <c r="C56" s="340" t="str">
        <f>'1461'!C56</f>
        <v>FTE</v>
      </c>
      <c r="D56" s="340" t="str">
        <f>'1461'!D56</f>
        <v>FTE</v>
      </c>
      <c r="E56" s="90" t="s">
        <v>2</v>
      </c>
      <c r="F56" s="457" t="s">
        <v>456</v>
      </c>
      <c r="G56" s="459" t="s">
        <v>456</v>
      </c>
      <c r="H56" s="473" t="s">
        <v>457</v>
      </c>
      <c r="I56" s="36"/>
      <c r="N56" s="477" t="s">
        <v>455</v>
      </c>
      <c r="O56" s="477"/>
      <c r="P56" s="864" t="s">
        <v>2</v>
      </c>
      <c r="Q56" s="864"/>
      <c r="R56" s="477" t="s">
        <v>461</v>
      </c>
      <c r="S56" s="468" t="s">
        <v>456</v>
      </c>
      <c r="T56" s="488" t="s">
        <v>457</v>
      </c>
      <c r="U56" s="477"/>
      <c r="V56" s="476"/>
    </row>
    <row r="57" spans="1:22" ht="15.75" customHeight="1" x14ac:dyDescent="0.25">
      <c r="A57" s="814" t="s">
        <v>564</v>
      </c>
      <c r="B57" s="814"/>
      <c r="C57" s="143">
        <v>0</v>
      </c>
      <c r="D57" s="143">
        <v>0</v>
      </c>
      <c r="E57" s="116">
        <f t="shared" ref="E57:E65" si="10">IF(D$66=0,C57*2,C57+D57)</f>
        <v>0</v>
      </c>
      <c r="F57" s="461" t="s">
        <v>451</v>
      </c>
      <c r="G57" s="461">
        <v>251</v>
      </c>
      <c r="H57" s="475">
        <f>'1461'!H57</f>
        <v>1047</v>
      </c>
      <c r="I57" s="101">
        <f>ROUND(E57*H57,2)</f>
        <v>0</v>
      </c>
      <c r="N57" s="865" t="s">
        <v>459</v>
      </c>
      <c r="O57" s="865"/>
      <c r="P57" s="867"/>
      <c r="Q57" s="867"/>
      <c r="R57" s="467" t="s">
        <v>451</v>
      </c>
      <c r="S57" s="467">
        <v>251</v>
      </c>
      <c r="T57" s="478">
        <f>H57</f>
        <v>1047</v>
      </c>
      <c r="U57" s="492">
        <f>ROUND(P57*T57,2)</f>
        <v>0</v>
      </c>
      <c r="V57" s="442"/>
    </row>
    <row r="58" spans="1:22" x14ac:dyDescent="0.25">
      <c r="A58" s="815"/>
      <c r="B58" s="815"/>
      <c r="C58" s="143">
        <v>0</v>
      </c>
      <c r="D58" s="143">
        <v>0</v>
      </c>
      <c r="E58" s="116">
        <f t="shared" si="10"/>
        <v>0</v>
      </c>
      <c r="F58" s="461" t="s">
        <v>451</v>
      </c>
      <c r="G58" s="461">
        <v>252</v>
      </c>
      <c r="H58" s="475">
        <f>'1461'!H58</f>
        <v>3380</v>
      </c>
      <c r="I58" s="101">
        <f t="shared" ref="I58:I65" si="11">ROUND(E58*H58,2)</f>
        <v>0</v>
      </c>
      <c r="N58" s="866"/>
      <c r="O58" s="866"/>
      <c r="P58" s="868"/>
      <c r="Q58" s="868"/>
      <c r="R58" s="467" t="s">
        <v>451</v>
      </c>
      <c r="S58" s="467">
        <v>252</v>
      </c>
      <c r="T58" s="478">
        <f t="shared" ref="T58:T65" si="12">H58</f>
        <v>3380</v>
      </c>
      <c r="U58" s="492">
        <f t="shared" ref="U58:U65" si="13">ROUND(P58*T58,2)</f>
        <v>0</v>
      </c>
      <c r="V58" s="442"/>
    </row>
    <row r="59" spans="1:22" x14ac:dyDescent="0.25">
      <c r="A59" s="815"/>
      <c r="B59" s="815"/>
      <c r="C59" s="143">
        <v>0</v>
      </c>
      <c r="D59" s="143">
        <v>0</v>
      </c>
      <c r="E59" s="116">
        <f t="shared" si="10"/>
        <v>0</v>
      </c>
      <c r="F59" s="461" t="s">
        <v>451</v>
      </c>
      <c r="G59" s="461">
        <v>253</v>
      </c>
      <c r="H59" s="475">
        <f>'1461'!H59</f>
        <v>6896</v>
      </c>
      <c r="I59" s="101">
        <f t="shared" si="11"/>
        <v>0</v>
      </c>
      <c r="N59" s="866"/>
      <c r="O59" s="866"/>
      <c r="P59" s="868"/>
      <c r="Q59" s="868"/>
      <c r="R59" s="467" t="s">
        <v>451</v>
      </c>
      <c r="S59" s="467">
        <v>253</v>
      </c>
      <c r="T59" s="478">
        <f t="shared" si="12"/>
        <v>6896</v>
      </c>
      <c r="U59" s="492">
        <f t="shared" si="13"/>
        <v>0</v>
      </c>
      <c r="V59" s="442"/>
    </row>
    <row r="60" spans="1:22" x14ac:dyDescent="0.25">
      <c r="A60" s="815"/>
      <c r="B60" s="815"/>
      <c r="C60" s="143">
        <v>0</v>
      </c>
      <c r="D60" s="143">
        <v>0</v>
      </c>
      <c r="E60" s="116">
        <f t="shared" si="10"/>
        <v>0</v>
      </c>
      <c r="F60" s="462" t="s">
        <v>13</v>
      </c>
      <c r="G60" s="461">
        <v>251</v>
      </c>
      <c r="H60" s="475">
        <f>'1461'!H60</f>
        <v>1173</v>
      </c>
      <c r="I60" s="101">
        <f t="shared" si="11"/>
        <v>0</v>
      </c>
      <c r="N60" s="866"/>
      <c r="O60" s="866"/>
      <c r="P60" s="868"/>
      <c r="Q60" s="868"/>
      <c r="R60" s="40" t="s">
        <v>13</v>
      </c>
      <c r="S60" s="467">
        <v>251</v>
      </c>
      <c r="T60" s="478">
        <f t="shared" si="12"/>
        <v>1173</v>
      </c>
      <c r="U60" s="492">
        <f t="shared" si="13"/>
        <v>0</v>
      </c>
      <c r="V60" s="442"/>
    </row>
    <row r="61" spans="1:22" x14ac:dyDescent="0.25">
      <c r="A61" s="815"/>
      <c r="B61" s="815"/>
      <c r="C61" s="143">
        <v>0</v>
      </c>
      <c r="D61" s="143">
        <v>0</v>
      </c>
      <c r="E61" s="116">
        <f t="shared" si="10"/>
        <v>0</v>
      </c>
      <c r="F61" s="462" t="s">
        <v>13</v>
      </c>
      <c r="G61" s="461">
        <v>252</v>
      </c>
      <c r="H61" s="475">
        <f>'1461'!H61</f>
        <v>3506</v>
      </c>
      <c r="I61" s="101">
        <f t="shared" si="11"/>
        <v>0</v>
      </c>
      <c r="N61" s="866"/>
      <c r="O61" s="866"/>
      <c r="P61" s="868"/>
      <c r="Q61" s="868"/>
      <c r="R61" s="40" t="s">
        <v>13</v>
      </c>
      <c r="S61" s="467">
        <v>252</v>
      </c>
      <c r="T61" s="478">
        <f t="shared" si="12"/>
        <v>3506</v>
      </c>
      <c r="U61" s="492">
        <f t="shared" si="13"/>
        <v>0</v>
      </c>
      <c r="V61" s="442"/>
    </row>
    <row r="62" spans="1:22" x14ac:dyDescent="0.25">
      <c r="A62" s="815"/>
      <c r="B62" s="815"/>
      <c r="C62" s="143">
        <v>0</v>
      </c>
      <c r="D62" s="143">
        <v>0</v>
      </c>
      <c r="E62" s="116">
        <f t="shared" si="10"/>
        <v>0</v>
      </c>
      <c r="F62" s="462" t="s">
        <v>13</v>
      </c>
      <c r="G62" s="461">
        <v>253</v>
      </c>
      <c r="H62" s="475">
        <f>'1461'!H62</f>
        <v>7023</v>
      </c>
      <c r="I62" s="101">
        <f t="shared" si="11"/>
        <v>0</v>
      </c>
      <c r="N62" s="866"/>
      <c r="O62" s="866"/>
      <c r="P62" s="868"/>
      <c r="Q62" s="868"/>
      <c r="R62" s="40" t="s">
        <v>13</v>
      </c>
      <c r="S62" s="467">
        <v>253</v>
      </c>
      <c r="T62" s="478">
        <f t="shared" si="12"/>
        <v>7023</v>
      </c>
      <c r="U62" s="492">
        <f t="shared" si="13"/>
        <v>0</v>
      </c>
      <c r="V62" s="442"/>
    </row>
    <row r="63" spans="1:22" x14ac:dyDescent="0.25">
      <c r="A63" s="815"/>
      <c r="B63" s="815"/>
      <c r="C63" s="143">
        <v>7.77</v>
      </c>
      <c r="D63" s="143">
        <v>0</v>
      </c>
      <c r="E63" s="116">
        <f t="shared" si="10"/>
        <v>15.54</v>
      </c>
      <c r="F63" s="462" t="s">
        <v>14</v>
      </c>
      <c r="G63" s="461">
        <v>251</v>
      </c>
      <c r="H63" s="475">
        <f>'1461'!H63</f>
        <v>835</v>
      </c>
      <c r="I63" s="101">
        <f t="shared" si="11"/>
        <v>12975.9</v>
      </c>
      <c r="N63" s="866"/>
      <c r="O63" s="866"/>
      <c r="P63" s="868"/>
      <c r="Q63" s="868"/>
      <c r="R63" s="40" t="s">
        <v>14</v>
      </c>
      <c r="S63" s="467">
        <v>251</v>
      </c>
      <c r="T63" s="478">
        <f t="shared" si="12"/>
        <v>835</v>
      </c>
      <c r="U63" s="492">
        <f t="shared" si="13"/>
        <v>0</v>
      </c>
      <c r="V63" s="442"/>
    </row>
    <row r="64" spans="1:22" x14ac:dyDescent="0.25">
      <c r="A64" s="815"/>
      <c r="B64" s="815"/>
      <c r="C64" s="143">
        <v>0.5</v>
      </c>
      <c r="D64" s="143">
        <v>0</v>
      </c>
      <c r="E64" s="116">
        <f t="shared" si="10"/>
        <v>1</v>
      </c>
      <c r="F64" s="462" t="s">
        <v>14</v>
      </c>
      <c r="G64" s="461">
        <v>252</v>
      </c>
      <c r="H64" s="475">
        <f>'1461'!H64</f>
        <v>3168</v>
      </c>
      <c r="I64" s="101">
        <f t="shared" si="11"/>
        <v>3168</v>
      </c>
      <c r="N64" s="866"/>
      <c r="O64" s="866"/>
      <c r="P64" s="868"/>
      <c r="Q64" s="868"/>
      <c r="R64" s="40" t="s">
        <v>14</v>
      </c>
      <c r="S64" s="467">
        <v>252</v>
      </c>
      <c r="T64" s="478">
        <f t="shared" si="12"/>
        <v>3168</v>
      </c>
      <c r="U64" s="492">
        <f t="shared" si="13"/>
        <v>0</v>
      </c>
      <c r="V64" s="442"/>
    </row>
    <row r="65" spans="1:22" ht="16.5" thickBot="1" x14ac:dyDescent="0.3">
      <c r="A65" s="815"/>
      <c r="B65" s="815"/>
      <c r="C65" s="143">
        <v>0</v>
      </c>
      <c r="D65" s="143">
        <v>0</v>
      </c>
      <c r="E65" s="116">
        <f t="shared" si="10"/>
        <v>0</v>
      </c>
      <c r="F65" s="462" t="s">
        <v>14</v>
      </c>
      <c r="G65" s="461">
        <v>253</v>
      </c>
      <c r="H65" s="475">
        <f>'1461'!H65</f>
        <v>6685</v>
      </c>
      <c r="I65" s="101">
        <f t="shared" si="11"/>
        <v>0</v>
      </c>
      <c r="N65" s="866"/>
      <c r="O65" s="866"/>
      <c r="P65" s="874"/>
      <c r="Q65" s="874"/>
      <c r="R65" s="40" t="s">
        <v>14</v>
      </c>
      <c r="S65" s="467">
        <v>253</v>
      </c>
      <c r="T65" s="478">
        <f t="shared" si="12"/>
        <v>6685</v>
      </c>
      <c r="U65" s="493">
        <f t="shared" si="13"/>
        <v>0</v>
      </c>
      <c r="V65" s="442"/>
    </row>
    <row r="66" spans="1:22" ht="16.5" thickBot="1" x14ac:dyDescent="0.3">
      <c r="A66" s="458"/>
      <c r="C66" s="97">
        <f>SUM(C57:C65)</f>
        <v>8.27</v>
      </c>
      <c r="D66" s="97">
        <f>SUM(D57:D65)</f>
        <v>0</v>
      </c>
      <c r="E66" s="97">
        <f>SUM(E57:E65)</f>
        <v>16.54</v>
      </c>
      <c r="F66" s="816" t="s">
        <v>460</v>
      </c>
      <c r="G66" s="816"/>
      <c r="H66" s="816"/>
      <c r="I66" s="97">
        <f>SUM(I57:I65)</f>
        <v>16143.9</v>
      </c>
      <c r="N66" s="464"/>
      <c r="O66" s="51"/>
      <c r="P66" s="875">
        <f>SUM(P57:P65)</f>
        <v>0</v>
      </c>
      <c r="Q66" s="875"/>
      <c r="R66" s="863" t="s">
        <v>460</v>
      </c>
      <c r="S66" s="863"/>
      <c r="T66" s="863"/>
      <c r="U66" s="494">
        <f>SUM(U57:U65)</f>
        <v>0</v>
      </c>
      <c r="V66" s="442"/>
    </row>
    <row r="67" spans="1:22" x14ac:dyDescent="0.25">
      <c r="A67" s="458"/>
      <c r="C67" s="101"/>
      <c r="D67" s="101"/>
      <c r="E67" s="101"/>
      <c r="F67" s="463"/>
      <c r="G67" s="463"/>
      <c r="H67" s="463"/>
      <c r="I67" s="101"/>
      <c r="N67" s="464"/>
      <c r="O67" s="464"/>
      <c r="P67" s="464"/>
      <c r="Q67" s="464"/>
      <c r="R67" s="464"/>
      <c r="S67" s="464"/>
      <c r="T67" s="465"/>
      <c r="U67" s="465"/>
    </row>
    <row r="68" spans="1:22" x14ac:dyDescent="0.25">
      <c r="A68" s="460" t="s">
        <v>462</v>
      </c>
      <c r="N68" s="471" t="s">
        <v>470</v>
      </c>
      <c r="O68" s="51"/>
      <c r="P68" s="51"/>
      <c r="Q68" s="51"/>
      <c r="R68" s="51"/>
      <c r="S68" s="51"/>
      <c r="T68" s="51"/>
      <c r="U68" s="51"/>
    </row>
    <row r="69" spans="1:22" x14ac:dyDescent="0.25">
      <c r="A69" s="810" t="s">
        <v>416</v>
      </c>
      <c r="B69" s="804"/>
      <c r="C69" s="112">
        <f>E30</f>
        <v>103.02</v>
      </c>
      <c r="D69" s="791" t="s">
        <v>427</v>
      </c>
      <c r="E69" s="791"/>
      <c r="F69" s="791"/>
      <c r="G69" s="791"/>
      <c r="H69" s="299">
        <f>'1461'!H69</f>
        <v>215320.92</v>
      </c>
      <c r="I69" s="113"/>
      <c r="N69" s="870" t="s">
        <v>420</v>
      </c>
      <c r="O69" s="851"/>
      <c r="P69" s="41">
        <f>P30</f>
        <v>0</v>
      </c>
      <c r="Q69" s="871" t="s">
        <v>422</v>
      </c>
      <c r="R69" s="872"/>
      <c r="S69" s="872"/>
      <c r="T69" s="873">
        <f>H69</f>
        <v>215320.92</v>
      </c>
      <c r="U69" s="873"/>
    </row>
    <row r="70" spans="1:22" x14ac:dyDescent="0.25">
      <c r="B70" s="69"/>
      <c r="G70" s="42" t="s">
        <v>12</v>
      </c>
      <c r="H70" s="114">
        <f>ROUND(C69/H69,6)</f>
        <v>4.7800000000000002E-4</v>
      </c>
      <c r="I70" s="115"/>
      <c r="N70" s="851"/>
      <c r="O70" s="851"/>
      <c r="P70" s="851"/>
      <c r="Q70" s="851"/>
      <c r="R70" s="851"/>
      <c r="S70" s="851"/>
      <c r="T70" s="869">
        <f>ROUND(P69/T69,6)</f>
        <v>0</v>
      </c>
      <c r="U70" s="869"/>
    </row>
    <row r="71" spans="1:22" x14ac:dyDescent="0.25">
      <c r="A71" s="460" t="s">
        <v>463</v>
      </c>
      <c r="N71" s="471" t="s">
        <v>471</v>
      </c>
      <c r="O71" s="51"/>
      <c r="P71" s="51"/>
      <c r="Q71" s="51"/>
      <c r="R71" s="51"/>
      <c r="S71" s="51"/>
      <c r="T71" s="51"/>
      <c r="U71" s="51"/>
    </row>
    <row r="72" spans="1:22" x14ac:dyDescent="0.25">
      <c r="A72" s="810" t="s">
        <v>417</v>
      </c>
      <c r="B72" s="804"/>
      <c r="C72" s="112">
        <f>H30</f>
        <v>102.5222</v>
      </c>
      <c r="D72" s="791" t="s">
        <v>428</v>
      </c>
      <c r="E72" s="791"/>
      <c r="F72" s="791"/>
      <c r="G72" s="791"/>
      <c r="H72" s="300">
        <f>'1461'!H72</f>
        <v>229051.25000000003</v>
      </c>
      <c r="I72" s="116"/>
      <c r="N72" s="870" t="s">
        <v>421</v>
      </c>
      <c r="O72" s="851"/>
      <c r="P72" s="41">
        <f>T30</f>
        <v>0</v>
      </c>
      <c r="Q72" s="871" t="s">
        <v>423</v>
      </c>
      <c r="R72" s="872"/>
      <c r="S72" s="872"/>
      <c r="T72" s="873">
        <f>H72</f>
        <v>229051.25000000003</v>
      </c>
      <c r="U72" s="873"/>
    </row>
    <row r="73" spans="1:22" x14ac:dyDescent="0.25">
      <c r="G73" s="42" t="s">
        <v>12</v>
      </c>
      <c r="H73" s="114">
        <f>ROUND(C72/H72,6)</f>
        <v>4.4799999999999999E-4</v>
      </c>
      <c r="I73" s="114"/>
      <c r="N73" s="851"/>
      <c r="O73" s="851"/>
      <c r="P73" s="851"/>
      <c r="Q73" s="851"/>
      <c r="R73" s="851"/>
      <c r="S73" s="851"/>
      <c r="T73" s="869">
        <f>ROUND(P72/T72,6)</f>
        <v>0</v>
      </c>
      <c r="U73" s="869"/>
    </row>
    <row r="74" spans="1:22" x14ac:dyDescent="0.25">
      <c r="A74" s="435" t="s">
        <v>464</v>
      </c>
      <c r="B74" s="432"/>
      <c r="C74" s="432"/>
      <c r="D74" s="432"/>
      <c r="E74" s="432"/>
      <c r="F74" s="432"/>
      <c r="G74" s="432"/>
      <c r="H74" s="432"/>
      <c r="I74" s="432"/>
      <c r="N74" s="434" t="s">
        <v>472</v>
      </c>
      <c r="O74" s="433"/>
      <c r="P74" s="433"/>
      <c r="Q74" s="433"/>
      <c r="R74" s="433"/>
      <c r="S74" s="433"/>
      <c r="T74" s="433"/>
      <c r="U74" s="433"/>
      <c r="V74" s="432"/>
    </row>
    <row r="75" spans="1:22" x14ac:dyDescent="0.25">
      <c r="A75" s="810" t="s">
        <v>418</v>
      </c>
      <c r="B75" s="804"/>
      <c r="C75" s="112">
        <f>E30</f>
        <v>103.02</v>
      </c>
      <c r="D75" s="783" t="s">
        <v>429</v>
      </c>
      <c r="E75" s="783"/>
      <c r="F75" s="783"/>
      <c r="G75" s="783"/>
      <c r="H75" s="299">
        <f>'1461'!H75</f>
        <v>186156.17</v>
      </c>
      <c r="I75" s="113"/>
      <c r="N75" s="870" t="s">
        <v>419</v>
      </c>
      <c r="O75" s="851"/>
      <c r="P75" s="41">
        <f>P30</f>
        <v>0</v>
      </c>
      <c r="Q75" s="878" t="s">
        <v>424</v>
      </c>
      <c r="R75" s="879"/>
      <c r="S75" s="879"/>
      <c r="T75" s="873">
        <f>H75</f>
        <v>186156.17</v>
      </c>
      <c r="U75" s="873"/>
    </row>
    <row r="76" spans="1:22" x14ac:dyDescent="0.25">
      <c r="B76" s="69"/>
      <c r="G76" s="42" t="s">
        <v>12</v>
      </c>
      <c r="H76" s="114">
        <f>ROUND(C75/H75,6)</f>
        <v>5.53E-4</v>
      </c>
      <c r="I76" s="115"/>
      <c r="N76" s="851"/>
      <c r="O76" s="851"/>
      <c r="P76" s="851"/>
      <c r="Q76" s="851"/>
      <c r="R76" s="851"/>
      <c r="S76" s="851"/>
      <c r="T76" s="869">
        <f>ROUND(P75/T75,6)</f>
        <v>0</v>
      </c>
      <c r="U76" s="869"/>
    </row>
    <row r="77" spans="1:22" x14ac:dyDescent="0.25">
      <c r="A77" s="435" t="s">
        <v>465</v>
      </c>
      <c r="B77" s="432"/>
      <c r="C77" s="432"/>
      <c r="D77" s="432"/>
      <c r="E77" s="432"/>
      <c r="F77" s="432"/>
      <c r="G77" s="432"/>
      <c r="H77" s="432"/>
      <c r="I77" s="432"/>
      <c r="N77" s="434" t="s">
        <v>473</v>
      </c>
      <c r="O77" s="433"/>
      <c r="P77" s="433"/>
      <c r="Q77" s="433"/>
      <c r="R77" s="433"/>
      <c r="S77" s="433"/>
      <c r="T77" s="433"/>
      <c r="U77" s="433"/>
      <c r="V77" s="432"/>
    </row>
    <row r="78" spans="1:22" x14ac:dyDescent="0.25">
      <c r="A78" s="810" t="s">
        <v>418</v>
      </c>
      <c r="B78" s="804"/>
      <c r="C78" s="112">
        <f>E30</f>
        <v>103.02</v>
      </c>
      <c r="D78" s="811" t="s">
        <v>430</v>
      </c>
      <c r="E78" s="811"/>
      <c r="F78" s="811"/>
      <c r="G78" s="811"/>
      <c r="H78" s="299">
        <f>'1461'!H78</f>
        <v>215016.58000000002</v>
      </c>
      <c r="I78" s="113"/>
      <c r="N78" s="870" t="s">
        <v>419</v>
      </c>
      <c r="O78" s="851"/>
      <c r="P78" s="41">
        <f>P30</f>
        <v>0</v>
      </c>
      <c r="Q78" s="876" t="s">
        <v>425</v>
      </c>
      <c r="R78" s="877"/>
      <c r="S78" s="877"/>
      <c r="T78" s="873">
        <f>H78</f>
        <v>215016.58000000002</v>
      </c>
      <c r="U78" s="873"/>
    </row>
    <row r="79" spans="1:22" x14ac:dyDescent="0.25">
      <c r="B79" s="69"/>
      <c r="G79" s="42" t="s">
        <v>12</v>
      </c>
      <c r="H79" s="114">
        <f>ROUND(C78/H78,6)</f>
        <v>4.7899999999999999E-4</v>
      </c>
      <c r="I79" s="115"/>
      <c r="N79" s="851"/>
      <c r="O79" s="851"/>
      <c r="P79" s="851"/>
      <c r="Q79" s="851"/>
      <c r="R79" s="851"/>
      <c r="S79" s="851"/>
      <c r="T79" s="869">
        <f>ROUND(P78/T78,6)</f>
        <v>0</v>
      </c>
      <c r="U79" s="869"/>
    </row>
    <row r="80" spans="1:22" x14ac:dyDescent="0.25">
      <c r="A80" s="435" t="s">
        <v>466</v>
      </c>
      <c r="B80" s="432"/>
      <c r="C80" s="432"/>
      <c r="D80" s="432"/>
      <c r="E80" s="432"/>
      <c r="F80" s="432"/>
      <c r="G80" s="432"/>
      <c r="H80" s="432"/>
      <c r="I80" s="432"/>
      <c r="N80" s="434" t="s">
        <v>474</v>
      </c>
      <c r="O80" s="433"/>
      <c r="P80" s="433"/>
      <c r="Q80" s="433"/>
      <c r="R80" s="433"/>
      <c r="S80" s="433"/>
      <c r="T80" s="433"/>
      <c r="U80" s="433"/>
      <c r="V80" s="432"/>
    </row>
    <row r="81" spans="1:21" x14ac:dyDescent="0.25">
      <c r="A81" s="810" t="s">
        <v>426</v>
      </c>
      <c r="B81" s="804"/>
      <c r="C81" s="112">
        <f>E30</f>
        <v>103.02</v>
      </c>
      <c r="D81" s="783" t="s">
        <v>431</v>
      </c>
      <c r="E81" s="783"/>
      <c r="F81" s="783"/>
      <c r="G81" s="783"/>
      <c r="H81" s="299">
        <f>'1461'!H81</f>
        <v>185851.83000000002</v>
      </c>
      <c r="I81" s="113"/>
      <c r="N81" s="870" t="s">
        <v>432</v>
      </c>
      <c r="O81" s="851"/>
      <c r="P81" s="41">
        <f>P30</f>
        <v>0</v>
      </c>
      <c r="Q81" s="878" t="s">
        <v>433</v>
      </c>
      <c r="R81" s="879"/>
      <c r="S81" s="879"/>
      <c r="T81" s="873">
        <f>H81</f>
        <v>185851.83000000002</v>
      </c>
      <c r="U81" s="873"/>
    </row>
    <row r="82" spans="1:21" x14ac:dyDescent="0.25">
      <c r="B82" s="69"/>
      <c r="G82" s="42" t="s">
        <v>12</v>
      </c>
      <c r="H82" s="114">
        <f>ROUND(C81/H81,6)</f>
        <v>5.5400000000000002E-4</v>
      </c>
      <c r="I82" s="115"/>
      <c r="N82" s="851"/>
      <c r="O82" s="851"/>
      <c r="P82" s="851"/>
      <c r="Q82" s="851"/>
      <c r="R82" s="851"/>
      <c r="S82" s="851"/>
      <c r="T82" s="869">
        <f>ROUND(P81/T81,6)</f>
        <v>0</v>
      </c>
      <c r="U82" s="869"/>
    </row>
    <row r="83" spans="1:21" x14ac:dyDescent="0.25">
      <c r="A83" s="458"/>
      <c r="G83" s="42"/>
      <c r="H83" s="114"/>
      <c r="I83" s="114"/>
      <c r="N83" s="464"/>
      <c r="O83" s="464"/>
      <c r="P83" s="464"/>
      <c r="Q83" s="464"/>
      <c r="R83" s="464"/>
      <c r="S83" s="464"/>
      <c r="T83" s="465"/>
      <c r="U83" s="465"/>
    </row>
    <row r="84" spans="1:21" x14ac:dyDescent="0.25">
      <c r="A84" s="458"/>
      <c r="G84" s="42"/>
      <c r="H84" s="114"/>
      <c r="I84" s="114"/>
      <c r="N84" s="464"/>
      <c r="O84" s="464"/>
      <c r="P84" s="464"/>
      <c r="Q84" s="464"/>
      <c r="R84" s="464"/>
      <c r="S84" s="464"/>
      <c r="T84" s="465"/>
      <c r="U84" s="465"/>
    </row>
    <row r="85" spans="1:21" x14ac:dyDescent="0.25">
      <c r="A85" s="460" t="s">
        <v>467</v>
      </c>
      <c r="D85" s="69"/>
      <c r="E85" s="43" t="s">
        <v>316</v>
      </c>
      <c r="F85" s="301">
        <f>'1461'!F85</f>
        <v>47290747</v>
      </c>
      <c r="G85" s="37" t="s">
        <v>6</v>
      </c>
      <c r="H85" s="440">
        <f>H79</f>
        <v>4.7899999999999999E-4</v>
      </c>
      <c r="I85" s="101">
        <f>ROUND(F85*H85,2)</f>
        <v>22652.27</v>
      </c>
      <c r="N85" s="471" t="s">
        <v>467</v>
      </c>
      <c r="O85" s="51"/>
      <c r="P85" s="51"/>
      <c r="Q85" s="44"/>
      <c r="R85" s="437">
        <f>F85</f>
        <v>47290747</v>
      </c>
      <c r="S85" s="38" t="s">
        <v>6</v>
      </c>
      <c r="T85" s="439">
        <f>T79</f>
        <v>0</v>
      </c>
      <c r="U85" s="491">
        <f>ROUND(R85*T85,2)</f>
        <v>0</v>
      </c>
    </row>
    <row r="86" spans="1:21" x14ac:dyDescent="0.25">
      <c r="A86" s="418"/>
      <c r="D86" s="69"/>
      <c r="E86" s="43"/>
      <c r="F86" s="117"/>
      <c r="G86" s="37"/>
      <c r="H86" s="440"/>
      <c r="I86" s="101"/>
      <c r="N86" s="51"/>
      <c r="O86" s="51"/>
      <c r="P86" s="51"/>
      <c r="Q86" s="44"/>
      <c r="R86" s="438"/>
      <c r="S86" s="38"/>
      <c r="T86" s="439"/>
      <c r="U86" s="495"/>
    </row>
    <row r="87" spans="1:21" x14ac:dyDescent="0.25">
      <c r="A87" s="813" t="s">
        <v>71</v>
      </c>
      <c r="B87" s="804"/>
      <c r="C87" s="804"/>
      <c r="D87" s="69"/>
      <c r="E87" s="43"/>
      <c r="F87" s="117"/>
      <c r="G87" s="37"/>
      <c r="H87" s="440"/>
      <c r="I87" s="101"/>
      <c r="N87" s="870" t="s">
        <v>475</v>
      </c>
      <c r="O87" s="851"/>
      <c r="P87" s="851"/>
      <c r="Q87" s="51"/>
      <c r="R87" s="438"/>
      <c r="S87" s="51"/>
      <c r="T87" s="38"/>
      <c r="U87" s="496"/>
    </row>
    <row r="88" spans="1:21" x14ac:dyDescent="0.25">
      <c r="A88" s="813" t="s">
        <v>99</v>
      </c>
      <c r="B88" s="804"/>
      <c r="C88" s="804"/>
      <c r="D88" s="69"/>
      <c r="E88" s="43" t="s">
        <v>3</v>
      </c>
      <c r="F88" s="301">
        <f>'1461'!F88</f>
        <v>0</v>
      </c>
      <c r="G88" s="37" t="s">
        <v>6</v>
      </c>
      <c r="H88" s="440">
        <f>H70</f>
        <v>4.7800000000000002E-4</v>
      </c>
      <c r="I88" s="101">
        <f>ROUND(F88*H88,2)</f>
        <v>0</v>
      </c>
      <c r="N88" s="880" t="s">
        <v>99</v>
      </c>
      <c r="O88" s="851"/>
      <c r="P88" s="851"/>
      <c r="Q88" s="44"/>
      <c r="R88" s="437">
        <f>F88</f>
        <v>0</v>
      </c>
      <c r="S88" s="38" t="s">
        <v>6</v>
      </c>
      <c r="T88" s="439">
        <f>T70</f>
        <v>0</v>
      </c>
      <c r="U88" s="491">
        <f>ROUND(R88*T88,2)</f>
        <v>0</v>
      </c>
    </row>
    <row r="89" spans="1:21" x14ac:dyDescent="0.25">
      <c r="A89" s="449"/>
      <c r="B89" s="69"/>
      <c r="C89" s="69"/>
      <c r="D89" s="69"/>
      <c r="E89" s="43"/>
      <c r="F89" s="117"/>
      <c r="G89" s="37"/>
      <c r="H89" s="440"/>
      <c r="I89" s="101"/>
      <c r="N89" s="452"/>
      <c r="O89" s="45"/>
      <c r="P89" s="45"/>
      <c r="Q89" s="44"/>
      <c r="R89" s="437"/>
      <c r="S89" s="38"/>
      <c r="T89" s="439"/>
      <c r="U89" s="491"/>
    </row>
    <row r="90" spans="1:21" x14ac:dyDescent="0.25">
      <c r="A90" s="469" t="s">
        <v>468</v>
      </c>
      <c r="D90" s="69"/>
      <c r="E90" s="43" t="s">
        <v>434</v>
      </c>
      <c r="F90" s="301">
        <f>'1461'!F90</f>
        <v>19167881</v>
      </c>
      <c r="G90" s="37" t="s">
        <v>6</v>
      </c>
      <c r="H90" s="440">
        <f>H82</f>
        <v>5.5400000000000002E-4</v>
      </c>
      <c r="I90" s="101">
        <f>ROUND(F90*H90,2)</f>
        <v>10619.01</v>
      </c>
      <c r="N90" s="471" t="s">
        <v>468</v>
      </c>
      <c r="O90" s="51"/>
      <c r="P90" s="51"/>
      <c r="Q90" s="44"/>
      <c r="R90" s="437">
        <f>F90</f>
        <v>19167881</v>
      </c>
      <c r="S90" s="38" t="s">
        <v>6</v>
      </c>
      <c r="T90" s="439">
        <f>T82</f>
        <v>0</v>
      </c>
      <c r="U90" s="491">
        <f>ROUND(R90*T90,2)</f>
        <v>0</v>
      </c>
    </row>
    <row r="91" spans="1:21" x14ac:dyDescent="0.25">
      <c r="A91" s="418"/>
      <c r="D91" s="69"/>
      <c r="E91" s="43"/>
      <c r="F91" s="117"/>
      <c r="G91" s="37"/>
      <c r="H91" s="440"/>
      <c r="I91" s="101"/>
      <c r="N91" s="426"/>
      <c r="O91" s="51"/>
      <c r="P91" s="51"/>
      <c r="Q91" s="44"/>
      <c r="R91" s="437"/>
      <c r="S91" s="38"/>
      <c r="T91" s="439"/>
      <c r="U91" s="491"/>
    </row>
    <row r="92" spans="1:21" x14ac:dyDescent="0.25">
      <c r="A92" s="469" t="s">
        <v>469</v>
      </c>
      <c r="D92" s="69"/>
      <c r="E92" s="43" t="s">
        <v>3</v>
      </c>
      <c r="F92" s="301">
        <f>'1461'!F92</f>
        <v>11546889</v>
      </c>
      <c r="G92" s="37" t="s">
        <v>6</v>
      </c>
      <c r="H92" s="440">
        <f>H76</f>
        <v>5.53E-4</v>
      </c>
      <c r="I92" s="101">
        <f t="shared" ref="I92:I96" si="14">ROUND(F92*H92,2)</f>
        <v>6385.43</v>
      </c>
      <c r="N92" s="471" t="s">
        <v>469</v>
      </c>
      <c r="O92" s="51"/>
      <c r="P92" s="51"/>
      <c r="Q92" s="44"/>
      <c r="R92" s="437">
        <f t="shared" ref="R92:R96" si="15">F92</f>
        <v>11546889</v>
      </c>
      <c r="S92" s="38" t="s">
        <v>6</v>
      </c>
      <c r="T92" s="439">
        <f>T76</f>
        <v>0</v>
      </c>
      <c r="U92" s="491">
        <f>ROUND(R92*T92,2)</f>
        <v>0</v>
      </c>
    </row>
    <row r="93" spans="1:21" x14ac:dyDescent="0.25">
      <c r="A93" s="81"/>
      <c r="D93" s="69"/>
      <c r="E93" s="43"/>
      <c r="F93" s="117"/>
      <c r="G93" s="37"/>
      <c r="H93" s="440"/>
      <c r="I93" s="101"/>
      <c r="N93" s="402"/>
      <c r="O93" s="51"/>
      <c r="P93" s="51"/>
      <c r="Q93" s="44"/>
      <c r="R93" s="438"/>
      <c r="S93" s="38"/>
      <c r="T93" s="439"/>
      <c r="U93" s="495"/>
    </row>
    <row r="94" spans="1:21" x14ac:dyDescent="0.25">
      <c r="A94" s="810" t="s">
        <v>435</v>
      </c>
      <c r="B94" s="804"/>
      <c r="C94" s="804"/>
      <c r="D94" s="69"/>
      <c r="E94" s="43" t="s">
        <v>4</v>
      </c>
      <c r="F94" s="301">
        <f>'1461'!F94</f>
        <v>268816278</v>
      </c>
      <c r="G94" s="37" t="s">
        <v>6</v>
      </c>
      <c r="H94" s="440">
        <f>H73</f>
        <v>4.4799999999999999E-4</v>
      </c>
      <c r="I94" s="101">
        <f>ROUND(F94*H94,2)</f>
        <v>120429.69</v>
      </c>
      <c r="N94" s="851" t="s">
        <v>435</v>
      </c>
      <c r="O94" s="851"/>
      <c r="P94" s="851"/>
      <c r="Q94" s="44"/>
      <c r="R94" s="437">
        <f t="shared" si="15"/>
        <v>268816278</v>
      </c>
      <c r="S94" s="38" t="s">
        <v>6</v>
      </c>
      <c r="T94" s="439">
        <f>T73</f>
        <v>0</v>
      </c>
      <c r="U94" s="491">
        <f>ROUND(R94*T94,2)</f>
        <v>0</v>
      </c>
    </row>
    <row r="95" spans="1:21" x14ac:dyDescent="0.25">
      <c r="A95" s="81"/>
      <c r="B95" s="69"/>
      <c r="C95" s="69"/>
      <c r="D95" s="69"/>
      <c r="E95" s="43"/>
      <c r="F95" s="117"/>
      <c r="G95" s="37"/>
      <c r="H95" s="440"/>
      <c r="I95" s="101"/>
      <c r="N95" s="45"/>
      <c r="O95" s="45"/>
      <c r="P95" s="45"/>
      <c r="Q95" s="44"/>
      <c r="R95" s="437"/>
      <c r="S95" s="38"/>
      <c r="T95" s="439"/>
      <c r="U95" s="491"/>
    </row>
    <row r="96" spans="1:21" x14ac:dyDescent="0.25">
      <c r="A96" s="810" t="s">
        <v>436</v>
      </c>
      <c r="B96" s="804"/>
      <c r="C96" s="804"/>
      <c r="D96" s="69"/>
      <c r="E96" s="43" t="s">
        <v>4</v>
      </c>
      <c r="F96" s="301">
        <f>'1461'!F96</f>
        <v>0</v>
      </c>
      <c r="G96" s="37" t="s">
        <v>6</v>
      </c>
      <c r="H96" s="440">
        <f>H73</f>
        <v>4.4799999999999999E-4</v>
      </c>
      <c r="I96" s="101">
        <f t="shared" si="14"/>
        <v>0</v>
      </c>
      <c r="N96" s="870" t="s">
        <v>436</v>
      </c>
      <c r="O96" s="851"/>
      <c r="P96" s="851"/>
      <c r="Q96" s="44"/>
      <c r="R96" s="437">
        <f t="shared" si="15"/>
        <v>0</v>
      </c>
      <c r="S96" s="38" t="s">
        <v>6</v>
      </c>
      <c r="T96" s="439">
        <f>T73</f>
        <v>0</v>
      </c>
      <c r="U96" s="491">
        <f>ROUND(R96*T96,2)</f>
        <v>0</v>
      </c>
    </row>
    <row r="97" spans="1:21" x14ac:dyDescent="0.25">
      <c r="A97" s="81"/>
      <c r="B97" s="69"/>
      <c r="C97" s="69"/>
      <c r="D97" s="69"/>
      <c r="E97" s="43"/>
      <c r="F97" s="117"/>
      <c r="G97" s="37"/>
      <c r="H97" s="440"/>
      <c r="I97" s="101"/>
      <c r="N97" s="402"/>
      <c r="O97" s="45"/>
      <c r="P97" s="45"/>
      <c r="Q97" s="44"/>
      <c r="R97" s="438"/>
      <c r="S97" s="38"/>
      <c r="T97" s="439"/>
      <c r="U97" s="103"/>
    </row>
    <row r="98" spans="1:21" x14ac:dyDescent="0.25">
      <c r="A98" s="547" t="s">
        <v>507</v>
      </c>
      <c r="B98" s="546"/>
      <c r="C98" s="546"/>
      <c r="D98" s="546"/>
      <c r="E98" s="544" t="s">
        <v>3</v>
      </c>
      <c r="F98" s="301">
        <f>'1461'!F98</f>
        <v>0</v>
      </c>
      <c r="G98" s="545" t="s">
        <v>6</v>
      </c>
      <c r="H98" s="440">
        <f>H70</f>
        <v>4.7800000000000002E-4</v>
      </c>
      <c r="I98" s="101">
        <f t="shared" ref="I98" si="16">ROUND(F98*H98,2)</f>
        <v>0</v>
      </c>
      <c r="N98" s="550" t="s">
        <v>507</v>
      </c>
      <c r="O98" s="550"/>
      <c r="P98" s="550"/>
      <c r="Q98" s="44"/>
      <c r="R98" s="553">
        <f>F98</f>
        <v>0</v>
      </c>
      <c r="S98" s="551" t="s">
        <v>6</v>
      </c>
      <c r="T98" s="439">
        <f>T70</f>
        <v>0</v>
      </c>
      <c r="U98" s="491">
        <f>ROUND(R98*T98,2)</f>
        <v>0</v>
      </c>
    </row>
    <row r="99" spans="1:21" x14ac:dyDescent="0.25">
      <c r="A99" s="547"/>
      <c r="B99" s="546"/>
      <c r="C99" s="546"/>
      <c r="D99" s="546"/>
      <c r="E99" s="544"/>
      <c r="F99" s="275"/>
      <c r="G99" s="545"/>
      <c r="H99" s="440"/>
      <c r="I99" s="101"/>
      <c r="N99" s="550"/>
      <c r="O99" s="550"/>
      <c r="P99" s="550"/>
      <c r="Q99" s="44"/>
      <c r="R99" s="552"/>
      <c r="S99" s="551"/>
      <c r="T99" s="439"/>
      <c r="U99" s="495"/>
    </row>
    <row r="100" spans="1:21" x14ac:dyDescent="0.25">
      <c r="A100" s="547"/>
      <c r="B100" s="546"/>
      <c r="C100" s="546"/>
      <c r="D100" s="546"/>
      <c r="E100" s="544"/>
      <c r="F100" s="275"/>
      <c r="G100" s="545"/>
      <c r="H100" s="440"/>
      <c r="I100" s="101"/>
      <c r="N100" s="550"/>
      <c r="O100" s="550"/>
      <c r="P100" s="550"/>
      <c r="Q100" s="44"/>
      <c r="R100" s="438"/>
      <c r="S100" s="551"/>
      <c r="T100" s="439"/>
      <c r="U100" s="103"/>
    </row>
    <row r="101" spans="1:21" x14ac:dyDescent="0.25">
      <c r="A101" s="418" t="s">
        <v>508</v>
      </c>
      <c r="N101" s="426" t="s">
        <v>508</v>
      </c>
      <c r="O101" s="51"/>
      <c r="P101" s="51"/>
      <c r="Q101" s="51"/>
      <c r="R101" s="51"/>
      <c r="S101" s="51"/>
      <c r="T101" s="51"/>
      <c r="U101" s="51"/>
    </row>
    <row r="102" spans="1:21" x14ac:dyDescent="0.25">
      <c r="B102" s="69"/>
      <c r="C102" s="789" t="s">
        <v>60</v>
      </c>
      <c r="D102" s="789"/>
      <c r="E102" s="69"/>
      <c r="F102" s="39" t="s">
        <v>28</v>
      </c>
      <c r="G102" s="69"/>
      <c r="H102" s="69"/>
      <c r="I102" s="69"/>
      <c r="N102" s="45"/>
      <c r="O102" s="45"/>
      <c r="P102" s="45"/>
      <c r="Q102" s="45"/>
      <c r="R102" s="45"/>
      <c r="S102" s="45"/>
      <c r="T102" s="45"/>
      <c r="U102" s="45"/>
    </row>
    <row r="103" spans="1:21" x14ac:dyDescent="0.25">
      <c r="A103" s="3"/>
      <c r="B103" s="118"/>
      <c r="C103" s="790" t="s">
        <v>101</v>
      </c>
      <c r="D103" s="790"/>
      <c r="E103" s="441" t="s">
        <v>439</v>
      </c>
      <c r="F103" s="120" t="s">
        <v>106</v>
      </c>
      <c r="G103" s="121"/>
      <c r="H103" s="121"/>
      <c r="I103" s="121"/>
      <c r="N103" s="882" t="s">
        <v>35</v>
      </c>
      <c r="O103" s="882"/>
      <c r="P103" s="899" t="s">
        <v>441</v>
      </c>
      <c r="Q103" s="884"/>
      <c r="R103" s="873" t="s">
        <v>31</v>
      </c>
      <c r="S103" s="873"/>
      <c r="T103" s="873"/>
      <c r="U103" s="873"/>
    </row>
    <row r="104" spans="1:21" x14ac:dyDescent="0.25">
      <c r="A104" s="26"/>
      <c r="B104" s="52" t="s">
        <v>105</v>
      </c>
      <c r="C104" s="822">
        <f>H14+H15+H20+H23+H26</f>
        <v>0</v>
      </c>
      <c r="D104" s="822"/>
      <c r="E104" s="46">
        <f>H8</f>
        <v>1.0355000000000001</v>
      </c>
      <c r="F104" s="302">
        <f>'1461'!F104</f>
        <v>958.42</v>
      </c>
      <c r="G104" s="39" t="s">
        <v>12</v>
      </c>
      <c r="H104" s="101">
        <f>ROUND(C104*E104*F104,2)</f>
        <v>0</v>
      </c>
      <c r="I104" s="104"/>
      <c r="N104" s="28" t="s">
        <v>17</v>
      </c>
      <c r="O104" s="47">
        <f>T14+T15+T20+T23+T26</f>
        <v>0</v>
      </c>
      <c r="P104" s="881">
        <f>T8</f>
        <v>1.0355000000000001</v>
      </c>
      <c r="Q104" s="881"/>
      <c r="R104" s="48">
        <f>F104</f>
        <v>958.42</v>
      </c>
      <c r="S104" s="40" t="s">
        <v>12</v>
      </c>
      <c r="T104" s="497">
        <f>ROUND(O104*P104*R104,2)</f>
        <v>0</v>
      </c>
      <c r="U104" s="102"/>
    </row>
    <row r="105" spans="1:21" x14ac:dyDescent="0.25">
      <c r="A105" s="49"/>
      <c r="B105" s="49" t="s">
        <v>104</v>
      </c>
      <c r="C105" s="822">
        <f>H16+H17+H21+H24+H27</f>
        <v>0</v>
      </c>
      <c r="D105" s="822"/>
      <c r="E105" s="46">
        <f>H8</f>
        <v>1.0355000000000001</v>
      </c>
      <c r="F105" s="302">
        <f>'1461'!F105</f>
        <v>915.09</v>
      </c>
      <c r="G105" s="39" t="s">
        <v>12</v>
      </c>
      <c r="H105" s="101">
        <f>ROUND(C105*E105*F105,2)</f>
        <v>0</v>
      </c>
      <c r="N105" s="50" t="s">
        <v>13</v>
      </c>
      <c r="O105" s="47">
        <f>T16+T17+T21+T24+T27</f>
        <v>0</v>
      </c>
      <c r="P105" s="881">
        <f>T8</f>
        <v>1.0355000000000001</v>
      </c>
      <c r="Q105" s="881"/>
      <c r="R105" s="48">
        <f>F105</f>
        <v>915.09</v>
      </c>
      <c r="S105" s="40" t="s">
        <v>12</v>
      </c>
      <c r="T105" s="497">
        <f>ROUND(O105*P105*R105,2)</f>
        <v>0</v>
      </c>
      <c r="U105" s="51"/>
    </row>
    <row r="106" spans="1:21" ht="16.5" thickBot="1" x14ac:dyDescent="0.3">
      <c r="A106" s="52"/>
      <c r="B106" s="52" t="s">
        <v>103</v>
      </c>
      <c r="C106" s="822">
        <f>H18+H19+H22+H25+H28+H29</f>
        <v>102.5222</v>
      </c>
      <c r="D106" s="822"/>
      <c r="E106" s="46">
        <f>H8</f>
        <v>1.0355000000000001</v>
      </c>
      <c r="F106" s="302">
        <f>'1461'!F106</f>
        <v>917.3</v>
      </c>
      <c r="G106" s="39" t="s">
        <v>12</v>
      </c>
      <c r="H106" s="94">
        <f>ROUND(C106*E106*F106,2)</f>
        <v>97382.16</v>
      </c>
      <c r="N106" s="53" t="s">
        <v>14</v>
      </c>
      <c r="O106" s="54">
        <f>T18+T19+T22+T25+T28+T29</f>
        <v>0</v>
      </c>
      <c r="P106" s="881">
        <f>T8</f>
        <v>1.0355000000000001</v>
      </c>
      <c r="Q106" s="881"/>
      <c r="R106" s="48">
        <f>F106</f>
        <v>917.3</v>
      </c>
      <c r="S106" s="40" t="s">
        <v>12</v>
      </c>
      <c r="T106" s="497">
        <f>ROUND(O106*P106*R106,2)</f>
        <v>0</v>
      </c>
      <c r="U106" s="51"/>
    </row>
    <row r="107" spans="1:21" ht="16.5" thickBot="1" x14ac:dyDescent="0.3">
      <c r="A107" s="55"/>
      <c r="B107" s="122" t="s">
        <v>102</v>
      </c>
      <c r="C107" s="812">
        <f>SUM(C104:C106)</f>
        <v>102.5222</v>
      </c>
      <c r="D107" s="812"/>
      <c r="E107" s="123"/>
      <c r="F107" s="123"/>
      <c r="G107" s="123"/>
      <c r="H107" s="124" t="s">
        <v>100</v>
      </c>
      <c r="I107" s="101">
        <f>IF(A1=75,0,H106+H105+H104)</f>
        <v>97382.16</v>
      </c>
      <c r="N107" s="56" t="s">
        <v>89</v>
      </c>
      <c r="O107" s="57">
        <f>SUM(O104:O106)</f>
        <v>0</v>
      </c>
      <c r="P107" s="887" t="s">
        <v>16</v>
      </c>
      <c r="Q107" s="888"/>
      <c r="R107" s="888"/>
      <c r="S107" s="888"/>
      <c r="T107" s="888"/>
      <c r="U107" s="491">
        <f>IF(N1=75,0,T106+T105+T104)</f>
        <v>0</v>
      </c>
    </row>
    <row r="108" spans="1:21" ht="16.5" thickTop="1" x14ac:dyDescent="0.25">
      <c r="A108" s="781" t="s">
        <v>65</v>
      </c>
      <c r="B108" s="781"/>
      <c r="C108" s="781"/>
      <c r="D108" s="781"/>
      <c r="E108" s="781"/>
      <c r="F108" s="781"/>
      <c r="G108" s="781"/>
      <c r="H108" s="781"/>
      <c r="I108" s="781"/>
      <c r="N108" s="889" t="s">
        <v>65</v>
      </c>
      <c r="O108" s="889"/>
      <c r="P108" s="889"/>
      <c r="Q108" s="889"/>
      <c r="R108" s="889"/>
      <c r="S108" s="889"/>
      <c r="T108" s="889"/>
      <c r="U108" s="889"/>
    </row>
    <row r="109" spans="1:21" x14ac:dyDescent="0.25">
      <c r="A109" s="450"/>
      <c r="B109" s="450"/>
      <c r="C109" s="450"/>
      <c r="D109" s="450"/>
      <c r="E109" s="450"/>
      <c r="F109" s="450"/>
      <c r="G109" s="450"/>
      <c r="H109" s="450"/>
      <c r="I109" s="450"/>
      <c r="N109" s="451"/>
      <c r="O109" s="451"/>
      <c r="P109" s="451"/>
      <c r="Q109" s="451"/>
      <c r="R109" s="451"/>
      <c r="S109" s="451"/>
      <c r="T109" s="451"/>
      <c r="U109" s="451"/>
    </row>
    <row r="110" spans="1:21" x14ac:dyDescent="0.25">
      <c r="A110" s="547" t="s">
        <v>509</v>
      </c>
      <c r="C110" s="43"/>
      <c r="D110" s="69"/>
      <c r="E110" s="43" t="s">
        <v>32</v>
      </c>
      <c r="F110" s="782"/>
      <c r="G110" s="782"/>
      <c r="H110" s="782"/>
      <c r="I110" s="782"/>
      <c r="N110" s="870" t="s">
        <v>509</v>
      </c>
      <c r="O110" s="851"/>
      <c r="P110" s="851"/>
      <c r="Q110" s="890"/>
      <c r="R110" s="890"/>
      <c r="S110" s="890"/>
      <c r="T110" s="890"/>
      <c r="U110" s="103"/>
    </row>
    <row r="111" spans="1:21" x14ac:dyDescent="0.25">
      <c r="B111" s="69"/>
      <c r="C111" s="88" t="s">
        <v>523</v>
      </c>
      <c r="D111" s="349" t="s">
        <v>524</v>
      </c>
      <c r="E111" s="89" t="s">
        <v>107</v>
      </c>
      <c r="F111" s="43"/>
      <c r="G111" s="43"/>
      <c r="H111" s="43"/>
      <c r="I111" s="43"/>
      <c r="N111" s="45"/>
      <c r="O111" s="45"/>
      <c r="P111" s="45"/>
      <c r="Q111" s="125"/>
      <c r="R111" s="125"/>
      <c r="S111" s="125"/>
      <c r="T111" s="125"/>
      <c r="U111" s="103"/>
    </row>
    <row r="112" spans="1:21" x14ac:dyDescent="0.25">
      <c r="B112" s="69"/>
      <c r="C112" s="342"/>
      <c r="D112" s="340"/>
      <c r="E112" s="340" t="s">
        <v>2</v>
      </c>
      <c r="F112" s="43"/>
      <c r="G112" s="43"/>
      <c r="H112" s="43"/>
      <c r="I112" s="43"/>
      <c r="N112" s="45"/>
      <c r="O112" s="45"/>
      <c r="P112" s="45"/>
      <c r="Q112" s="125"/>
      <c r="R112" s="125"/>
      <c r="S112" s="125"/>
      <c r="T112" s="125"/>
      <c r="U112" s="103"/>
    </row>
    <row r="113" spans="1:21" x14ac:dyDescent="0.25">
      <c r="A113" s="783" t="s">
        <v>396</v>
      </c>
      <c r="B113" s="784"/>
      <c r="C113" s="143">
        <v>0</v>
      </c>
      <c r="D113" s="143">
        <v>0</v>
      </c>
      <c r="E113" s="116">
        <f>(C113+D113)/2</f>
        <v>0</v>
      </c>
      <c r="F113" s="126" t="s">
        <v>30</v>
      </c>
      <c r="G113" s="303">
        <f>'1461'!G113</f>
        <v>617</v>
      </c>
      <c r="I113" s="101">
        <f>ROUND(G113*E113,2)</f>
        <v>0</v>
      </c>
      <c r="N113" s="885" t="s">
        <v>52</v>
      </c>
      <c r="O113" s="885"/>
      <c r="P113" s="886">
        <f>IF(H133=1,E113,0)</f>
        <v>0</v>
      </c>
      <c r="Q113" s="886"/>
      <c r="R113" s="886"/>
      <c r="S113" s="83" t="s">
        <v>30</v>
      </c>
      <c r="T113" s="58">
        <f>G113</f>
        <v>617</v>
      </c>
      <c r="U113" s="491">
        <f>ROUND(T113*P113,2)</f>
        <v>0</v>
      </c>
    </row>
    <row r="114" spans="1:21" x14ac:dyDescent="0.25">
      <c r="A114" s="783" t="s">
        <v>397</v>
      </c>
      <c r="B114" s="784"/>
      <c r="C114" s="143">
        <v>0</v>
      </c>
      <c r="D114" s="143">
        <v>0</v>
      </c>
      <c r="E114" s="116">
        <f>(C114+D114)/2</f>
        <v>0</v>
      </c>
      <c r="F114" s="126" t="s">
        <v>30</v>
      </c>
      <c r="G114" s="303">
        <f>'1461'!G114</f>
        <v>1870</v>
      </c>
      <c r="I114" s="101">
        <f>ROUND(G114*E114,2)</f>
        <v>0</v>
      </c>
      <c r="N114" s="885" t="s">
        <v>64</v>
      </c>
      <c r="O114" s="885"/>
      <c r="P114" s="858"/>
      <c r="Q114" s="858"/>
      <c r="R114" s="858"/>
      <c r="S114" s="83" t="s">
        <v>30</v>
      </c>
      <c r="T114" s="58">
        <f>G114</f>
        <v>1870</v>
      </c>
      <c r="U114" s="491">
        <f>ROUND(T114*P114,2)</f>
        <v>0</v>
      </c>
    </row>
    <row r="115" spans="1:21" x14ac:dyDescent="0.25">
      <c r="A115" s="127"/>
      <c r="B115" s="127"/>
      <c r="C115" s="65"/>
      <c r="D115" s="65"/>
      <c r="E115" s="65"/>
      <c r="F115" s="65"/>
      <c r="G115" s="128"/>
      <c r="H115" s="129"/>
      <c r="I115" s="101"/>
      <c r="N115" s="130"/>
      <c r="O115" s="130"/>
      <c r="P115" s="131"/>
      <c r="Q115" s="131"/>
      <c r="R115" s="131"/>
      <c r="S115" s="83"/>
      <c r="T115" s="58"/>
      <c r="U115" s="103"/>
    </row>
    <row r="116" spans="1:21" hidden="1" x14ac:dyDescent="0.25">
      <c r="A116" s="127"/>
      <c r="B116" s="127"/>
      <c r="C116" s="65"/>
      <c r="D116" s="65"/>
      <c r="E116" s="65"/>
      <c r="F116" s="65"/>
      <c r="G116" s="128"/>
      <c r="H116" s="129"/>
      <c r="I116" s="101"/>
      <c r="N116" s="130"/>
      <c r="O116" s="130"/>
      <c r="P116" s="131"/>
      <c r="Q116" s="131"/>
      <c r="R116" s="131"/>
      <c r="S116" s="83"/>
      <c r="T116" s="58"/>
      <c r="U116" s="103"/>
    </row>
    <row r="117" spans="1:21" hidden="1" x14ac:dyDescent="0.25">
      <c r="A117" s="810" t="s">
        <v>443</v>
      </c>
      <c r="B117" s="804"/>
      <c r="C117" s="804"/>
      <c r="D117" s="69"/>
      <c r="E117" s="39" t="s">
        <v>317</v>
      </c>
      <c r="F117" s="789"/>
      <c r="G117" s="789"/>
      <c r="H117" s="789"/>
      <c r="I117" s="789"/>
      <c r="N117" s="870" t="s">
        <v>444</v>
      </c>
      <c r="O117" s="851"/>
      <c r="P117" s="851"/>
      <c r="Q117" s="851"/>
      <c r="R117" s="851"/>
      <c r="S117" s="851"/>
      <c r="T117" s="851"/>
      <c r="U117" s="851"/>
    </row>
    <row r="118" spans="1:21" hidden="1" x14ac:dyDescent="0.25">
      <c r="B118" s="69"/>
      <c r="C118" s="790" t="s">
        <v>66</v>
      </c>
      <c r="D118" s="790"/>
      <c r="E118" s="790"/>
      <c r="F118" s="37"/>
      <c r="G118" s="37"/>
      <c r="H118" s="39" t="s">
        <v>108</v>
      </c>
      <c r="I118" s="37"/>
      <c r="N118" s="45"/>
      <c r="O118" s="45"/>
      <c r="P118" s="45"/>
      <c r="Q118" s="45"/>
      <c r="R118" s="45"/>
      <c r="S118" s="45"/>
      <c r="T118" s="45"/>
      <c r="U118" s="45"/>
    </row>
    <row r="119" spans="1:21" hidden="1" x14ac:dyDescent="0.25">
      <c r="B119" s="69"/>
      <c r="C119" s="88" t="s">
        <v>329</v>
      </c>
      <c r="D119" s="88" t="s">
        <v>314</v>
      </c>
      <c r="E119" s="137" t="s">
        <v>8</v>
      </c>
      <c r="F119" s="791" t="s">
        <v>109</v>
      </c>
      <c r="G119" s="789"/>
      <c r="H119" s="37" t="s">
        <v>29</v>
      </c>
      <c r="I119" s="37"/>
      <c r="N119" s="45"/>
      <c r="O119" s="45"/>
      <c r="P119" s="45"/>
      <c r="Q119" s="45"/>
      <c r="R119" s="45"/>
      <c r="S119" s="45"/>
      <c r="T119" s="45"/>
      <c r="U119" s="45"/>
    </row>
    <row r="120" spans="1:21" hidden="1" x14ac:dyDescent="0.25">
      <c r="A120" s="790" t="s">
        <v>69</v>
      </c>
      <c r="B120" s="790"/>
      <c r="C120" s="90" t="s">
        <v>2</v>
      </c>
      <c r="D120" s="90" t="s">
        <v>2</v>
      </c>
      <c r="E120" s="59" t="s">
        <v>2</v>
      </c>
      <c r="F120" s="790" t="s">
        <v>28</v>
      </c>
      <c r="G120" s="790"/>
      <c r="H120" s="59" t="s">
        <v>28</v>
      </c>
      <c r="I120" s="59" t="s">
        <v>8</v>
      </c>
      <c r="N120" s="891" t="s">
        <v>53</v>
      </c>
      <c r="O120" s="891"/>
      <c r="P120" s="886" t="s">
        <v>66</v>
      </c>
      <c r="Q120" s="886"/>
      <c r="R120" s="891" t="s">
        <v>54</v>
      </c>
      <c r="S120" s="891"/>
      <c r="T120" s="60" t="s">
        <v>55</v>
      </c>
      <c r="U120" s="60" t="s">
        <v>8</v>
      </c>
    </row>
    <row r="121" spans="1:21" hidden="1" x14ac:dyDescent="0.25">
      <c r="A121" s="787" t="s">
        <v>56</v>
      </c>
      <c r="B121" s="787"/>
      <c r="C121" s="141">
        <v>0</v>
      </c>
      <c r="D121" s="141">
        <v>0</v>
      </c>
      <c r="E121" s="187">
        <f>IF(D30=0,C121*2,C121+D121)</f>
        <v>0</v>
      </c>
      <c r="F121" s="788">
        <v>0</v>
      </c>
      <c r="G121" s="788"/>
      <c r="H121" s="223">
        <f>IF(C121=0,0,125)</f>
        <v>0</v>
      </c>
      <c r="I121" s="101">
        <f>ROUND((H121+F121)*E121,2)</f>
        <v>0</v>
      </c>
      <c r="N121" s="851" t="s">
        <v>56</v>
      </c>
      <c r="O121" s="851"/>
      <c r="P121" s="858">
        <f>IF(H$133=1,C121,0)</f>
        <v>0</v>
      </c>
      <c r="Q121" s="858"/>
      <c r="R121" s="892">
        <f>F121</f>
        <v>0</v>
      </c>
      <c r="S121" s="892"/>
      <c r="T121" s="62">
        <f>H121</f>
        <v>0</v>
      </c>
      <c r="U121" s="96">
        <f>ROUND((T121+R121)*P121,0)</f>
        <v>0</v>
      </c>
    </row>
    <row r="122" spans="1:21" hidden="1" x14ac:dyDescent="0.25">
      <c r="A122" s="807" t="s">
        <v>57</v>
      </c>
      <c r="B122" s="807"/>
      <c r="C122" s="143">
        <v>0</v>
      </c>
      <c r="D122" s="143">
        <v>0</v>
      </c>
      <c r="E122" s="116">
        <f>IF(D31=0,C122*2,C122+D122)</f>
        <v>0</v>
      </c>
      <c r="F122" s="824">
        <f>ROUND(F121/2,2)</f>
        <v>0</v>
      </c>
      <c r="G122" s="824"/>
      <c r="H122" s="223">
        <f>IF(C122=0,0,62.5)</f>
        <v>0</v>
      </c>
      <c r="I122" s="101">
        <f>ROUND((H122+F122)*E122,2)</f>
        <v>0</v>
      </c>
      <c r="N122" s="851" t="s">
        <v>57</v>
      </c>
      <c r="O122" s="851"/>
      <c r="P122" s="858">
        <f>IF(H$133=1,C122,0)</f>
        <v>0</v>
      </c>
      <c r="Q122" s="858"/>
      <c r="R122" s="893">
        <f>ROUND(R121/2,2)</f>
        <v>0</v>
      </c>
      <c r="S122" s="893"/>
      <c r="T122" s="62">
        <f>H122</f>
        <v>0</v>
      </c>
      <c r="U122" s="96">
        <f>ROUND((T122+R122)*P122,0)</f>
        <v>0</v>
      </c>
    </row>
    <row r="123" spans="1:21" ht="16.5" hidden="1" thickBot="1" x14ac:dyDescent="0.3">
      <c r="A123" s="807" t="s">
        <v>58</v>
      </c>
      <c r="B123" s="807"/>
      <c r="C123" s="143">
        <v>0</v>
      </c>
      <c r="D123" s="143">
        <v>0</v>
      </c>
      <c r="E123" s="116">
        <f>IF(D32=0,C123*2,C123+D123)</f>
        <v>0</v>
      </c>
      <c r="F123" s="825"/>
      <c r="G123" s="825"/>
      <c r="H123" s="224">
        <f>IF(H121&gt;0,436,0)</f>
        <v>0</v>
      </c>
      <c r="I123" s="101">
        <f>ROUND(H123*E123,2)</f>
        <v>0</v>
      </c>
      <c r="N123" s="853" t="s">
        <v>58</v>
      </c>
      <c r="O123" s="853"/>
      <c r="P123" s="858">
        <f>IF(H$133=1,C123,0)</f>
        <v>0</v>
      </c>
      <c r="Q123" s="858"/>
      <c r="R123" s="891"/>
      <c r="S123" s="891"/>
      <c r="T123" s="64">
        <f>H123</f>
        <v>0</v>
      </c>
      <c r="U123" s="103">
        <f>ROUND(T123*P123,0)</f>
        <v>0</v>
      </c>
    </row>
    <row r="124" spans="1:21" ht="16.5" hidden="1" thickBot="1" x14ac:dyDescent="0.3">
      <c r="A124" s="789" t="s">
        <v>8</v>
      </c>
      <c r="B124" s="789"/>
      <c r="C124" s="65"/>
      <c r="D124" s="65"/>
      <c r="E124" s="65"/>
      <c r="F124" s="65"/>
      <c r="G124" s="65"/>
      <c r="H124" s="65"/>
      <c r="I124" s="97">
        <f>SUM(I121:I123)</f>
        <v>0</v>
      </c>
      <c r="N124" s="829" t="s">
        <v>8</v>
      </c>
      <c r="O124" s="829"/>
      <c r="P124" s="66"/>
      <c r="Q124" s="66"/>
      <c r="R124" s="66"/>
      <c r="S124" s="66"/>
      <c r="T124" s="66"/>
      <c r="U124" s="67">
        <f>SUM(U121:U123)</f>
        <v>0</v>
      </c>
    </row>
    <row r="125" spans="1:21" hidden="1" x14ac:dyDescent="0.25">
      <c r="A125" s="37"/>
      <c r="B125" s="37"/>
      <c r="C125" s="65"/>
      <c r="D125" s="65"/>
      <c r="E125" s="65"/>
      <c r="F125" s="65"/>
      <c r="G125" s="65"/>
      <c r="H125" s="65"/>
      <c r="I125" s="101"/>
      <c r="N125" s="38"/>
      <c r="O125" s="38"/>
      <c r="P125" s="66"/>
      <c r="Q125" s="66"/>
      <c r="R125" s="66"/>
      <c r="S125" s="66"/>
      <c r="T125" s="66"/>
      <c r="U125" s="138"/>
    </row>
    <row r="126" spans="1:21" x14ac:dyDescent="0.25">
      <c r="A126" s="810" t="s">
        <v>445</v>
      </c>
      <c r="B126" s="804"/>
      <c r="C126" s="804"/>
      <c r="D126" s="69"/>
      <c r="E126" s="68" t="s">
        <v>34</v>
      </c>
      <c r="F126" s="823"/>
      <c r="G126" s="823"/>
      <c r="H126" s="823"/>
      <c r="I126" s="154">
        <v>0</v>
      </c>
      <c r="N126" s="870" t="s">
        <v>445</v>
      </c>
      <c r="O126" s="851"/>
      <c r="P126" s="851"/>
      <c r="Q126" s="305"/>
      <c r="R126" s="305"/>
      <c r="S126" s="305"/>
      <c r="T126" s="305"/>
      <c r="U126" s="491">
        <f>IF($H$133=1,I126,0)</f>
        <v>0</v>
      </c>
    </row>
    <row r="127" spans="1:21" x14ac:dyDescent="0.25">
      <c r="B127" s="69"/>
      <c r="C127" s="69"/>
      <c r="D127" s="69"/>
      <c r="E127" s="68"/>
      <c r="F127" s="68"/>
      <c r="G127" s="68"/>
      <c r="H127" s="68"/>
      <c r="I127" s="116"/>
      <c r="N127" s="471"/>
      <c r="O127" s="470"/>
      <c r="P127" s="470"/>
      <c r="Q127" s="305"/>
      <c r="R127" s="305"/>
      <c r="S127" s="305"/>
      <c r="T127" s="305"/>
      <c r="U127" s="495"/>
    </row>
    <row r="128" spans="1:21" ht="16.5" thickBot="1" x14ac:dyDescent="0.3">
      <c r="A128" s="816" t="s">
        <v>8</v>
      </c>
      <c r="B128" s="816"/>
      <c r="C128" s="816"/>
      <c r="D128" s="816"/>
      <c r="E128" s="816"/>
      <c r="F128" s="816"/>
      <c r="G128" s="816"/>
      <c r="H128" s="816"/>
      <c r="I128" s="94">
        <f>SUM(I46,I66,I85,I88,I90,I92,I94,I96,I98,I107,I113,I114,I124,I126)</f>
        <v>843977.03000000014</v>
      </c>
      <c r="N128" s="471"/>
      <c r="O128" s="470"/>
      <c r="P128" s="470"/>
      <c r="Q128" s="305"/>
      <c r="R128" s="305"/>
      <c r="S128" s="305"/>
      <c r="T128" s="305"/>
      <c r="U128" s="498">
        <f>SUM(U30,U85,U88,U90,U92,U94,U96,U107,U113,U114,U124,U126)</f>
        <v>0</v>
      </c>
    </row>
    <row r="129" spans="1:21" ht="16.5" thickTop="1" x14ac:dyDescent="0.25">
      <c r="A129" s="26"/>
      <c r="B129" s="26"/>
      <c r="C129" s="26"/>
      <c r="D129" s="26"/>
      <c r="E129" s="26"/>
      <c r="F129" s="26"/>
      <c r="G129" s="26"/>
      <c r="H129" s="26"/>
      <c r="I129" s="101"/>
      <c r="N129" s="471"/>
      <c r="O129" s="470"/>
      <c r="P129" s="470"/>
      <c r="Q129" s="305"/>
      <c r="R129" s="305"/>
      <c r="S129" s="305"/>
      <c r="T129" s="305"/>
      <c r="U129" s="103"/>
    </row>
    <row r="130" spans="1:21" ht="16.5" thickBot="1" x14ac:dyDescent="0.3">
      <c r="A130" s="81" t="s">
        <v>447</v>
      </c>
      <c r="B130" s="26"/>
      <c r="C130" s="26"/>
      <c r="D130" s="26"/>
      <c r="E130" s="26"/>
      <c r="F130" s="26"/>
      <c r="G130" s="26"/>
      <c r="H130" s="26"/>
      <c r="I130" s="101">
        <f>I128-I53</f>
        <v>802853.74000000011</v>
      </c>
      <c r="N130" s="851" t="s">
        <v>447</v>
      </c>
      <c r="O130" s="851"/>
      <c r="P130" s="851"/>
      <c r="Q130" s="851"/>
      <c r="R130" s="851"/>
      <c r="S130" s="851"/>
      <c r="T130" s="851"/>
      <c r="U130" s="132">
        <f>U128-U53</f>
        <v>0</v>
      </c>
    </row>
    <row r="131" spans="1:21" ht="16.5" thickTop="1" x14ac:dyDescent="0.25">
      <c r="A131" s="26"/>
      <c r="B131" s="26"/>
      <c r="C131" s="26"/>
      <c r="D131" s="26"/>
      <c r="E131" s="26"/>
      <c r="F131" s="26"/>
      <c r="G131" s="26"/>
      <c r="H131" s="26"/>
      <c r="I131" s="101"/>
      <c r="N131" s="28"/>
      <c r="O131" s="28"/>
      <c r="P131" s="28"/>
      <c r="Q131" s="28"/>
      <c r="R131" s="28"/>
      <c r="S131" s="28"/>
      <c r="T131" s="28"/>
      <c r="U131" s="138"/>
    </row>
    <row r="132" spans="1:21" x14ac:dyDescent="0.25">
      <c r="A132" s="810" t="s">
        <v>512</v>
      </c>
      <c r="B132" s="804"/>
      <c r="C132" s="804"/>
      <c r="D132" s="804"/>
      <c r="E132" s="804"/>
      <c r="F132" s="804"/>
      <c r="G132" s="804"/>
      <c r="H132" s="81" t="s">
        <v>351</v>
      </c>
      <c r="I132" s="134"/>
      <c r="N132" s="870" t="s">
        <v>512</v>
      </c>
      <c r="O132" s="851"/>
      <c r="P132" s="851"/>
      <c r="Q132" s="851"/>
      <c r="R132" s="851"/>
      <c r="S132" s="851"/>
      <c r="T132" s="851"/>
      <c r="U132" s="138"/>
    </row>
    <row r="133" spans="1:21" x14ac:dyDescent="0.25">
      <c r="A133" s="804" t="s">
        <v>70</v>
      </c>
      <c r="B133" s="804"/>
      <c r="C133" s="804"/>
      <c r="D133" s="804"/>
      <c r="E133" s="804"/>
      <c r="F133" s="804"/>
      <c r="G133" s="804"/>
      <c r="H133" s="70" t="str">
        <f>IF(E30=0,"",IF((E15+E17+SUM(E19:E25))/E30&gt;0.75,1,""))</f>
        <v/>
      </c>
      <c r="I133" s="116">
        <f>U130</f>
        <v>0</v>
      </c>
      <c r="N133" s="851" t="s">
        <v>70</v>
      </c>
      <c r="O133" s="851"/>
      <c r="P133" s="851"/>
      <c r="Q133" s="851"/>
      <c r="R133" s="851"/>
      <c r="S133" s="851"/>
      <c r="T133" s="851"/>
      <c r="U133" s="138"/>
    </row>
    <row r="134" spans="1:21" x14ac:dyDescent="0.25">
      <c r="B134" s="69"/>
      <c r="C134" s="69"/>
      <c r="D134" s="69"/>
      <c r="E134" s="69"/>
      <c r="F134" s="69"/>
      <c r="G134" s="69"/>
      <c r="H134" s="65"/>
      <c r="I134" s="101"/>
      <c r="N134" s="28"/>
      <c r="O134" s="28"/>
      <c r="P134" s="28"/>
      <c r="Q134" s="28"/>
      <c r="R134" s="28"/>
      <c r="S134" s="28"/>
      <c r="T134" s="28"/>
      <c r="U134" s="138"/>
    </row>
    <row r="135" spans="1:21" x14ac:dyDescent="0.25">
      <c r="A135" s="3" t="s">
        <v>73</v>
      </c>
      <c r="B135" s="69"/>
      <c r="C135" s="69"/>
      <c r="D135" s="69"/>
      <c r="E135" s="69"/>
      <c r="F135" s="69"/>
      <c r="G135" s="256"/>
      <c r="H135" s="139">
        <f>IF(H133=1,I133,I130)</f>
        <v>802853.74000000011</v>
      </c>
      <c r="I135" s="94">
        <f>ROUND(IF(E30=0,0,IF(E30&gt;250,-(((250/E30)*H135)*IF(G135="H",0.02,0.05)),IF(G135="H",-0.02*H135,-0.05*H135))),2)</f>
        <v>-40142.69</v>
      </c>
      <c r="N135" s="894"/>
      <c r="O135" s="894"/>
      <c r="P135" s="894"/>
      <c r="Q135" s="894"/>
      <c r="R135" s="894"/>
      <c r="S135" s="894"/>
      <c r="T135" s="894"/>
      <c r="U135" s="894"/>
    </row>
    <row r="136" spans="1:21" x14ac:dyDescent="0.25">
      <c r="B136" s="69"/>
      <c r="C136" s="69"/>
      <c r="D136" s="69"/>
      <c r="E136" s="69"/>
      <c r="F136" s="69"/>
      <c r="G136" s="69"/>
      <c r="H136" s="65"/>
      <c r="I136" s="101"/>
      <c r="N136" s="895" t="s">
        <v>7</v>
      </c>
      <c r="O136" s="895"/>
      <c r="P136" s="895"/>
      <c r="Q136" s="895"/>
      <c r="R136" s="895"/>
      <c r="S136" s="895"/>
      <c r="T136" s="895"/>
      <c r="U136" s="895"/>
    </row>
    <row r="137" spans="1:21" x14ac:dyDescent="0.25">
      <c r="A137" s="308" t="s">
        <v>74</v>
      </c>
      <c r="B137" s="309"/>
      <c r="C137" s="309"/>
      <c r="D137" s="309"/>
      <c r="E137" s="309"/>
      <c r="F137" s="309"/>
      <c r="G137" s="309"/>
      <c r="H137" s="310"/>
      <c r="I137" s="311">
        <f>I128+I135</f>
        <v>803834.34000000008</v>
      </c>
      <c r="N137" s="71" t="s">
        <v>77</v>
      </c>
      <c r="O137" s="71"/>
      <c r="P137" s="71"/>
      <c r="Q137" s="71"/>
      <c r="R137" s="71"/>
      <c r="S137" s="71"/>
      <c r="T137" s="71"/>
      <c r="U137" s="71"/>
    </row>
    <row r="138" spans="1:21" x14ac:dyDescent="0.25">
      <c r="B138" s="69"/>
      <c r="C138" s="69"/>
      <c r="D138" s="69"/>
      <c r="E138" s="69"/>
      <c r="F138" s="69"/>
      <c r="G138" s="69"/>
      <c r="H138" s="65"/>
      <c r="I138" s="101"/>
      <c r="N138" s="72" t="s">
        <v>78</v>
      </c>
      <c r="O138" s="71"/>
      <c r="P138" s="71"/>
      <c r="Q138" s="71"/>
      <c r="R138" s="71"/>
      <c r="S138" s="71"/>
      <c r="T138" s="71"/>
      <c r="U138" s="71"/>
    </row>
    <row r="139" spans="1:21" x14ac:dyDescent="0.25">
      <c r="A139" s="3" t="s">
        <v>75</v>
      </c>
      <c r="B139" s="69"/>
      <c r="C139" s="140"/>
      <c r="D139" s="69"/>
      <c r="F139" s="69"/>
      <c r="G139" s="69"/>
      <c r="H139" s="65"/>
      <c r="I139" s="271">
        <f>-'Cumulative Payments'!Q118</f>
        <v>-66112.399999999994</v>
      </c>
      <c r="N139" s="73"/>
      <c r="O139" s="73"/>
      <c r="P139" s="73"/>
      <c r="Q139" s="73"/>
      <c r="R139" s="73"/>
      <c r="S139" s="73"/>
      <c r="T139" s="73"/>
      <c r="U139" s="73"/>
    </row>
    <row r="140" spans="1:21" x14ac:dyDescent="0.25">
      <c r="B140" s="69"/>
      <c r="C140" s="69"/>
      <c r="D140" s="69"/>
      <c r="E140" s="69"/>
      <c r="F140" s="69"/>
      <c r="G140" s="69"/>
      <c r="H140" s="65"/>
      <c r="I140" s="101"/>
      <c r="N140" s="73"/>
      <c r="O140" s="73"/>
      <c r="P140" s="73"/>
      <c r="Q140" s="73"/>
      <c r="R140" s="73"/>
      <c r="S140" s="73"/>
      <c r="T140" s="73"/>
      <c r="U140" s="73"/>
    </row>
    <row r="141" spans="1:21" x14ac:dyDescent="0.25">
      <c r="A141" s="81" t="s">
        <v>246</v>
      </c>
      <c r="B141" s="69"/>
      <c r="C141" s="69"/>
      <c r="D141" s="69"/>
      <c r="E141" s="69"/>
      <c r="F141" s="69"/>
      <c r="G141" s="69"/>
      <c r="H141" s="65"/>
      <c r="I141" s="101">
        <f>I137+I139</f>
        <v>737721.94000000006</v>
      </c>
      <c r="N141" s="73"/>
      <c r="O141" s="73"/>
      <c r="P141" s="73"/>
      <c r="Q141" s="73"/>
      <c r="R141" s="73"/>
      <c r="S141" s="73"/>
      <c r="T141" s="73"/>
      <c r="U141" s="73"/>
    </row>
    <row r="142" spans="1:21" x14ac:dyDescent="0.25">
      <c r="A142" s="81"/>
      <c r="B142" s="69"/>
      <c r="C142" s="69"/>
      <c r="D142" s="69"/>
      <c r="E142" s="69"/>
      <c r="F142" s="69"/>
      <c r="G142" s="69"/>
      <c r="H142" s="65"/>
      <c r="I142" s="101"/>
      <c r="N142" s="73"/>
      <c r="O142" s="73"/>
      <c r="P142" s="73"/>
      <c r="Q142" s="73"/>
      <c r="R142" s="73"/>
      <c r="S142" s="73"/>
      <c r="T142" s="73"/>
      <c r="U142" s="73"/>
    </row>
    <row r="143" spans="1:21" x14ac:dyDescent="0.25">
      <c r="A143" s="81" t="s">
        <v>247</v>
      </c>
      <c r="B143" s="69"/>
      <c r="C143" s="69"/>
      <c r="D143" s="69"/>
      <c r="E143" s="69"/>
      <c r="F143" s="69"/>
      <c r="G143" s="69"/>
      <c r="H143" s="65"/>
      <c r="I143" s="272">
        <f>'1461'!I143</f>
        <v>11</v>
      </c>
      <c r="N143" s="73"/>
      <c r="O143" s="73"/>
      <c r="P143" s="73"/>
      <c r="Q143" s="73"/>
      <c r="R143" s="73"/>
      <c r="S143" s="73"/>
      <c r="T143" s="73"/>
      <c r="U143" s="73"/>
    </row>
    <row r="144" spans="1:21" x14ac:dyDescent="0.25">
      <c r="B144" s="69"/>
      <c r="C144" s="69"/>
      <c r="D144" s="69"/>
      <c r="E144" s="69"/>
      <c r="F144" s="69"/>
      <c r="G144" s="69"/>
      <c r="H144" s="65"/>
      <c r="I144" s="101"/>
      <c r="N144" s="73"/>
      <c r="O144" s="73"/>
      <c r="P144" s="73"/>
      <c r="Q144" s="73"/>
      <c r="R144" s="73"/>
      <c r="S144" s="73"/>
      <c r="T144" s="73"/>
      <c r="U144" s="73"/>
    </row>
    <row r="145" spans="1:21" ht="16.5" thickBot="1" x14ac:dyDescent="0.3">
      <c r="A145" s="3" t="s">
        <v>76</v>
      </c>
      <c r="B145" s="69"/>
      <c r="C145" s="69"/>
      <c r="D145" s="69"/>
      <c r="E145" s="69"/>
      <c r="F145" s="69"/>
      <c r="G145" s="69"/>
      <c r="H145" s="65"/>
      <c r="I145" s="155">
        <f>ROUND(I141/I143,2)</f>
        <v>67065.63</v>
      </c>
      <c r="J145" s="236"/>
      <c r="N145" s="73"/>
      <c r="O145" s="73"/>
      <c r="P145" s="73"/>
      <c r="Q145" s="73"/>
      <c r="R145" s="73"/>
      <c r="S145" s="73"/>
      <c r="T145" s="73"/>
      <c r="U145" s="73"/>
    </row>
    <row r="146" spans="1:21" ht="16.5" thickTop="1" x14ac:dyDescent="0.25">
      <c r="B146" s="69"/>
      <c r="C146" s="69"/>
      <c r="D146" s="69"/>
      <c r="E146" s="69"/>
      <c r="F146" s="69"/>
      <c r="G146" s="69"/>
      <c r="H146" s="65"/>
      <c r="I146" s="101"/>
      <c r="N146" s="73"/>
      <c r="O146" s="73"/>
      <c r="P146" s="73"/>
      <c r="Q146" s="73"/>
      <c r="R146" s="73"/>
      <c r="S146" s="73"/>
      <c r="T146" s="73"/>
      <c r="U146" s="73"/>
    </row>
    <row r="147" spans="1:21" ht="16.5" thickBot="1" x14ac:dyDescent="0.3">
      <c r="A147" s="3" t="s">
        <v>90</v>
      </c>
      <c r="B147" s="69"/>
      <c r="C147" s="69"/>
      <c r="D147" s="69"/>
      <c r="E147" s="69"/>
      <c r="F147" s="69"/>
      <c r="G147" s="69"/>
      <c r="H147" s="65"/>
      <c r="I147" s="133">
        <f>ROUND(IF(G135="H",(H135*0.02)+I135,(H135*0.05)+I135),2)</f>
        <v>0</v>
      </c>
      <c r="N147" s="73"/>
      <c r="O147" s="73"/>
      <c r="P147" s="73"/>
      <c r="Q147" s="73"/>
      <c r="R147" s="73"/>
      <c r="S147" s="73"/>
      <c r="T147" s="73"/>
      <c r="U147" s="73"/>
    </row>
    <row r="148" spans="1:21" ht="16.5" thickTop="1" x14ac:dyDescent="0.25">
      <c r="B148" s="69"/>
      <c r="C148" s="69"/>
      <c r="D148" s="69"/>
      <c r="E148" s="69"/>
      <c r="F148" s="69"/>
      <c r="G148" s="69"/>
      <c r="H148" s="65"/>
      <c r="I148" s="134"/>
      <c r="N148" s="73"/>
      <c r="O148" s="73"/>
      <c r="P148" s="73"/>
      <c r="Q148" s="73"/>
      <c r="R148" s="73"/>
      <c r="S148" s="73"/>
      <c r="T148" s="73"/>
      <c r="U148" s="73"/>
    </row>
    <row r="149" spans="1:21" x14ac:dyDescent="0.25">
      <c r="B149" s="69"/>
      <c r="C149" s="69"/>
      <c r="D149" s="69"/>
      <c r="E149" s="69"/>
      <c r="F149" s="69"/>
      <c r="G149" s="69"/>
      <c r="H149" s="65"/>
      <c r="I149" s="101"/>
      <c r="N149" s="73"/>
      <c r="O149" s="73"/>
      <c r="P149" s="73"/>
      <c r="Q149" s="73"/>
      <c r="R149" s="73"/>
      <c r="S149" s="73"/>
      <c r="T149" s="73"/>
      <c r="U149" s="73"/>
    </row>
    <row r="150" spans="1:21" x14ac:dyDescent="0.25">
      <c r="B150" s="69"/>
      <c r="C150" s="69"/>
      <c r="D150" s="69"/>
      <c r="E150" s="69"/>
      <c r="F150" s="69"/>
      <c r="G150" s="69"/>
      <c r="H150" s="65"/>
      <c r="I150" s="134"/>
      <c r="N150" s="73"/>
      <c r="O150" s="73"/>
      <c r="P150" s="73"/>
      <c r="Q150" s="73"/>
      <c r="R150" s="73"/>
      <c r="S150" s="73"/>
      <c r="T150" s="73"/>
      <c r="U150" s="73"/>
    </row>
    <row r="151" spans="1:21" x14ac:dyDescent="0.25">
      <c r="A151" s="251" t="s">
        <v>7</v>
      </c>
      <c r="B151" s="251"/>
      <c r="C151" s="251"/>
      <c r="D151" s="251"/>
      <c r="E151" s="251"/>
      <c r="F151" s="251"/>
      <c r="G151" s="251"/>
      <c r="H151" s="251"/>
      <c r="I151" s="251"/>
      <c r="J151" s="134"/>
      <c r="N151" s="73"/>
      <c r="O151" s="73"/>
      <c r="P151" s="73"/>
      <c r="Q151" s="73"/>
      <c r="R151" s="73"/>
      <c r="S151" s="73"/>
      <c r="T151" s="73"/>
      <c r="U151" s="73"/>
    </row>
    <row r="152" spans="1:21" ht="15.75" customHeight="1" x14ac:dyDescent="0.25">
      <c r="A152" s="336" t="str">
        <f>'1461'!A152</f>
        <v>(a) Additional FTE includes FTE earned through Advanced Placement, International Baccalaureate, Advanced International Certificate of Education, Industry Certified Career</v>
      </c>
      <c r="B152" s="405"/>
      <c r="C152" s="405"/>
      <c r="D152" s="405"/>
      <c r="E152" s="405"/>
      <c r="F152" s="405"/>
      <c r="G152" s="405"/>
      <c r="H152" s="405"/>
      <c r="I152" s="405"/>
      <c r="J152" s="77"/>
      <c r="K152" s="76"/>
      <c r="L152" s="76"/>
      <c r="M152" s="76"/>
      <c r="N152" s="73"/>
      <c r="O152" s="73"/>
      <c r="P152" s="73"/>
      <c r="Q152" s="73"/>
      <c r="R152" s="73"/>
      <c r="S152" s="73"/>
      <c r="T152" s="73"/>
      <c r="U152" s="73"/>
    </row>
    <row r="153" spans="1:21" ht="15.75" customHeight="1" x14ac:dyDescent="0.25">
      <c r="A153" s="364" t="s">
        <v>387</v>
      </c>
      <c r="B153" s="405"/>
      <c r="C153" s="405"/>
      <c r="D153" s="405"/>
      <c r="E153" s="405"/>
      <c r="F153" s="405"/>
      <c r="G153" s="405"/>
      <c r="H153" s="405"/>
      <c r="I153" s="405"/>
      <c r="J153" s="77"/>
      <c r="K153" s="76"/>
      <c r="L153" s="76"/>
      <c r="M153" s="76"/>
      <c r="N153" s="73"/>
      <c r="O153" s="73"/>
      <c r="P153" s="73"/>
      <c r="Q153" s="73"/>
      <c r="R153" s="73"/>
      <c r="S153" s="73"/>
      <c r="T153" s="73"/>
      <c r="U153" s="73"/>
    </row>
    <row r="154" spans="1:21" x14ac:dyDescent="0.25">
      <c r="A154" s="336" t="s">
        <v>388</v>
      </c>
      <c r="B154" s="251"/>
      <c r="C154" s="251"/>
      <c r="D154" s="251"/>
      <c r="E154" s="251"/>
      <c r="F154" s="251"/>
      <c r="G154" s="251"/>
      <c r="H154" s="251"/>
      <c r="I154" s="251"/>
      <c r="J154" s="76"/>
      <c r="K154" s="76"/>
      <c r="L154" s="76"/>
      <c r="M154" s="76"/>
      <c r="N154" s="73"/>
      <c r="O154" s="73"/>
      <c r="P154" s="73"/>
      <c r="Q154" s="73"/>
      <c r="R154" s="73"/>
      <c r="S154" s="73"/>
      <c r="T154" s="73"/>
      <c r="U154" s="73"/>
    </row>
    <row r="155" spans="1:21" s="76" customFormat="1" x14ac:dyDescent="0.2">
      <c r="A155" s="336" t="s">
        <v>389</v>
      </c>
      <c r="B155" s="251"/>
      <c r="C155" s="251"/>
      <c r="D155" s="251"/>
      <c r="E155" s="251"/>
      <c r="F155" s="251"/>
      <c r="G155" s="251"/>
      <c r="H155" s="251"/>
      <c r="I155" s="251"/>
      <c r="N155" s="896"/>
      <c r="O155" s="896"/>
      <c r="P155" s="896"/>
      <c r="Q155" s="896"/>
      <c r="R155" s="896"/>
      <c r="S155" s="896"/>
      <c r="T155" s="896"/>
      <c r="U155" s="896"/>
    </row>
    <row r="156" spans="1:21" s="76" customFormat="1" x14ac:dyDescent="0.2">
      <c r="A156" s="336" t="s">
        <v>390</v>
      </c>
      <c r="B156" s="251"/>
      <c r="C156" s="251"/>
      <c r="D156" s="251"/>
      <c r="E156" s="251"/>
      <c r="F156" s="251"/>
      <c r="G156" s="251"/>
      <c r="H156" s="251"/>
      <c r="I156" s="251"/>
      <c r="N156" s="73"/>
      <c r="O156" s="73"/>
      <c r="P156" s="73"/>
      <c r="Q156" s="73"/>
      <c r="R156" s="73"/>
      <c r="S156" s="73"/>
      <c r="T156" s="73"/>
      <c r="U156" s="73"/>
    </row>
    <row r="157" spans="1:21" s="76" customFormat="1" x14ac:dyDescent="0.2">
      <c r="A157" s="336" t="s">
        <v>391</v>
      </c>
      <c r="B157" s="251"/>
      <c r="C157" s="251"/>
      <c r="D157" s="251"/>
      <c r="E157" s="251"/>
      <c r="F157" s="251"/>
      <c r="G157" s="251"/>
      <c r="H157" s="251"/>
      <c r="I157" s="251"/>
      <c r="N157" s="78"/>
      <c r="O157" s="79"/>
      <c r="P157" s="79"/>
      <c r="Q157" s="79"/>
      <c r="R157" s="79"/>
      <c r="S157" s="79"/>
      <c r="T157" s="79"/>
      <c r="U157" s="79"/>
    </row>
    <row r="158" spans="1:21" s="76" customFormat="1" x14ac:dyDescent="0.2">
      <c r="A158" s="336" t="s">
        <v>392</v>
      </c>
      <c r="B158" s="251"/>
      <c r="C158" s="251"/>
      <c r="D158" s="251"/>
      <c r="E158" s="251"/>
      <c r="F158" s="251"/>
      <c r="G158" s="251"/>
      <c r="H158" s="251"/>
      <c r="I158" s="251"/>
      <c r="N158" s="78"/>
    </row>
    <row r="159" spans="1:21" s="76" customFormat="1" x14ac:dyDescent="0.2">
      <c r="A159" s="336" t="s">
        <v>394</v>
      </c>
      <c r="B159" s="251"/>
      <c r="C159" s="251"/>
      <c r="D159" s="251"/>
      <c r="E159" s="251"/>
      <c r="F159" s="251"/>
      <c r="G159" s="251"/>
      <c r="H159" s="251"/>
      <c r="I159" s="251"/>
      <c r="N159" s="78"/>
    </row>
    <row r="160" spans="1:21" s="76" customFormat="1" x14ac:dyDescent="0.2">
      <c r="A160" s="404" t="s">
        <v>393</v>
      </c>
      <c r="B160" s="251"/>
      <c r="C160" s="251"/>
      <c r="D160" s="251"/>
      <c r="E160" s="251"/>
      <c r="F160" s="251"/>
      <c r="G160" s="251"/>
      <c r="H160" s="251"/>
      <c r="I160" s="251"/>
      <c r="N160" s="78"/>
    </row>
    <row r="161" spans="1:14" s="76" customFormat="1" x14ac:dyDescent="0.2">
      <c r="A161" s="336" t="s">
        <v>395</v>
      </c>
      <c r="B161" s="251"/>
      <c r="C161" s="251"/>
      <c r="D161" s="251"/>
      <c r="E161" s="251"/>
      <c r="F161" s="251"/>
      <c r="G161" s="251"/>
      <c r="H161" s="251"/>
      <c r="I161" s="251"/>
      <c r="N161" s="78"/>
    </row>
    <row r="162" spans="1:14" s="76" customFormat="1" x14ac:dyDescent="0.2">
      <c r="A162" s="364" t="str">
        <f>'1461'!A162</f>
        <v>"All Adjusted ESE Riders" should include only ESE Riders.</v>
      </c>
      <c r="B162" s="251"/>
      <c r="C162" s="251"/>
      <c r="D162" s="251"/>
      <c r="E162" s="251"/>
      <c r="F162" s="251"/>
      <c r="G162" s="251"/>
      <c r="H162" s="251"/>
      <c r="I162" s="251"/>
      <c r="N162" s="78"/>
    </row>
    <row r="163" spans="1:14" s="76" customFormat="1" x14ac:dyDescent="0.2">
      <c r="A163" s="336" t="s">
        <v>398</v>
      </c>
      <c r="B163" s="251"/>
      <c r="C163" s="251"/>
      <c r="D163" s="251"/>
      <c r="E163" s="251"/>
      <c r="F163" s="251"/>
      <c r="G163" s="251"/>
      <c r="H163" s="251"/>
      <c r="I163" s="251"/>
      <c r="N163" s="78"/>
    </row>
    <row r="164" spans="1:14" s="76" customFormat="1" ht="15.75" customHeight="1" x14ac:dyDescent="0.2">
      <c r="A164" s="336" t="str">
        <f>'1461'!A164</f>
        <v xml:space="preserve">(j) Funding based on student eligibility and meals provided, if participating in the National School Lunch Program. </v>
      </c>
      <c r="B164" s="292"/>
      <c r="C164" s="292"/>
      <c r="D164" s="292"/>
      <c r="E164" s="292"/>
      <c r="F164" s="292"/>
      <c r="G164" s="292"/>
      <c r="H164" s="292"/>
      <c r="I164" s="292"/>
      <c r="N164" s="78"/>
    </row>
    <row r="165" spans="1:14" s="76" customFormat="1" ht="15.75" customHeight="1" x14ac:dyDescent="0.2">
      <c r="A165" s="336" t="s">
        <v>400</v>
      </c>
      <c r="B165" s="292"/>
      <c r="C165" s="292"/>
      <c r="D165" s="292"/>
      <c r="E165" s="292"/>
      <c r="F165" s="292"/>
      <c r="G165" s="292"/>
      <c r="H165" s="292"/>
      <c r="I165" s="292"/>
      <c r="N165" s="78"/>
    </row>
    <row r="166" spans="1:14" s="76" customFormat="1" ht="15.75" customHeight="1" x14ac:dyDescent="0.2">
      <c r="A166" s="364" t="s">
        <v>399</v>
      </c>
      <c r="B166" s="292"/>
      <c r="C166" s="292"/>
      <c r="D166" s="292"/>
      <c r="E166" s="292"/>
      <c r="F166" s="292"/>
      <c r="G166" s="292"/>
      <c r="H166" s="292"/>
      <c r="I166" s="292"/>
      <c r="N166" s="78"/>
    </row>
    <row r="167" spans="1:14" s="76" customFormat="1" ht="15.75" customHeight="1" x14ac:dyDescent="0.2">
      <c r="A167" s="336" t="s">
        <v>401</v>
      </c>
      <c r="B167" s="356"/>
      <c r="C167" s="356"/>
      <c r="D167" s="356"/>
      <c r="E167" s="356"/>
      <c r="F167" s="356"/>
      <c r="G167" s="356"/>
      <c r="H167" s="356"/>
      <c r="I167" s="356"/>
      <c r="N167" s="78"/>
    </row>
    <row r="168" spans="1:14" s="76" customFormat="1" ht="15.75" customHeight="1" x14ac:dyDescent="0.2">
      <c r="A168" s="364" t="str">
        <f>'1461'!A168</f>
        <v xml:space="preserve">unweighted full-time equivalent students. </v>
      </c>
      <c r="B168" s="356"/>
      <c r="C168" s="356"/>
      <c r="D168" s="356"/>
      <c r="E168" s="356"/>
      <c r="F168" s="356"/>
      <c r="G168" s="356"/>
      <c r="H168" s="356"/>
      <c r="I168" s="356"/>
      <c r="N168" s="78"/>
    </row>
    <row r="169" spans="1:14" s="76" customFormat="1" ht="15.75" customHeight="1" x14ac:dyDescent="0.2">
      <c r="A169" s="336" t="s">
        <v>403</v>
      </c>
      <c r="B169" s="356"/>
      <c r="C169" s="356"/>
      <c r="D169" s="356"/>
      <c r="E169" s="356"/>
      <c r="F169" s="356"/>
      <c r="G169" s="356"/>
      <c r="H169" s="356"/>
      <c r="I169" s="356"/>
      <c r="N169" s="78"/>
    </row>
    <row r="170" spans="1:14" s="76" customFormat="1" ht="15.75" customHeight="1" x14ac:dyDescent="0.2">
      <c r="A170" s="364" t="s">
        <v>402</v>
      </c>
      <c r="B170" s="356"/>
      <c r="C170" s="356"/>
      <c r="D170" s="356"/>
      <c r="E170" s="356"/>
      <c r="F170" s="356"/>
      <c r="G170" s="356"/>
      <c r="H170" s="356"/>
      <c r="I170" s="356"/>
      <c r="N170" s="78"/>
    </row>
    <row r="171" spans="1:14" s="76" customFormat="1" ht="15.75" customHeight="1" x14ac:dyDescent="0.2">
      <c r="A171" s="336"/>
      <c r="B171" s="356"/>
      <c r="C171" s="356"/>
      <c r="D171" s="356"/>
      <c r="E171" s="356"/>
      <c r="F171" s="356"/>
      <c r="G171" s="356"/>
      <c r="H171" s="356"/>
      <c r="I171" s="356"/>
      <c r="N171" s="78"/>
    </row>
    <row r="172" spans="1:14" s="76" customFormat="1" ht="15.75" customHeight="1" x14ac:dyDescent="0.25">
      <c r="A172" s="372" t="str">
        <f>'1461'!A172</f>
        <v>Administrative fees:</v>
      </c>
      <c r="B172" s="292"/>
      <c r="C172" s="292"/>
      <c r="D172" s="292"/>
      <c r="E172" s="292"/>
      <c r="F172" s="292"/>
      <c r="G172" s="292"/>
      <c r="H172" s="292"/>
      <c r="I172" s="292"/>
      <c r="J172" s="3"/>
      <c r="K172" s="3"/>
      <c r="L172" s="3"/>
      <c r="M172" s="3"/>
      <c r="N172" s="78"/>
    </row>
    <row r="173" spans="1:14" s="76" customFormat="1" ht="15.75" customHeight="1" x14ac:dyDescent="0.25">
      <c r="A173" s="373" t="str">
        <f>'1461'!A173</f>
        <v xml:space="preserve">Administrative fees charged by the school district pursuant to s. 1002.33(20)(a), F.S., shall be calculated based upon 5% of available funds from the FEFP and categorical </v>
      </c>
      <c r="B173" s="292"/>
      <c r="C173" s="292"/>
      <c r="D173" s="292"/>
      <c r="E173" s="292"/>
      <c r="F173" s="292"/>
      <c r="G173" s="292"/>
      <c r="H173" s="292"/>
      <c r="I173" s="292"/>
      <c r="J173" s="3"/>
      <c r="K173" s="3"/>
      <c r="L173" s="3"/>
      <c r="M173" s="3"/>
      <c r="N173" s="78"/>
    </row>
    <row r="174" spans="1:14" s="76" customFormat="1" ht="15.75" customHeight="1" x14ac:dyDescent="0.25">
      <c r="A174" s="374" t="str">
        <f>'1461'!A174</f>
        <v>funding for which charter students may be eligible.  To calculate the administrative fee to be withheld for schools with more than 250 students, divide the school</v>
      </c>
      <c r="B174" s="292"/>
      <c r="C174" s="292"/>
      <c r="D174" s="292"/>
      <c r="E174" s="292"/>
      <c r="F174" s="292"/>
      <c r="G174" s="292"/>
      <c r="H174" s="292"/>
      <c r="I174" s="292"/>
      <c r="J174" s="3"/>
      <c r="K174" s="3"/>
      <c r="L174" s="3"/>
      <c r="M174" s="3"/>
      <c r="N174" s="78"/>
    </row>
    <row r="175" spans="1:14" s="76" customFormat="1" ht="15.75" customHeight="1" x14ac:dyDescent="0.25">
      <c r="A175" s="374" t="s">
        <v>404</v>
      </c>
      <c r="B175" s="292"/>
      <c r="C175" s="292"/>
      <c r="D175" s="292"/>
      <c r="E175" s="292"/>
      <c r="F175" s="292"/>
      <c r="G175" s="292"/>
      <c r="H175" s="292"/>
      <c r="I175" s="292"/>
      <c r="J175" s="3"/>
      <c r="K175" s="3"/>
      <c r="L175" s="3"/>
      <c r="M175" s="3"/>
      <c r="N175" s="78"/>
    </row>
    <row r="176" spans="1:14" s="76" customFormat="1" ht="15.75" customHeight="1" x14ac:dyDescent="0.2">
      <c r="A176" s="374" t="s">
        <v>405</v>
      </c>
      <c r="B176" s="368"/>
      <c r="C176" s="368"/>
      <c r="D176" s="368"/>
      <c r="E176" s="368"/>
      <c r="F176" s="368"/>
      <c r="G176" s="368"/>
      <c r="H176" s="368"/>
      <c r="I176" s="368"/>
      <c r="N176" s="78"/>
    </row>
    <row r="177" spans="1:21" s="76" customFormat="1" ht="15.75" customHeight="1" x14ac:dyDescent="0.2">
      <c r="A177" s="373"/>
      <c r="B177" s="368"/>
      <c r="C177" s="368"/>
      <c r="D177" s="368"/>
      <c r="E177" s="368"/>
      <c r="F177" s="368"/>
      <c r="G177" s="368"/>
      <c r="H177" s="368"/>
      <c r="I177" s="368"/>
      <c r="N177" s="78"/>
    </row>
    <row r="178" spans="1:21" ht="15.75" customHeight="1" x14ac:dyDescent="0.25">
      <c r="A178" s="373" t="str">
        <f>'1461'!A178</f>
        <v xml:space="preserve">For high performing charter schools, administrative fees charged by the school district shall be calculated based upon 2% of available funds from the FEFP and categorical </v>
      </c>
      <c r="B178" s="292"/>
      <c r="C178" s="292"/>
      <c r="D178" s="292"/>
      <c r="E178" s="292"/>
      <c r="F178" s="292"/>
      <c r="G178" s="292"/>
      <c r="H178" s="292"/>
      <c r="I178" s="292"/>
      <c r="J178" s="76"/>
      <c r="K178" s="76"/>
      <c r="L178" s="76"/>
      <c r="M178" s="76"/>
      <c r="N178" s="78"/>
      <c r="O178" s="76"/>
      <c r="P178" s="76"/>
      <c r="Q178" s="76"/>
      <c r="R178" s="76"/>
      <c r="S178" s="76"/>
      <c r="T178" s="76"/>
      <c r="U178" s="76"/>
    </row>
    <row r="179" spans="1:21" ht="15.75" customHeight="1" x14ac:dyDescent="0.25">
      <c r="A179" s="374" t="str">
        <f>'1461'!A179</f>
        <v>funding for which charter students may be eligible.  To calculate the administrative fee to be withheld for schools with more than 250 students, divide the school</v>
      </c>
      <c r="B179" s="356"/>
      <c r="C179" s="356"/>
      <c r="D179" s="356"/>
      <c r="E179" s="356"/>
      <c r="F179" s="356"/>
      <c r="G179" s="356"/>
      <c r="H179" s="356"/>
      <c r="I179" s="356"/>
      <c r="J179" s="76"/>
      <c r="K179" s="76"/>
      <c r="L179" s="76"/>
      <c r="M179" s="76"/>
      <c r="N179" s="74"/>
    </row>
    <row r="180" spans="1:21" s="76" customFormat="1" ht="15.75" customHeight="1" x14ac:dyDescent="0.25">
      <c r="A180" s="374" t="str">
        <f>'1461'!A180</f>
        <v xml:space="preserve">population into 250. Multiply that fraction times the funds available, then times 2%.  </v>
      </c>
      <c r="B180" s="292"/>
      <c r="C180" s="292"/>
      <c r="D180" s="292"/>
      <c r="E180" s="292"/>
      <c r="F180" s="292"/>
      <c r="G180" s="292"/>
      <c r="H180" s="292"/>
      <c r="I180" s="292"/>
      <c r="N180" s="74"/>
      <c r="O180" s="3"/>
      <c r="P180" s="3"/>
      <c r="Q180" s="3"/>
      <c r="R180" s="3"/>
      <c r="S180" s="3"/>
      <c r="T180" s="3"/>
      <c r="U180" s="3"/>
    </row>
    <row r="181" spans="1:21" x14ac:dyDescent="0.25">
      <c r="A181" s="336"/>
      <c r="N181" s="78"/>
      <c r="O181" s="76"/>
      <c r="P181" s="76"/>
      <c r="Q181" s="76"/>
      <c r="R181" s="76"/>
      <c r="S181" s="76"/>
      <c r="T181" s="76"/>
      <c r="U181" s="76"/>
    </row>
    <row r="182" spans="1:21" x14ac:dyDescent="0.25">
      <c r="A182" s="372" t="str">
        <f>'1461'!A182</f>
        <v>Other:</v>
      </c>
      <c r="N182" s="78"/>
      <c r="O182" s="76"/>
      <c r="P182" s="76"/>
      <c r="Q182" s="76"/>
      <c r="R182" s="76"/>
      <c r="S182" s="76"/>
      <c r="T182" s="76"/>
      <c r="U182" s="76"/>
    </row>
    <row r="183" spans="1:21" x14ac:dyDescent="0.25">
      <c r="A183" s="373" t="str">
        <f>'1461'!A183</f>
        <v>FEFP and categorical funding are recalculated during the year to reflect the revised number of full-time equivalent students reported during the survey periods designated</v>
      </c>
      <c r="N183" s="78"/>
      <c r="O183" s="76"/>
      <c r="P183" s="76"/>
      <c r="Q183" s="76"/>
      <c r="R183" s="76"/>
      <c r="S183" s="76"/>
      <c r="T183" s="76"/>
      <c r="U183" s="76"/>
    </row>
    <row r="184" spans="1:21" x14ac:dyDescent="0.25">
      <c r="A184" s="376" t="str">
        <f>'1461'!A184</f>
        <v>by the Commissioner of Education.</v>
      </c>
      <c r="N184" s="74"/>
    </row>
    <row r="185" spans="1:21" x14ac:dyDescent="0.25">
      <c r="A185" s="373" t="str">
        <f>'1461'!A185</f>
        <v>Revenues flow to districts from state sources and from county tax collectors on various distribution schedules.</v>
      </c>
      <c r="N185" s="74"/>
    </row>
    <row r="186" spans="1:21" x14ac:dyDescent="0.25">
      <c r="A186" s="74"/>
      <c r="N186" s="74"/>
    </row>
    <row r="187" spans="1:21" x14ac:dyDescent="0.25">
      <c r="A187" s="74"/>
      <c r="N187" s="74"/>
    </row>
    <row r="188" spans="1:21" x14ac:dyDescent="0.25">
      <c r="A188" s="74"/>
      <c r="N188" s="74"/>
    </row>
    <row r="189" spans="1:21" x14ac:dyDescent="0.25">
      <c r="A189" s="74"/>
      <c r="N189" s="74"/>
    </row>
    <row r="190" spans="1:21" x14ac:dyDescent="0.25">
      <c r="A190" s="74"/>
      <c r="N190" s="74"/>
    </row>
    <row r="191" spans="1:21" x14ac:dyDescent="0.25">
      <c r="A191" s="74"/>
      <c r="N191" s="74"/>
    </row>
    <row r="192" spans="1:21" x14ac:dyDescent="0.25">
      <c r="A192" s="74"/>
      <c r="N192" s="74"/>
    </row>
    <row r="193" spans="1:14" x14ac:dyDescent="0.25">
      <c r="A193" s="74"/>
      <c r="N193" s="74"/>
    </row>
    <row r="194" spans="1:14" x14ac:dyDescent="0.25">
      <c r="A194" s="74"/>
      <c r="N194" s="74"/>
    </row>
    <row r="195" spans="1:14" x14ac:dyDescent="0.25">
      <c r="A195" s="74"/>
      <c r="N195" s="74"/>
    </row>
    <row r="196" spans="1:14" x14ac:dyDescent="0.25">
      <c r="A196" s="74"/>
      <c r="N196" s="74"/>
    </row>
    <row r="197" spans="1:14" x14ac:dyDescent="0.25">
      <c r="A197" s="74"/>
      <c r="N197" s="74"/>
    </row>
    <row r="198" spans="1:14" x14ac:dyDescent="0.25">
      <c r="A198" s="74"/>
      <c r="N198" s="74"/>
    </row>
    <row r="199" spans="1:14" x14ac:dyDescent="0.25">
      <c r="A199" s="74"/>
      <c r="N199" s="74"/>
    </row>
    <row r="200" spans="1:14" x14ac:dyDescent="0.25">
      <c r="A200" s="74"/>
      <c r="N200" s="74"/>
    </row>
    <row r="201" spans="1:14" x14ac:dyDescent="0.25">
      <c r="A201" s="74"/>
      <c r="N201" s="74"/>
    </row>
    <row r="202" spans="1:14" x14ac:dyDescent="0.25">
      <c r="A202" s="74"/>
      <c r="N202" s="74"/>
    </row>
    <row r="203" spans="1:14" x14ac:dyDescent="0.25">
      <c r="A203" s="74"/>
      <c r="N203" s="74"/>
    </row>
    <row r="204" spans="1:14" x14ac:dyDescent="0.25">
      <c r="A204" s="74"/>
      <c r="N204" s="74"/>
    </row>
    <row r="205" spans="1:14" x14ac:dyDescent="0.25">
      <c r="A205" s="74"/>
      <c r="N205" s="74"/>
    </row>
    <row r="206" spans="1:14" x14ac:dyDescent="0.25">
      <c r="A206" s="74"/>
    </row>
    <row r="207" spans="1:14" x14ac:dyDescent="0.25">
      <c r="A207" s="74"/>
    </row>
    <row r="208" spans="1:14" x14ac:dyDescent="0.25">
      <c r="A208" s="74"/>
    </row>
    <row r="209" spans="1:1" x14ac:dyDescent="0.25">
      <c r="A209" s="74"/>
    </row>
    <row r="210" spans="1:1" x14ac:dyDescent="0.25">
      <c r="A210" s="74"/>
    </row>
    <row r="211" spans="1:1" x14ac:dyDescent="0.25">
      <c r="A211" s="74"/>
    </row>
    <row r="212" spans="1:1" x14ac:dyDescent="0.25">
      <c r="A212" s="74"/>
    </row>
    <row r="213" spans="1:1" x14ac:dyDescent="0.25">
      <c r="A213" s="74"/>
    </row>
    <row r="214" spans="1:1" x14ac:dyDescent="0.25">
      <c r="A214" s="74"/>
    </row>
    <row r="215" spans="1:1" x14ac:dyDescent="0.25">
      <c r="A215" s="74"/>
    </row>
    <row r="216" spans="1:1" x14ac:dyDescent="0.25">
      <c r="A216" s="74"/>
    </row>
    <row r="217" spans="1:1" x14ac:dyDescent="0.25">
      <c r="A217" s="74"/>
    </row>
    <row r="218" spans="1:1" x14ac:dyDescent="0.25">
      <c r="A218" s="74"/>
    </row>
    <row r="219" spans="1:1" x14ac:dyDescent="0.25">
      <c r="A219" s="74"/>
    </row>
    <row r="220" spans="1:1" x14ac:dyDescent="0.25">
      <c r="A220" s="74"/>
    </row>
    <row r="221" spans="1:1" x14ac:dyDescent="0.25">
      <c r="A221" s="74"/>
    </row>
  </sheetData>
  <mergeCells count="260">
    <mergeCell ref="A123:B123"/>
    <mergeCell ref="F123:G123"/>
    <mergeCell ref="N123:O123"/>
    <mergeCell ref="P123:Q123"/>
    <mergeCell ref="R123:S123"/>
    <mergeCell ref="A124:B124"/>
    <mergeCell ref="N124:O124"/>
    <mergeCell ref="N155:U155"/>
    <mergeCell ref="N135:U135"/>
    <mergeCell ref="N126:P126"/>
    <mergeCell ref="A126:C126"/>
    <mergeCell ref="F126:H126"/>
    <mergeCell ref="N130:T130"/>
    <mergeCell ref="A128:H128"/>
    <mergeCell ref="A132:G132"/>
    <mergeCell ref="N136:U136"/>
    <mergeCell ref="A133:G133"/>
    <mergeCell ref="N132:T132"/>
    <mergeCell ref="N133:T133"/>
    <mergeCell ref="R122:S122"/>
    <mergeCell ref="A117:C117"/>
    <mergeCell ref="F117:I117"/>
    <mergeCell ref="N117:U117"/>
    <mergeCell ref="C118:E118"/>
    <mergeCell ref="F119:G119"/>
    <mergeCell ref="A120:B120"/>
    <mergeCell ref="F120:G120"/>
    <mergeCell ref="N120:O120"/>
    <mergeCell ref="P120:Q120"/>
    <mergeCell ref="A121:B121"/>
    <mergeCell ref="F121:G121"/>
    <mergeCell ref="N121:O121"/>
    <mergeCell ref="P121:Q121"/>
    <mergeCell ref="R121:S121"/>
    <mergeCell ref="A122:B122"/>
    <mergeCell ref="F122:G122"/>
    <mergeCell ref="N122:O122"/>
    <mergeCell ref="P122:Q122"/>
    <mergeCell ref="F110:I110"/>
    <mergeCell ref="N110:P110"/>
    <mergeCell ref="Q110:T110"/>
    <mergeCell ref="R120:S120"/>
    <mergeCell ref="A113:B113"/>
    <mergeCell ref="N113:O113"/>
    <mergeCell ref="P113:R113"/>
    <mergeCell ref="A114:B114"/>
    <mergeCell ref="N114:O114"/>
    <mergeCell ref="P114:R114"/>
    <mergeCell ref="C104:D104"/>
    <mergeCell ref="P104:Q104"/>
    <mergeCell ref="C105:D105"/>
    <mergeCell ref="P105:Q105"/>
    <mergeCell ref="C106:D106"/>
    <mergeCell ref="P106:Q106"/>
    <mergeCell ref="C107:D107"/>
    <mergeCell ref="P107:T107"/>
    <mergeCell ref="A108:I108"/>
    <mergeCell ref="N108:U108"/>
    <mergeCell ref="A57:B65"/>
    <mergeCell ref="F66:H66"/>
    <mergeCell ref="P65:Q65"/>
    <mergeCell ref="P66:Q66"/>
    <mergeCell ref="R66:T66"/>
    <mergeCell ref="A96:C96"/>
    <mergeCell ref="N96:P96"/>
    <mergeCell ref="C102:D102"/>
    <mergeCell ref="C103:D103"/>
    <mergeCell ref="N103:O103"/>
    <mergeCell ref="P103:Q103"/>
    <mergeCell ref="R103:U103"/>
    <mergeCell ref="A81:B81"/>
    <mergeCell ref="D81:G81"/>
    <mergeCell ref="N81:O81"/>
    <mergeCell ref="Q81:S81"/>
    <mergeCell ref="T81:U81"/>
    <mergeCell ref="N82:S82"/>
    <mergeCell ref="A87:C87"/>
    <mergeCell ref="N87:P87"/>
    <mergeCell ref="A94:C94"/>
    <mergeCell ref="A88:C88"/>
    <mergeCell ref="N94:P94"/>
    <mergeCell ref="T82:U82"/>
    <mergeCell ref="N88:P88"/>
    <mergeCell ref="N76:S76"/>
    <mergeCell ref="T76:U76"/>
    <mergeCell ref="A78:B78"/>
    <mergeCell ref="D78:G78"/>
    <mergeCell ref="N78:O78"/>
    <mergeCell ref="Q78:S78"/>
    <mergeCell ref="T78:U78"/>
    <mergeCell ref="N79:S79"/>
    <mergeCell ref="T79:U79"/>
    <mergeCell ref="N44:Q44"/>
    <mergeCell ref="S44:T44"/>
    <mergeCell ref="N46:Q46"/>
    <mergeCell ref="S46:T46"/>
    <mergeCell ref="A75:B75"/>
    <mergeCell ref="D75:G75"/>
    <mergeCell ref="N75:O75"/>
    <mergeCell ref="Q75:S75"/>
    <mergeCell ref="T75:U75"/>
    <mergeCell ref="A69:B69"/>
    <mergeCell ref="D69:G69"/>
    <mergeCell ref="N69:O69"/>
    <mergeCell ref="Q69:S69"/>
    <mergeCell ref="T69:U69"/>
    <mergeCell ref="N70:S70"/>
    <mergeCell ref="T70:U70"/>
    <mergeCell ref="A72:B72"/>
    <mergeCell ref="D72:G72"/>
    <mergeCell ref="N72:O72"/>
    <mergeCell ref="Q72:S72"/>
    <mergeCell ref="T72:U72"/>
    <mergeCell ref="N73:S73"/>
    <mergeCell ref="T73:U73"/>
    <mergeCell ref="N57:O65"/>
    <mergeCell ref="A41:B41"/>
    <mergeCell ref="N41:O41"/>
    <mergeCell ref="P41:T41"/>
    <mergeCell ref="A42:B42"/>
    <mergeCell ref="N42:O42"/>
    <mergeCell ref="P42:T42"/>
    <mergeCell ref="A43:B43"/>
    <mergeCell ref="N43:O43"/>
    <mergeCell ref="P43:T43"/>
    <mergeCell ref="A38:B38"/>
    <mergeCell ref="N38:O38"/>
    <mergeCell ref="P38:T38"/>
    <mergeCell ref="F34:H37"/>
    <mergeCell ref="A39:B39"/>
    <mergeCell ref="N39:O39"/>
    <mergeCell ref="P39:T39"/>
    <mergeCell ref="A40:B40"/>
    <mergeCell ref="N40:O40"/>
    <mergeCell ref="P40:T40"/>
    <mergeCell ref="A30:B30"/>
    <mergeCell ref="F30:G30"/>
    <mergeCell ref="N30:O30"/>
    <mergeCell ref="P30:Q30"/>
    <mergeCell ref="R30:S30"/>
    <mergeCell ref="N35:T35"/>
    <mergeCell ref="A37:B37"/>
    <mergeCell ref="N37:O37"/>
    <mergeCell ref="P37:T37"/>
    <mergeCell ref="A28:B28"/>
    <mergeCell ref="F28:G28"/>
    <mergeCell ref="N28:O28"/>
    <mergeCell ref="P28:Q28"/>
    <mergeCell ref="R28:S28"/>
    <mergeCell ref="A29:B29"/>
    <mergeCell ref="F29:G29"/>
    <mergeCell ref="N29:O29"/>
    <mergeCell ref="P29:Q29"/>
    <mergeCell ref="R29:S29"/>
    <mergeCell ref="A26:B26"/>
    <mergeCell ref="F26:G26"/>
    <mergeCell ref="N26:O26"/>
    <mergeCell ref="P26:Q26"/>
    <mergeCell ref="R26:S26"/>
    <mergeCell ref="A27:B27"/>
    <mergeCell ref="F27:G27"/>
    <mergeCell ref="N27:O27"/>
    <mergeCell ref="P27:Q27"/>
    <mergeCell ref="R27:S27"/>
    <mergeCell ref="A24:B24"/>
    <mergeCell ref="F24:G24"/>
    <mergeCell ref="N24:O24"/>
    <mergeCell ref="P24:Q24"/>
    <mergeCell ref="R24:S24"/>
    <mergeCell ref="A25:B25"/>
    <mergeCell ref="F25:G25"/>
    <mergeCell ref="N25:O25"/>
    <mergeCell ref="P25:Q25"/>
    <mergeCell ref="R25:S25"/>
    <mergeCell ref="A22:B22"/>
    <mergeCell ref="F22:G22"/>
    <mergeCell ref="N22:O22"/>
    <mergeCell ref="P22:Q22"/>
    <mergeCell ref="R22:S22"/>
    <mergeCell ref="A23:B23"/>
    <mergeCell ref="F23:G23"/>
    <mergeCell ref="N23:O23"/>
    <mergeCell ref="P23:Q23"/>
    <mergeCell ref="R23:S23"/>
    <mergeCell ref="F20:G20"/>
    <mergeCell ref="N20:O20"/>
    <mergeCell ref="P20:Q20"/>
    <mergeCell ref="R20:S20"/>
    <mergeCell ref="A21:B21"/>
    <mergeCell ref="F21:G21"/>
    <mergeCell ref="N21:O21"/>
    <mergeCell ref="P21:Q21"/>
    <mergeCell ref="R21:S21"/>
    <mergeCell ref="A20:B20"/>
    <mergeCell ref="N18:O18"/>
    <mergeCell ref="P18:Q18"/>
    <mergeCell ref="R18:S18"/>
    <mergeCell ref="A19:B19"/>
    <mergeCell ref="F19:G19"/>
    <mergeCell ref="N19:O19"/>
    <mergeCell ref="P19:Q19"/>
    <mergeCell ref="R19:S19"/>
    <mergeCell ref="A18:B18"/>
    <mergeCell ref="F18:G18"/>
    <mergeCell ref="N16:O16"/>
    <mergeCell ref="P16:Q16"/>
    <mergeCell ref="R16:S16"/>
    <mergeCell ref="A17:B17"/>
    <mergeCell ref="F17:G17"/>
    <mergeCell ref="N17:O17"/>
    <mergeCell ref="P17:Q17"/>
    <mergeCell ref="R17:S17"/>
    <mergeCell ref="A16:B16"/>
    <mergeCell ref="F16:G16"/>
    <mergeCell ref="N13:O13"/>
    <mergeCell ref="P13:Q13"/>
    <mergeCell ref="R13:S13"/>
    <mergeCell ref="A12:B12"/>
    <mergeCell ref="F12:G12"/>
    <mergeCell ref="N14:O14"/>
    <mergeCell ref="P14:Q14"/>
    <mergeCell ref="R14:S14"/>
    <mergeCell ref="A15:B15"/>
    <mergeCell ref="F15:G15"/>
    <mergeCell ref="N15:O15"/>
    <mergeCell ref="P15:Q15"/>
    <mergeCell ref="R15:S15"/>
    <mergeCell ref="A14:B14"/>
    <mergeCell ref="F14:G14"/>
    <mergeCell ref="A13:B13"/>
    <mergeCell ref="F13:G13"/>
    <mergeCell ref="B1:I1"/>
    <mergeCell ref="O1:U1"/>
    <mergeCell ref="N2:U2"/>
    <mergeCell ref="N3:U3"/>
    <mergeCell ref="A4:B4"/>
    <mergeCell ref="C4:E4"/>
    <mergeCell ref="N4:O4"/>
    <mergeCell ref="P4:Q4"/>
    <mergeCell ref="N7:U7"/>
    <mergeCell ref="N8:O8"/>
    <mergeCell ref="P8:Q8"/>
    <mergeCell ref="R8:S8"/>
    <mergeCell ref="T8:U8"/>
    <mergeCell ref="F11:G11"/>
    <mergeCell ref="R11:S11"/>
    <mergeCell ref="A7:I7"/>
    <mergeCell ref="N12:O12"/>
    <mergeCell ref="P12:Q12"/>
    <mergeCell ref="R12:S12"/>
    <mergeCell ref="T9:U9"/>
    <mergeCell ref="P56:Q56"/>
    <mergeCell ref="P57:Q57"/>
    <mergeCell ref="P58:Q58"/>
    <mergeCell ref="P59:Q59"/>
    <mergeCell ref="P60:Q60"/>
    <mergeCell ref="P61:Q61"/>
    <mergeCell ref="P62:Q62"/>
    <mergeCell ref="P63:Q63"/>
    <mergeCell ref="P64:Q64"/>
  </mergeCells>
  <pageMargins left="0.1" right="0.1" top="0.5" bottom="0.5" header="0" footer="0.1"/>
  <pageSetup scale="70" fitToHeight="3" orientation="portrait" r:id="rId1"/>
  <headerFooter alignWithMargins="0">
    <oddFooter>&amp;R&amp;P of &amp;N</oddFooter>
  </headerFooter>
  <rowBreaks count="1" manualBreakCount="1">
    <brk id="151" max="16383" man="1"/>
  </rowBreaks>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47"/>
  <dimension ref="A1:K42"/>
  <sheetViews>
    <sheetView workbookViewId="0"/>
    <sheetView workbookViewId="1"/>
  </sheetViews>
  <sheetFormatPr defaultColWidth="9.140625" defaultRowHeight="15.75" x14ac:dyDescent="0.25"/>
  <cols>
    <col min="1" max="1" width="9.140625" style="135"/>
    <col min="2" max="2" width="47.85546875" style="135" bestFit="1" customWidth="1"/>
    <col min="3" max="3" width="8.42578125" style="135" bestFit="1" customWidth="1"/>
    <col min="4" max="4" width="5.5703125" style="135" customWidth="1"/>
    <col min="5" max="5" width="17.42578125" style="135" customWidth="1"/>
    <col min="6" max="6" width="10.140625" style="135" bestFit="1" customWidth="1"/>
    <col min="7" max="16384" width="9.140625" style="135"/>
  </cols>
  <sheetData>
    <row r="1" spans="1:11" x14ac:dyDescent="0.25">
      <c r="A1" s="158"/>
      <c r="B1" s="159"/>
      <c r="C1" s="180"/>
      <c r="D1" s="180"/>
      <c r="E1" s="160">
        <v>50</v>
      </c>
      <c r="F1" s="158"/>
      <c r="G1" s="158"/>
      <c r="H1" s="158"/>
    </row>
    <row r="2" spans="1:11" ht="21" x14ac:dyDescent="0.35">
      <c r="A2" s="161"/>
      <c r="B2" s="171" t="s">
        <v>273</v>
      </c>
      <c r="C2" s="171"/>
      <c r="D2" s="171"/>
      <c r="E2" s="161"/>
      <c r="F2" s="161"/>
      <c r="G2" s="161"/>
      <c r="H2" s="161"/>
    </row>
    <row r="3" spans="1:11" x14ac:dyDescent="0.25">
      <c r="B3" s="172" t="s">
        <v>258</v>
      </c>
      <c r="C3" s="172"/>
      <c r="D3" s="172"/>
      <c r="E3" s="282" t="str">
        <f>'1461'!F4</f>
        <v>August 2025</v>
      </c>
      <c r="F3" s="157"/>
      <c r="G3" s="157"/>
      <c r="H3" s="157"/>
    </row>
    <row r="4" spans="1:11" x14ac:dyDescent="0.25">
      <c r="A4" s="158"/>
      <c r="B4" s="158"/>
      <c r="C4" s="158"/>
      <c r="D4" s="158"/>
      <c r="E4" s="158"/>
      <c r="F4" s="158"/>
      <c r="G4" s="158"/>
      <c r="H4" s="158"/>
    </row>
    <row r="5" spans="1:11" x14ac:dyDescent="0.25">
      <c r="A5" s="158"/>
      <c r="B5" s="162" t="s">
        <v>135</v>
      </c>
      <c r="C5" s="162"/>
      <c r="D5" s="162"/>
      <c r="E5" s="163" t="s">
        <v>9</v>
      </c>
      <c r="F5" s="158"/>
      <c r="G5" s="158"/>
      <c r="H5" s="158"/>
    </row>
    <row r="6" spans="1:11" x14ac:dyDescent="0.25">
      <c r="A6" s="158"/>
      <c r="B6" s="158"/>
      <c r="C6" s="158"/>
      <c r="D6" s="158"/>
      <c r="E6" s="158"/>
      <c r="F6" s="158"/>
      <c r="G6" s="158"/>
      <c r="H6" s="158"/>
    </row>
    <row r="7" spans="1:11" x14ac:dyDescent="0.25">
      <c r="A7" s="158"/>
      <c r="B7" s="164"/>
      <c r="C7" s="181"/>
      <c r="D7" s="181"/>
      <c r="E7" s="165" t="s">
        <v>136</v>
      </c>
      <c r="F7" s="158"/>
      <c r="G7" s="158"/>
      <c r="H7" s="158"/>
    </row>
    <row r="8" spans="1:11" x14ac:dyDescent="0.25">
      <c r="A8" s="158"/>
      <c r="B8" s="173" t="s">
        <v>148</v>
      </c>
      <c r="C8" s="173"/>
      <c r="D8" s="173"/>
      <c r="E8" s="244">
        <v>885681905</v>
      </c>
      <c r="F8" s="158"/>
      <c r="G8" s="158"/>
      <c r="H8" s="158"/>
      <c r="K8" s="248" t="s">
        <v>266</v>
      </c>
    </row>
    <row r="9" spans="1:11" x14ac:dyDescent="0.25">
      <c r="A9" s="158"/>
      <c r="B9" s="173" t="s">
        <v>236</v>
      </c>
      <c r="C9" s="173"/>
      <c r="D9" s="173"/>
      <c r="E9" s="244">
        <v>0</v>
      </c>
      <c r="F9" s="158"/>
      <c r="G9" s="158"/>
      <c r="H9" s="158"/>
      <c r="K9" s="248" t="s">
        <v>266</v>
      </c>
    </row>
    <row r="10" spans="1:11" x14ac:dyDescent="0.25">
      <c r="A10" s="158"/>
      <c r="B10" s="162" t="s">
        <v>137</v>
      </c>
      <c r="C10" s="162"/>
      <c r="D10" s="162"/>
      <c r="E10" s="244">
        <v>126865223</v>
      </c>
      <c r="F10" s="158"/>
      <c r="G10" s="158"/>
      <c r="H10" s="158"/>
      <c r="K10" s="248" t="s">
        <v>266</v>
      </c>
    </row>
    <row r="11" spans="1:11" x14ac:dyDescent="0.25">
      <c r="A11" s="158"/>
      <c r="B11" s="162" t="s">
        <v>138</v>
      </c>
      <c r="C11" s="162"/>
      <c r="D11" s="162"/>
      <c r="E11" s="244">
        <v>0</v>
      </c>
      <c r="F11" s="158"/>
      <c r="G11" s="158"/>
      <c r="H11" s="158"/>
      <c r="K11" s="248" t="s">
        <v>266</v>
      </c>
    </row>
    <row r="12" spans="1:11" x14ac:dyDescent="0.25">
      <c r="A12" s="158"/>
      <c r="B12" s="162" t="s">
        <v>139</v>
      </c>
      <c r="C12" s="162"/>
      <c r="D12" s="162"/>
      <c r="E12" s="244">
        <v>8613749</v>
      </c>
      <c r="F12" s="158"/>
      <c r="G12" s="158"/>
      <c r="H12" s="158"/>
      <c r="K12" s="248" t="s">
        <v>266</v>
      </c>
    </row>
    <row r="13" spans="1:11" x14ac:dyDescent="0.25">
      <c r="A13" s="158"/>
      <c r="B13" s="162" t="s">
        <v>140</v>
      </c>
      <c r="C13" s="162"/>
      <c r="D13" s="162"/>
      <c r="E13" s="244">
        <v>14865036</v>
      </c>
      <c r="F13" s="158"/>
      <c r="G13" s="158"/>
      <c r="H13" s="158"/>
      <c r="K13" s="248" t="s">
        <v>266</v>
      </c>
    </row>
    <row r="14" spans="1:11" x14ac:dyDescent="0.25">
      <c r="A14" s="158"/>
      <c r="B14" s="184" t="s">
        <v>8</v>
      </c>
      <c r="C14" s="162" t="s">
        <v>150</v>
      </c>
      <c r="D14" s="162"/>
      <c r="E14" s="177">
        <f>SUM(E8:E13)</f>
        <v>1036025913</v>
      </c>
      <c r="F14" s="158"/>
      <c r="G14" s="158"/>
      <c r="H14" s="158"/>
    </row>
    <row r="15" spans="1:11" x14ac:dyDescent="0.25">
      <c r="A15" s="158"/>
      <c r="B15" s="162"/>
      <c r="C15" s="162"/>
      <c r="D15" s="162"/>
      <c r="E15" s="178"/>
      <c r="F15" s="158"/>
      <c r="G15" s="158"/>
      <c r="H15" s="158"/>
    </row>
    <row r="16" spans="1:11" x14ac:dyDescent="0.25">
      <c r="A16" s="158"/>
      <c r="B16" s="173" t="s">
        <v>149</v>
      </c>
      <c r="C16" s="173" t="s">
        <v>3</v>
      </c>
      <c r="D16" s="173"/>
      <c r="E16" s="245">
        <v>187935.23</v>
      </c>
      <c r="F16" s="158"/>
      <c r="G16" s="158"/>
      <c r="H16" s="158"/>
      <c r="K16" s="248" t="s">
        <v>266</v>
      </c>
    </row>
    <row r="17" spans="1:8" x14ac:dyDescent="0.25">
      <c r="A17" s="158"/>
      <c r="B17" s="173"/>
      <c r="C17" s="173"/>
      <c r="D17" s="173"/>
      <c r="E17" s="175"/>
      <c r="F17" s="158"/>
      <c r="G17" s="158"/>
      <c r="H17" s="158"/>
    </row>
    <row r="18" spans="1:8" x14ac:dyDescent="0.25">
      <c r="A18" s="158"/>
      <c r="B18" s="162" t="s">
        <v>141</v>
      </c>
      <c r="C18" s="162" t="s">
        <v>151</v>
      </c>
      <c r="D18" s="162"/>
      <c r="E18" s="176">
        <f>ROUND(E14/E16,2)</f>
        <v>5512.68</v>
      </c>
      <c r="F18" s="158"/>
      <c r="G18" s="158"/>
      <c r="H18" s="158"/>
    </row>
    <row r="19" spans="1:8" x14ac:dyDescent="0.25">
      <c r="A19" s="158"/>
      <c r="B19" s="162" t="s">
        <v>142</v>
      </c>
      <c r="C19" s="162"/>
      <c r="D19" s="162"/>
      <c r="E19" s="179">
        <f>IF(E18&gt;5230,0,5230-E18)</f>
        <v>0</v>
      </c>
      <c r="F19" s="158"/>
      <c r="G19" s="158"/>
      <c r="H19" s="158"/>
    </row>
    <row r="20" spans="1:8" x14ac:dyDescent="0.25">
      <c r="A20" s="158"/>
      <c r="B20" s="162" t="s">
        <v>143</v>
      </c>
      <c r="C20" s="162"/>
      <c r="D20" s="162"/>
      <c r="E20" s="174">
        <f>E18+E19</f>
        <v>5512.68</v>
      </c>
      <c r="F20" s="158"/>
      <c r="G20" s="158"/>
      <c r="H20" s="158"/>
    </row>
    <row r="21" spans="1:8" x14ac:dyDescent="0.25">
      <c r="A21" s="158"/>
      <c r="B21" s="158"/>
      <c r="C21" s="158"/>
      <c r="D21" s="158"/>
      <c r="E21" s="158"/>
      <c r="F21" s="158"/>
      <c r="G21" s="158"/>
      <c r="H21" s="158"/>
    </row>
    <row r="22" spans="1:8" x14ac:dyDescent="0.25">
      <c r="A22" s="158"/>
      <c r="B22" s="258" t="s">
        <v>244</v>
      </c>
      <c r="C22" s="167"/>
      <c r="D22" s="167"/>
      <c r="E22" s="246">
        <v>0</v>
      </c>
      <c r="F22" s="158"/>
      <c r="G22" s="158"/>
      <c r="H22" s="158"/>
    </row>
    <row r="23" spans="1:8" x14ac:dyDescent="0.25">
      <c r="A23" s="158"/>
      <c r="B23" s="258" t="s">
        <v>245</v>
      </c>
      <c r="C23" s="167"/>
      <c r="D23" s="167"/>
      <c r="E23" s="247">
        <v>0</v>
      </c>
      <c r="F23" s="158"/>
      <c r="G23" s="158"/>
      <c r="H23" s="158"/>
    </row>
    <row r="24" spans="1:8" x14ac:dyDescent="0.25">
      <c r="A24" s="158"/>
      <c r="B24" s="167" t="s">
        <v>144</v>
      </c>
      <c r="C24" s="167"/>
      <c r="D24" s="167"/>
      <c r="E24" s="168">
        <f>+E22+E23</f>
        <v>0</v>
      </c>
      <c r="F24" s="158"/>
      <c r="G24" s="158"/>
      <c r="H24" s="158"/>
    </row>
    <row r="25" spans="1:8" x14ac:dyDescent="0.25">
      <c r="A25" s="158"/>
      <c r="B25" s="167"/>
      <c r="C25" s="167"/>
      <c r="D25" s="167"/>
      <c r="E25" s="182"/>
      <c r="F25" s="158"/>
      <c r="G25" s="158"/>
      <c r="H25" s="158"/>
    </row>
    <row r="26" spans="1:8" x14ac:dyDescent="0.25">
      <c r="A26" s="158"/>
      <c r="B26" s="162" t="s">
        <v>145</v>
      </c>
      <c r="C26" s="162"/>
      <c r="D26" s="162"/>
      <c r="E26" s="183">
        <f>E20*E24</f>
        <v>0</v>
      </c>
      <c r="F26" s="158"/>
      <c r="G26" s="158"/>
      <c r="H26" s="158"/>
    </row>
    <row r="27" spans="1:8" x14ac:dyDescent="0.25">
      <c r="A27" s="158"/>
      <c r="B27" s="173" t="s">
        <v>152</v>
      </c>
      <c r="C27" s="162"/>
      <c r="D27" s="162"/>
      <c r="E27" s="169">
        <v>0.7</v>
      </c>
      <c r="F27" s="158"/>
      <c r="G27" s="158"/>
      <c r="H27" s="158"/>
    </row>
    <row r="28" spans="1:8" x14ac:dyDescent="0.25">
      <c r="A28" s="158"/>
      <c r="B28" s="162" t="s">
        <v>146</v>
      </c>
      <c r="C28" s="162"/>
      <c r="D28" s="162"/>
      <c r="E28" s="183">
        <f>ROUND(E26*E27,2)</f>
        <v>0</v>
      </c>
      <c r="F28" s="158"/>
      <c r="G28" s="158"/>
      <c r="H28" s="158"/>
    </row>
    <row r="29" spans="1:8" x14ac:dyDescent="0.25">
      <c r="A29" s="158"/>
      <c r="B29" s="162" t="s">
        <v>147</v>
      </c>
      <c r="C29" s="162"/>
      <c r="D29" s="162"/>
      <c r="E29" s="170">
        <f>-ROUND(E28*0.05,2)</f>
        <v>0</v>
      </c>
      <c r="F29" s="158"/>
      <c r="G29" s="158"/>
      <c r="H29" s="158"/>
    </row>
    <row r="30" spans="1:8" x14ac:dyDescent="0.25">
      <c r="A30" s="158"/>
      <c r="B30" s="162" t="s">
        <v>74</v>
      </c>
      <c r="C30" s="162"/>
      <c r="D30" s="162"/>
      <c r="E30" s="186">
        <f>E28+E29</f>
        <v>0</v>
      </c>
      <c r="F30" s="158"/>
      <c r="G30" s="158"/>
      <c r="H30" s="158"/>
    </row>
    <row r="31" spans="1:8" x14ac:dyDescent="0.25">
      <c r="A31" s="158"/>
      <c r="B31" s="158"/>
      <c r="C31" s="158"/>
      <c r="D31" s="158"/>
      <c r="E31" s="158"/>
      <c r="F31" s="158"/>
      <c r="G31" s="166"/>
      <c r="H31" s="158"/>
    </row>
    <row r="32" spans="1:8" x14ac:dyDescent="0.25">
      <c r="A32" s="158"/>
      <c r="B32" s="3" t="s">
        <v>75</v>
      </c>
      <c r="C32" s="162"/>
      <c r="D32" s="162"/>
      <c r="E32" s="249">
        <v>0</v>
      </c>
      <c r="F32" s="158"/>
      <c r="G32" s="166"/>
      <c r="H32" s="158"/>
    </row>
    <row r="33" spans="1:8" x14ac:dyDescent="0.25">
      <c r="A33" s="158"/>
      <c r="B33" s="3"/>
      <c r="C33" s="162"/>
      <c r="D33" s="162"/>
      <c r="E33" s="267"/>
      <c r="F33" s="158"/>
      <c r="G33" s="166"/>
      <c r="H33" s="158"/>
    </row>
    <row r="34" spans="1:8" x14ac:dyDescent="0.25">
      <c r="A34" s="158"/>
      <c r="B34" s="3" t="s">
        <v>246</v>
      </c>
      <c r="C34" s="162"/>
      <c r="D34" s="162"/>
      <c r="E34" s="267">
        <f>E30+E32</f>
        <v>0</v>
      </c>
      <c r="F34" s="158"/>
      <c r="G34" s="166"/>
      <c r="H34" s="158"/>
    </row>
    <row r="35" spans="1:8" x14ac:dyDescent="0.25">
      <c r="A35" s="158"/>
      <c r="B35" s="3"/>
      <c r="C35" s="162"/>
      <c r="D35" s="162"/>
      <c r="E35" s="267"/>
      <c r="F35" s="158"/>
      <c r="G35" s="166"/>
      <c r="H35" s="158"/>
    </row>
    <row r="36" spans="1:8" x14ac:dyDescent="0.25">
      <c r="A36" s="158"/>
      <c r="B36" s="3" t="s">
        <v>248</v>
      </c>
      <c r="C36" s="185"/>
      <c r="D36" s="185"/>
      <c r="E36" s="274">
        <v>11</v>
      </c>
      <c r="F36" s="158"/>
      <c r="G36" s="166"/>
      <c r="H36" s="158"/>
    </row>
    <row r="37" spans="1:8" x14ac:dyDescent="0.25">
      <c r="A37" s="158"/>
      <c r="B37" s="3"/>
      <c r="C37" s="162"/>
      <c r="D37" s="162"/>
      <c r="E37" s="186"/>
      <c r="F37" s="158"/>
      <c r="G37" s="166"/>
      <c r="H37" s="158"/>
    </row>
    <row r="38" spans="1:8" ht="16.5" thickBot="1" x14ac:dyDescent="0.3">
      <c r="A38" s="158"/>
      <c r="B38" s="3" t="s">
        <v>76</v>
      </c>
      <c r="C38" s="162"/>
      <c r="D38" s="162"/>
      <c r="E38" s="268">
        <f>IF(E36=0,0,ROUND(E34/E36,2))</f>
        <v>0</v>
      </c>
      <c r="F38" s="158"/>
      <c r="G38" s="158"/>
      <c r="H38" s="158"/>
    </row>
    <row r="39" spans="1:8" ht="16.5" thickTop="1" x14ac:dyDescent="0.25"/>
    <row r="41" spans="1:8" x14ac:dyDescent="0.25">
      <c r="A41" s="293" t="s">
        <v>269</v>
      </c>
      <c r="B41" s="294"/>
      <c r="C41" s="294"/>
      <c r="D41" s="294"/>
      <c r="E41" s="294"/>
    </row>
    <row r="42" spans="1:8" x14ac:dyDescent="0.25">
      <c r="A42" s="293" t="s">
        <v>270</v>
      </c>
      <c r="B42" s="294"/>
      <c r="C42" s="294"/>
      <c r="D42" s="294"/>
      <c r="E42" s="294"/>
    </row>
  </sheetData>
  <printOptions horizontalCentered="1" headings="1"/>
  <pageMargins left="0.1" right="0.1"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10</vt:i4>
      </vt:variant>
    </vt:vector>
  </HeadingPairs>
  <TitlesOfParts>
    <vt:vector size="66" baseType="lpstr">
      <vt:lpstr>Net Payment</vt:lpstr>
      <vt:lpstr>Annual Rev &amp; Fees</vt:lpstr>
      <vt:lpstr>Charter Schools</vt:lpstr>
      <vt:lpstr>Consolidated</vt:lpstr>
      <vt:lpstr>Cumulative Payments</vt:lpstr>
      <vt:lpstr>0040</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Virtual</vt:lpstr>
      <vt:lpstr>'0040'!Print_Area</vt:lpstr>
      <vt:lpstr>'0100'!Print_Area</vt:lpstr>
      <vt:lpstr>'1461'!Print_Area</vt:lpstr>
      <vt:lpstr>Consolidated!Print_Area</vt:lpstr>
      <vt:lpstr>'Net Payment'!Print_Area</vt:lpstr>
      <vt:lpstr>Virtual!Print_Area</vt:lpstr>
      <vt:lpstr>'0040'!Print_Titles</vt:lpstr>
      <vt:lpstr>'0100'!Print_Titles</vt:lpstr>
      <vt:lpstr>'1461'!Print_Titles</vt:lpstr>
      <vt:lpstr>'Net Payment'!Print_Titles</vt:lpstr>
    </vt:vector>
  </TitlesOfParts>
  <Company>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LeeDavis</dc:creator>
  <cp:lastModifiedBy>Frederick Passelli</cp:lastModifiedBy>
  <cp:lastPrinted>2025-08-05T21:09:49Z</cp:lastPrinted>
  <dcterms:created xsi:type="dcterms:W3CDTF">1998-02-12T20:21:54Z</dcterms:created>
  <dcterms:modified xsi:type="dcterms:W3CDTF">2025-09-02T13:48:23Z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